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7605B1A1-7205-41C4-B581-EA5423F69297}" xr6:coauthVersionLast="47" xr6:coauthVersionMax="47" xr10:uidLastSave="{00000000-0000-0000-0000-000000000000}"/>
  <bookViews>
    <workbookView xWindow="-28920" yWindow="-120" windowWidth="29040" windowHeight="16440" tabRatio="820" activeTab="3" xr2:uid="{948873E0-B7F6-4A09-A992-C4AD437383E9}"/>
  </bookViews>
  <sheets>
    <sheet name="BD_MODULO" sheetId="11" r:id="rId1"/>
    <sheet name="P_CRITICOS" sheetId="12" state="hidden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GD'!$A$1:$Z$2421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3315" r:id="rId19"/>
    <pivotCache cacheId="3322" r:id="rId20"/>
    <pivotCache cacheId="3328" r:id="rId21"/>
    <pivotCache cacheId="3334" r:id="rId22"/>
    <pivotCache cacheId="3345" r:id="rId23"/>
    <pivotCache cacheId="3350" r:id="rId24"/>
    <pivotCache cacheId="3354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M10" i="42"/>
  <c r="M11" i="42"/>
  <c r="M12" i="42"/>
  <c r="M13" i="42"/>
  <c r="N13" i="42" s="1"/>
  <c r="M14" i="42"/>
  <c r="N14" i="42" s="1"/>
  <c r="M15" i="42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M25" i="42"/>
  <c r="M26" i="42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M38" i="42"/>
  <c r="M39" i="42"/>
  <c r="M40" i="42"/>
  <c r="M41" i="42"/>
  <c r="N41" i="42" s="1"/>
  <c r="M42" i="42"/>
  <c r="N42" i="42" s="1"/>
  <c r="M43" i="42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N52" i="42" s="1"/>
  <c r="M53" i="42"/>
  <c r="M54" i="42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N64" i="42" s="1"/>
  <c r="M65" i="42"/>
  <c r="N65" i="42" s="1"/>
  <c r="M66" i="42"/>
  <c r="M67" i="42"/>
  <c r="M68" i="42"/>
  <c r="M69" i="42"/>
  <c r="N69" i="42" s="1"/>
  <c r="M70" i="42"/>
  <c r="N70" i="42" s="1"/>
  <c r="M71" i="42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M81" i="42"/>
  <c r="N82" i="42" s="1"/>
  <c r="M82" i="42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M94" i="42"/>
  <c r="M95" i="42"/>
  <c r="N95" i="42" s="1"/>
  <c r="M96" i="42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M108" i="42"/>
  <c r="M109" i="42"/>
  <c r="M110" i="42"/>
  <c r="M111" i="42"/>
  <c r="N111" i="42" s="1"/>
  <c r="M112" i="42"/>
  <c r="N112" i="42" s="1"/>
  <c r="M113" i="42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M122" i="42"/>
  <c r="M123" i="42"/>
  <c r="M124" i="42"/>
  <c r="M125" i="42"/>
  <c r="N125" i="42" s="1"/>
  <c r="M126" i="42"/>
  <c r="N126" i="42" s="1"/>
  <c r="M127" i="42"/>
  <c r="N127" i="42" s="1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1" i="42"/>
  <c r="N12" i="42"/>
  <c r="N15" i="42"/>
  <c r="N23" i="42"/>
  <c r="N24" i="42"/>
  <c r="N25" i="42"/>
  <c r="N26" i="42"/>
  <c r="N37" i="42"/>
  <c r="N38" i="42"/>
  <c r="N39" i="42"/>
  <c r="N40" i="42"/>
  <c r="N43" i="42"/>
  <c r="N51" i="42"/>
  <c r="N53" i="42"/>
  <c r="N54" i="42"/>
  <c r="N66" i="42"/>
  <c r="N67" i="42"/>
  <c r="N68" i="42"/>
  <c r="N71" i="42"/>
  <c r="N79" i="42"/>
  <c r="N80" i="42"/>
  <c r="N81" i="42"/>
  <c r="N93" i="42"/>
  <c r="N94" i="42"/>
  <c r="N96" i="42"/>
  <c r="N107" i="42"/>
  <c r="N108" i="42"/>
  <c r="N109" i="42"/>
  <c r="N110" i="42"/>
  <c r="N113" i="42"/>
  <c r="N121" i="42"/>
  <c r="N122" i="42"/>
  <c r="N123" i="42"/>
  <c r="N124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P40" i="39" s="1"/>
  <c r="K5" i="39"/>
  <c r="K6" i="39"/>
  <c r="K7" i="39"/>
  <c r="K8" i="39"/>
  <c r="K9" i="39"/>
  <c r="K10" i="39"/>
  <c r="K11" i="39"/>
  <c r="K12" i="39"/>
  <c r="K13" i="39"/>
  <c r="K14" i="39"/>
  <c r="K15" i="39"/>
  <c r="P417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P70" i="39" s="1"/>
  <c r="K71" i="39"/>
  <c r="P71" i="39" s="1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11" i="39"/>
  <c r="P222" i="39"/>
  <c r="P418" i="39"/>
  <c r="Q2" i="39"/>
  <c r="U2" i="39" s="1"/>
  <c r="Q3" i="39"/>
  <c r="Q4" i="39"/>
  <c r="Q5" i="39"/>
  <c r="Q6" i="39"/>
  <c r="Q7" i="39"/>
  <c r="U7" i="39" s="1"/>
  <c r="Q8" i="39"/>
  <c r="Q9" i="39"/>
  <c r="Q10" i="39"/>
  <c r="Q11" i="39"/>
  <c r="Q12" i="39"/>
  <c r="U12" i="39" s="1"/>
  <c r="Q13" i="39"/>
  <c r="U13" i="39" s="1"/>
  <c r="Q14" i="39"/>
  <c r="Q15" i="39"/>
  <c r="Q16" i="39"/>
  <c r="U16" i="39" s="1"/>
  <c r="Q17" i="39"/>
  <c r="Q18" i="39"/>
  <c r="Q19" i="39"/>
  <c r="Q20" i="39"/>
  <c r="Q21" i="39"/>
  <c r="U21" i="39" s="1"/>
  <c r="Q22" i="39"/>
  <c r="Q23" i="39"/>
  <c r="Q24" i="39"/>
  <c r="Q25" i="39"/>
  <c r="Q26" i="39"/>
  <c r="U26" i="39" s="1"/>
  <c r="Q27" i="39"/>
  <c r="U27" i="39" s="1"/>
  <c r="Q28" i="39"/>
  <c r="Q29" i="39"/>
  <c r="Q30" i="39"/>
  <c r="U30" i="39" s="1"/>
  <c r="Q31" i="39"/>
  <c r="Q32" i="39"/>
  <c r="Q33" i="39"/>
  <c r="Q34" i="39"/>
  <c r="Q35" i="39"/>
  <c r="U35" i="39" s="1"/>
  <c r="Q36" i="39"/>
  <c r="Q37" i="39"/>
  <c r="Q38" i="39"/>
  <c r="Q39" i="39"/>
  <c r="Q40" i="39"/>
  <c r="Q41" i="39"/>
  <c r="U41" i="39" s="1"/>
  <c r="Q42" i="39"/>
  <c r="Q43" i="39"/>
  <c r="Q44" i="39"/>
  <c r="Q45" i="39"/>
  <c r="U45" i="39" s="1"/>
  <c r="Q46" i="39"/>
  <c r="Q47" i="39"/>
  <c r="Q48" i="39"/>
  <c r="Q49" i="39"/>
  <c r="U49" i="39" s="1"/>
  <c r="Q50" i="39"/>
  <c r="Q51" i="39"/>
  <c r="Q52" i="39"/>
  <c r="Q53" i="39"/>
  <c r="Q54" i="39"/>
  <c r="U54" i="39" s="1"/>
  <c r="Q55" i="39"/>
  <c r="U55" i="39" s="1"/>
  <c r="Q56" i="39"/>
  <c r="Q57" i="39"/>
  <c r="Q58" i="39"/>
  <c r="U58" i="39" s="1"/>
  <c r="Q59" i="39"/>
  <c r="Q60" i="39"/>
  <c r="Q61" i="39"/>
  <c r="Q62" i="39"/>
  <c r="Q63" i="39"/>
  <c r="U63" i="39" s="1"/>
  <c r="Q64" i="39"/>
  <c r="Q65" i="39"/>
  <c r="Q66" i="39"/>
  <c r="Q67" i="39"/>
  <c r="Q68" i="39"/>
  <c r="U68" i="39" s="1"/>
  <c r="Q69" i="39"/>
  <c r="U69" i="39" s="1"/>
  <c r="Q70" i="39"/>
  <c r="Q71" i="39"/>
  <c r="Q72" i="39"/>
  <c r="U72" i="39" s="1"/>
  <c r="Q73" i="39"/>
  <c r="Q74" i="39"/>
  <c r="Q75" i="39"/>
  <c r="Q76" i="39"/>
  <c r="Q77" i="39"/>
  <c r="U77" i="39" s="1"/>
  <c r="Q78" i="39"/>
  <c r="Q79" i="39"/>
  <c r="Q80" i="39"/>
  <c r="Q81" i="39"/>
  <c r="Q82" i="39"/>
  <c r="Q83" i="39"/>
  <c r="U83" i="39" s="1"/>
  <c r="Q84" i="39"/>
  <c r="Q85" i="39"/>
  <c r="Q86" i="39"/>
  <c r="U86" i="39" s="1"/>
  <c r="Q87" i="39"/>
  <c r="Q88" i="39"/>
  <c r="Q89" i="39"/>
  <c r="Q90" i="39"/>
  <c r="Q91" i="39"/>
  <c r="U91" i="39" s="1"/>
  <c r="Q92" i="39"/>
  <c r="Q93" i="39"/>
  <c r="Q94" i="39"/>
  <c r="Q95" i="39"/>
  <c r="U95" i="39" s="1"/>
  <c r="Q96" i="39"/>
  <c r="U96" i="39" s="1"/>
  <c r="Q97" i="39"/>
  <c r="U97" i="39" s="1"/>
  <c r="Q98" i="39"/>
  <c r="Q99" i="39"/>
  <c r="Q100" i="39"/>
  <c r="U100" i="39" s="1"/>
  <c r="Q101" i="39"/>
  <c r="Q102" i="39"/>
  <c r="Q103" i="39"/>
  <c r="Q104" i="39"/>
  <c r="Q105" i="39"/>
  <c r="U105" i="39" s="1"/>
  <c r="Q106" i="39"/>
  <c r="Q107" i="39"/>
  <c r="Q108" i="39"/>
  <c r="Q109" i="39"/>
  <c r="Q110" i="39"/>
  <c r="U110" i="39" s="1"/>
  <c r="Q111" i="39"/>
  <c r="U111" i="39" s="1"/>
  <c r="Q112" i="39"/>
  <c r="Q113" i="39"/>
  <c r="Q114" i="39"/>
  <c r="U114" i="39" s="1"/>
  <c r="Q115" i="39"/>
  <c r="Q116" i="39"/>
  <c r="Q117" i="39"/>
  <c r="Q118" i="39"/>
  <c r="Q119" i="39"/>
  <c r="U119" i="39" s="1"/>
  <c r="Q120" i="39"/>
  <c r="Q121" i="39"/>
  <c r="Q122" i="39"/>
  <c r="Q123" i="39"/>
  <c r="Q124" i="39"/>
  <c r="U124" i="39" s="1"/>
  <c r="Q125" i="39"/>
  <c r="U125" i="39" s="1"/>
  <c r="Q126" i="39"/>
  <c r="Q127" i="39"/>
  <c r="Q128" i="39"/>
  <c r="U128" i="39" s="1"/>
  <c r="Q129" i="39"/>
  <c r="Q130" i="39"/>
  <c r="Q131" i="39"/>
  <c r="Q132" i="39"/>
  <c r="Q133" i="39"/>
  <c r="U133" i="39" s="1"/>
  <c r="Q134" i="39"/>
  <c r="Q135" i="39"/>
  <c r="Q136" i="39"/>
  <c r="Q137" i="39"/>
  <c r="Q138" i="39"/>
  <c r="Q139" i="39"/>
  <c r="Q140" i="39"/>
  <c r="Q141" i="39"/>
  <c r="Q142" i="39"/>
  <c r="Q143" i="39"/>
  <c r="U143" i="39" s="1"/>
  <c r="Q144" i="39"/>
  <c r="Q145" i="39"/>
  <c r="Q146" i="39"/>
  <c r="Q147" i="39"/>
  <c r="U147" i="39" s="1"/>
  <c r="Q148" i="39"/>
  <c r="Q149" i="39"/>
  <c r="Q150" i="39"/>
  <c r="Q151" i="39"/>
  <c r="Q152" i="39"/>
  <c r="U152" i="39" s="1"/>
  <c r="Q153" i="39"/>
  <c r="U153" i="39" s="1"/>
  <c r="Q154" i="39"/>
  <c r="Q155" i="39"/>
  <c r="Q156" i="39"/>
  <c r="U156" i="39" s="1"/>
  <c r="Q157" i="39"/>
  <c r="Q158" i="39"/>
  <c r="Q159" i="39"/>
  <c r="Q160" i="39"/>
  <c r="Q161" i="39"/>
  <c r="U161" i="39" s="1"/>
  <c r="Q162" i="39"/>
  <c r="Q163" i="39"/>
  <c r="Q164" i="39"/>
  <c r="Q165" i="39"/>
  <c r="Q166" i="39"/>
  <c r="U166" i="39" s="1"/>
  <c r="Q167" i="39"/>
  <c r="U167" i="39" s="1"/>
  <c r="Q168" i="39"/>
  <c r="Q169" i="39"/>
  <c r="Q170" i="39"/>
  <c r="Q171" i="39"/>
  <c r="Q172" i="39"/>
  <c r="Q173" i="39"/>
  <c r="Q174" i="39"/>
  <c r="Q175" i="39"/>
  <c r="U175" i="39" s="1"/>
  <c r="Q176" i="39"/>
  <c r="Q177" i="39"/>
  <c r="Q178" i="39"/>
  <c r="Q179" i="39"/>
  <c r="Q180" i="39"/>
  <c r="Q181" i="39"/>
  <c r="Q182" i="39"/>
  <c r="Q183" i="39"/>
  <c r="Q184" i="39"/>
  <c r="U184" i="39" s="1"/>
  <c r="Q185" i="39"/>
  <c r="Q186" i="39"/>
  <c r="Q187" i="39"/>
  <c r="Q188" i="39"/>
  <c r="Q189" i="39"/>
  <c r="U189" i="39" s="1"/>
  <c r="Q190" i="39"/>
  <c r="Q191" i="39"/>
  <c r="Q192" i="39"/>
  <c r="Q193" i="39"/>
  <c r="U193" i="39" s="1"/>
  <c r="Q194" i="39"/>
  <c r="U194" i="39" s="1"/>
  <c r="Q195" i="39"/>
  <c r="U195" i="39" s="1"/>
  <c r="Q196" i="39"/>
  <c r="Q197" i="39"/>
  <c r="Q198" i="39"/>
  <c r="U198" i="39" s="1"/>
  <c r="Q199" i="39"/>
  <c r="Q200" i="39"/>
  <c r="Q201" i="39"/>
  <c r="Q202" i="39"/>
  <c r="Q203" i="39"/>
  <c r="U203" i="39" s="1"/>
  <c r="Q204" i="39"/>
  <c r="Q205" i="39"/>
  <c r="Q206" i="39"/>
  <c r="Q207" i="39"/>
  <c r="Q208" i="39"/>
  <c r="U208" i="39" s="1"/>
  <c r="Q209" i="39"/>
  <c r="U209" i="39" s="1"/>
  <c r="Q210" i="39"/>
  <c r="Q211" i="39"/>
  <c r="Q212" i="39"/>
  <c r="U212" i="39" s="1"/>
  <c r="Q213" i="39"/>
  <c r="Q214" i="39"/>
  <c r="Q215" i="39"/>
  <c r="Q216" i="39"/>
  <c r="Q217" i="39"/>
  <c r="U217" i="39" s="1"/>
  <c r="Q218" i="39"/>
  <c r="Q219" i="39"/>
  <c r="Q220" i="39"/>
  <c r="Q221" i="39"/>
  <c r="Q222" i="39"/>
  <c r="U222" i="39" s="1"/>
  <c r="Q223" i="39"/>
  <c r="U223" i="39" s="1"/>
  <c r="Q224" i="39"/>
  <c r="Q225" i="39"/>
  <c r="Q226" i="39"/>
  <c r="U226" i="39" s="1"/>
  <c r="Q227" i="39"/>
  <c r="Q228" i="39"/>
  <c r="Q229" i="39"/>
  <c r="Q230" i="39"/>
  <c r="Q231" i="39"/>
  <c r="U231" i="39" s="1"/>
  <c r="Q232" i="39"/>
  <c r="Q233" i="39"/>
  <c r="Q234" i="39"/>
  <c r="Q235" i="39"/>
  <c r="Q236" i="39"/>
  <c r="U236" i="39" s="1"/>
  <c r="Q237" i="39"/>
  <c r="U237" i="39" s="1"/>
  <c r="Q238" i="39"/>
  <c r="Q239" i="39"/>
  <c r="Q240" i="39"/>
  <c r="Q241" i="39"/>
  <c r="Q242" i="39"/>
  <c r="Q243" i="39"/>
  <c r="Q244" i="39"/>
  <c r="Q245" i="39"/>
  <c r="U245" i="39" s="1"/>
  <c r="Q246" i="39"/>
  <c r="Q247" i="39"/>
  <c r="Q248" i="39"/>
  <c r="Q249" i="39"/>
  <c r="U249" i="39" s="1"/>
  <c r="Q250" i="39"/>
  <c r="U250" i="39" s="1"/>
  <c r="Q251" i="39"/>
  <c r="U251" i="39" s="1"/>
  <c r="Q252" i="39"/>
  <c r="Q253" i="39"/>
  <c r="Q254" i="39"/>
  <c r="U254" i="39" s="1"/>
  <c r="Q255" i="39"/>
  <c r="Q256" i="39"/>
  <c r="Q257" i="39"/>
  <c r="Q258" i="39"/>
  <c r="Q259" i="39"/>
  <c r="U259" i="39" s="1"/>
  <c r="Q260" i="39"/>
  <c r="Q261" i="39"/>
  <c r="Q262" i="39"/>
  <c r="Q263" i="39"/>
  <c r="Q264" i="39"/>
  <c r="U264" i="39" s="1"/>
  <c r="Q265" i="39"/>
  <c r="U265" i="39" s="1"/>
  <c r="Q266" i="39"/>
  <c r="Q267" i="39"/>
  <c r="Q268" i="39"/>
  <c r="U268" i="39" s="1"/>
  <c r="Q269" i="39"/>
  <c r="Q270" i="39"/>
  <c r="Q271" i="39"/>
  <c r="Q272" i="39"/>
  <c r="Q273" i="39"/>
  <c r="U273" i="39" s="1"/>
  <c r="Q274" i="39"/>
  <c r="Q275" i="39"/>
  <c r="Q276" i="39"/>
  <c r="Q277" i="39"/>
  <c r="Q278" i="39"/>
  <c r="U278" i="39" s="1"/>
  <c r="Q279" i="39"/>
  <c r="U279" i="39" s="1"/>
  <c r="Q280" i="39"/>
  <c r="Q281" i="39"/>
  <c r="Q282" i="39"/>
  <c r="U282" i="39" s="1"/>
  <c r="Q283" i="39"/>
  <c r="Q284" i="39"/>
  <c r="Q285" i="39"/>
  <c r="Q286" i="39"/>
  <c r="Q287" i="39"/>
  <c r="U287" i="39" s="1"/>
  <c r="Q288" i="39"/>
  <c r="Q289" i="39"/>
  <c r="Q290" i="39"/>
  <c r="Q291" i="39"/>
  <c r="Q292" i="39"/>
  <c r="U292" i="39" s="1"/>
  <c r="Q293" i="39"/>
  <c r="U293" i="39" s="1"/>
  <c r="Q294" i="39"/>
  <c r="Q295" i="39"/>
  <c r="Q296" i="39"/>
  <c r="U296" i="39" s="1"/>
  <c r="Q297" i="39"/>
  <c r="Q298" i="39"/>
  <c r="Q299" i="39"/>
  <c r="Q300" i="39"/>
  <c r="Q301" i="39"/>
  <c r="U301" i="39" s="1"/>
  <c r="Q302" i="39"/>
  <c r="Q303" i="39"/>
  <c r="Q304" i="39"/>
  <c r="Q305" i="39"/>
  <c r="Q306" i="39"/>
  <c r="U306" i="39" s="1"/>
  <c r="Q307" i="39"/>
  <c r="U307" i="39" s="1"/>
  <c r="Q308" i="39"/>
  <c r="Q309" i="39"/>
  <c r="Q310" i="39"/>
  <c r="U310" i="39" s="1"/>
  <c r="Q311" i="39"/>
  <c r="Q312" i="39"/>
  <c r="Q313" i="39"/>
  <c r="Q314" i="39"/>
  <c r="Q315" i="39"/>
  <c r="U315" i="39" s="1"/>
  <c r="Q316" i="39"/>
  <c r="Q317" i="39"/>
  <c r="Q318" i="39"/>
  <c r="Q319" i="39"/>
  <c r="Q320" i="39"/>
  <c r="U320" i="39" s="1"/>
  <c r="Q321" i="39"/>
  <c r="U321" i="39" s="1"/>
  <c r="Q322" i="39"/>
  <c r="Q323" i="39"/>
  <c r="Q324" i="39"/>
  <c r="U324" i="39" s="1"/>
  <c r="Q325" i="39"/>
  <c r="Q326" i="39"/>
  <c r="Q327" i="39"/>
  <c r="Q328" i="39"/>
  <c r="Q329" i="39"/>
  <c r="U329" i="39" s="1"/>
  <c r="Q330" i="39"/>
  <c r="Q331" i="39"/>
  <c r="Q332" i="39"/>
  <c r="Q333" i="39"/>
  <c r="Q334" i="39"/>
  <c r="U334" i="39" s="1"/>
  <c r="Q335" i="39"/>
  <c r="U335" i="39" s="1"/>
  <c r="Q336" i="39"/>
  <c r="Q337" i="39"/>
  <c r="Q338" i="39"/>
  <c r="Q339" i="39"/>
  <c r="Q340" i="39"/>
  <c r="Q341" i="39"/>
  <c r="Q342" i="39"/>
  <c r="Q343" i="39"/>
  <c r="U343" i="39" s="1"/>
  <c r="Q344" i="39"/>
  <c r="Q345" i="39"/>
  <c r="Q346" i="39"/>
  <c r="Q347" i="39"/>
  <c r="U347" i="39" s="1"/>
  <c r="Q348" i="39"/>
  <c r="U348" i="39" s="1"/>
  <c r="Q349" i="39"/>
  <c r="U349" i="39" s="1"/>
  <c r="Q350" i="39"/>
  <c r="Q351" i="39"/>
  <c r="Q352" i="39"/>
  <c r="U352" i="39" s="1"/>
  <c r="Q353" i="39"/>
  <c r="Q354" i="39"/>
  <c r="Q355" i="39"/>
  <c r="Q356" i="39"/>
  <c r="Q357" i="39"/>
  <c r="U357" i="39" s="1"/>
  <c r="Q358" i="39"/>
  <c r="Q359" i="39"/>
  <c r="Q360" i="39"/>
  <c r="Q361" i="39"/>
  <c r="Q362" i="39"/>
  <c r="U362" i="39" s="1"/>
  <c r="Q363" i="39"/>
  <c r="U363" i="39" s="1"/>
  <c r="Q364" i="39"/>
  <c r="Q365" i="39"/>
  <c r="Q366" i="39"/>
  <c r="U366" i="39" s="1"/>
  <c r="Q367" i="39"/>
  <c r="Q368" i="39"/>
  <c r="Q369" i="39"/>
  <c r="Q370" i="39"/>
  <c r="Q371" i="39"/>
  <c r="U371" i="39" s="1"/>
  <c r="Q372" i="39"/>
  <c r="Q373" i="39"/>
  <c r="Q374" i="39"/>
  <c r="Q375" i="39"/>
  <c r="Q376" i="39"/>
  <c r="U376" i="39" s="1"/>
  <c r="Q377" i="39"/>
  <c r="U377" i="39" s="1"/>
  <c r="Q378" i="39"/>
  <c r="Q379" i="39"/>
  <c r="Q380" i="39"/>
  <c r="U380" i="39" s="1"/>
  <c r="Q381" i="39"/>
  <c r="Q382" i="39"/>
  <c r="Q383" i="39"/>
  <c r="Q384" i="39"/>
  <c r="Q385" i="39"/>
  <c r="U385" i="39" s="1"/>
  <c r="Q386" i="39"/>
  <c r="Q387" i="39"/>
  <c r="Q388" i="39"/>
  <c r="Q389" i="39"/>
  <c r="Q390" i="39"/>
  <c r="Q391" i="39"/>
  <c r="U391" i="39" s="1"/>
  <c r="Q392" i="39"/>
  <c r="Q393" i="39"/>
  <c r="Q394" i="39"/>
  <c r="U394" i="39" s="1"/>
  <c r="Q395" i="39"/>
  <c r="Q396" i="39"/>
  <c r="Q397" i="39"/>
  <c r="Q398" i="39"/>
  <c r="Q399" i="39"/>
  <c r="U399" i="39" s="1"/>
  <c r="Q400" i="39"/>
  <c r="Q401" i="39"/>
  <c r="Q402" i="39"/>
  <c r="Q403" i="39"/>
  <c r="Q404" i="39"/>
  <c r="U404" i="39" s="1"/>
  <c r="Q405" i="39"/>
  <c r="U405" i="39" s="1"/>
  <c r="Q406" i="39"/>
  <c r="Q407" i="39"/>
  <c r="Q408" i="39"/>
  <c r="U408" i="39" s="1"/>
  <c r="Q409" i="39"/>
  <c r="Q410" i="39"/>
  <c r="Q411" i="39"/>
  <c r="Q412" i="39"/>
  <c r="Q413" i="39"/>
  <c r="U413" i="39" s="1"/>
  <c r="Q414" i="39"/>
  <c r="Q415" i="39"/>
  <c r="Q416" i="39"/>
  <c r="Q417" i="39"/>
  <c r="Q418" i="39"/>
  <c r="U418" i="39" s="1"/>
  <c r="Q419" i="39"/>
  <c r="U419" i="39" s="1"/>
  <c r="Q420" i="39"/>
  <c r="Q421" i="39"/>
  <c r="Q422" i="39"/>
  <c r="U422" i="39" s="1"/>
  <c r="Q423" i="39"/>
  <c r="Q424" i="39"/>
  <c r="Q425" i="39"/>
  <c r="Q426" i="39"/>
  <c r="Q427" i="39"/>
  <c r="U427" i="39" s="1"/>
  <c r="Q428" i="39"/>
  <c r="Q429" i="39"/>
  <c r="Q430" i="39"/>
  <c r="Q431" i="39"/>
  <c r="Q432" i="39"/>
  <c r="U432" i="39" s="1"/>
  <c r="Q433" i="39"/>
  <c r="U433" i="39" s="1"/>
  <c r="Q434" i="39"/>
  <c r="Q435" i="39"/>
  <c r="Q436" i="39"/>
  <c r="Q437" i="39"/>
  <c r="U437" i="39" s="1"/>
  <c r="Q438" i="39"/>
  <c r="Q439" i="39"/>
  <c r="Q440" i="39"/>
  <c r="Q441" i="39"/>
  <c r="U441" i="39" s="1"/>
  <c r="Q442" i="39"/>
  <c r="Q443" i="39"/>
  <c r="Q444" i="39"/>
  <c r="Q445" i="39"/>
  <c r="Q446" i="39"/>
  <c r="U446" i="39" s="1"/>
  <c r="Q447" i="39"/>
  <c r="U447" i="39" s="1"/>
  <c r="Q448" i="39"/>
  <c r="Q449" i="39"/>
  <c r="Q450" i="39"/>
  <c r="U450" i="39" s="1"/>
  <c r="Q451" i="39"/>
  <c r="Q452" i="39"/>
  <c r="Q453" i="39"/>
  <c r="Q454" i="39"/>
  <c r="Q455" i="39"/>
  <c r="U455" i="39" s="1"/>
  <c r="Q456" i="39"/>
  <c r="Q457" i="39"/>
  <c r="Q458" i="39"/>
  <c r="Q459" i="39"/>
  <c r="Q460" i="39"/>
  <c r="U460" i="39" s="1"/>
  <c r="Q461" i="39"/>
  <c r="U461" i="39" s="1"/>
  <c r="Q462" i="39"/>
  <c r="Q463" i="39"/>
  <c r="Q464" i="39"/>
  <c r="Q465" i="39"/>
  <c r="Q466" i="39"/>
  <c r="Q467" i="39"/>
  <c r="Q468" i="39"/>
  <c r="Q469" i="39"/>
  <c r="U469" i="39" s="1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U11" i="39" s="1"/>
  <c r="S12" i="39"/>
  <c r="S13" i="39"/>
  <c r="S14" i="39"/>
  <c r="U14" i="39" s="1"/>
  <c r="S15" i="39"/>
  <c r="U15" i="39" s="1"/>
  <c r="S16" i="39"/>
  <c r="S17" i="39"/>
  <c r="S18" i="39"/>
  <c r="S19" i="39"/>
  <c r="S20" i="39"/>
  <c r="S21" i="39"/>
  <c r="S22" i="39"/>
  <c r="S23" i="39"/>
  <c r="S24" i="39"/>
  <c r="S25" i="39"/>
  <c r="U25" i="39" s="1"/>
  <c r="S26" i="39"/>
  <c r="S27" i="39"/>
  <c r="S28" i="39"/>
  <c r="U28" i="39" s="1"/>
  <c r="S29" i="39"/>
  <c r="U29" i="39" s="1"/>
  <c r="S30" i="39"/>
  <c r="S31" i="39"/>
  <c r="S32" i="39"/>
  <c r="S33" i="39"/>
  <c r="S34" i="39"/>
  <c r="S35" i="39"/>
  <c r="S36" i="39"/>
  <c r="S37" i="39"/>
  <c r="S38" i="39"/>
  <c r="S39" i="39"/>
  <c r="U39" i="39" s="1"/>
  <c r="S40" i="39"/>
  <c r="S41" i="39"/>
  <c r="S42" i="39"/>
  <c r="U42" i="39" s="1"/>
  <c r="S43" i="39"/>
  <c r="U43" i="39" s="1"/>
  <c r="S44" i="39"/>
  <c r="S45" i="39"/>
  <c r="S46" i="39"/>
  <c r="S47" i="39"/>
  <c r="S48" i="39"/>
  <c r="S49" i="39"/>
  <c r="S50" i="39"/>
  <c r="S51" i="39"/>
  <c r="S52" i="39"/>
  <c r="S53" i="39"/>
  <c r="U53" i="39" s="1"/>
  <c r="S54" i="39"/>
  <c r="S55" i="39"/>
  <c r="S56" i="39"/>
  <c r="U56" i="39" s="1"/>
  <c r="S57" i="39"/>
  <c r="U57" i="39" s="1"/>
  <c r="S58" i="39"/>
  <c r="S59" i="39"/>
  <c r="S60" i="39"/>
  <c r="S61" i="39"/>
  <c r="S62" i="39"/>
  <c r="S63" i="39"/>
  <c r="S64" i="39"/>
  <c r="S65" i="39"/>
  <c r="S66" i="39"/>
  <c r="S67" i="39"/>
  <c r="U67" i="39" s="1"/>
  <c r="S68" i="39"/>
  <c r="S69" i="39"/>
  <c r="S70" i="39"/>
  <c r="U70" i="39" s="1"/>
  <c r="S71" i="39"/>
  <c r="U71" i="39" s="1"/>
  <c r="S72" i="39"/>
  <c r="S73" i="39"/>
  <c r="S74" i="39"/>
  <c r="S75" i="39"/>
  <c r="S76" i="39"/>
  <c r="S77" i="39"/>
  <c r="S78" i="39"/>
  <c r="S79" i="39"/>
  <c r="S80" i="39"/>
  <c r="S81" i="39"/>
  <c r="U81" i="39" s="1"/>
  <c r="S82" i="39"/>
  <c r="S83" i="39"/>
  <c r="S84" i="39"/>
  <c r="U84" i="39" s="1"/>
  <c r="S85" i="39"/>
  <c r="U85" i="39" s="1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U98" i="39" s="1"/>
  <c r="S99" i="39"/>
  <c r="U99" i="39" s="1"/>
  <c r="S100" i="39"/>
  <c r="S101" i="39"/>
  <c r="S102" i="39"/>
  <c r="S103" i="39"/>
  <c r="S104" i="39"/>
  <c r="S105" i="39"/>
  <c r="S106" i="39"/>
  <c r="S107" i="39"/>
  <c r="S108" i="39"/>
  <c r="S109" i="39"/>
  <c r="U109" i="39" s="1"/>
  <c r="S110" i="39"/>
  <c r="S111" i="39"/>
  <c r="S112" i="39"/>
  <c r="U112" i="39" s="1"/>
  <c r="S113" i="39"/>
  <c r="U113" i="39" s="1"/>
  <c r="S114" i="39"/>
  <c r="S115" i="39"/>
  <c r="S116" i="39"/>
  <c r="S117" i="39"/>
  <c r="S118" i="39"/>
  <c r="S119" i="39"/>
  <c r="S120" i="39"/>
  <c r="S121" i="39"/>
  <c r="S122" i="39"/>
  <c r="S123" i="39"/>
  <c r="U123" i="39" s="1"/>
  <c r="S124" i="39"/>
  <c r="S125" i="39"/>
  <c r="S126" i="39"/>
  <c r="U126" i="39" s="1"/>
  <c r="S127" i="39"/>
  <c r="U127" i="39" s="1"/>
  <c r="S128" i="39"/>
  <c r="S129" i="39"/>
  <c r="S130" i="39"/>
  <c r="S131" i="39"/>
  <c r="S132" i="39"/>
  <c r="S133" i="39"/>
  <c r="S134" i="39"/>
  <c r="S135" i="39"/>
  <c r="S136" i="39"/>
  <c r="S137" i="39"/>
  <c r="U137" i="39" s="1"/>
  <c r="S138" i="39"/>
  <c r="S139" i="39"/>
  <c r="S140" i="39"/>
  <c r="U140" i="39" s="1"/>
  <c r="S141" i="39"/>
  <c r="U141" i="39" s="1"/>
  <c r="S142" i="39"/>
  <c r="S143" i="39"/>
  <c r="S144" i="39"/>
  <c r="S145" i="39"/>
  <c r="S146" i="39"/>
  <c r="S147" i="39"/>
  <c r="S148" i="39"/>
  <c r="S149" i="39"/>
  <c r="S150" i="39"/>
  <c r="S151" i="39"/>
  <c r="U151" i="39" s="1"/>
  <c r="S152" i="39"/>
  <c r="S153" i="39"/>
  <c r="S154" i="39"/>
  <c r="U154" i="39" s="1"/>
  <c r="S155" i="39"/>
  <c r="U155" i="39" s="1"/>
  <c r="S156" i="39"/>
  <c r="S157" i="39"/>
  <c r="S158" i="39"/>
  <c r="S159" i="39"/>
  <c r="S160" i="39"/>
  <c r="S161" i="39"/>
  <c r="S162" i="39"/>
  <c r="S163" i="39"/>
  <c r="S164" i="39"/>
  <c r="S165" i="39"/>
  <c r="U165" i="39" s="1"/>
  <c r="S166" i="39"/>
  <c r="S167" i="39"/>
  <c r="S168" i="39"/>
  <c r="U168" i="39" s="1"/>
  <c r="S169" i="39"/>
  <c r="U169" i="39" s="1"/>
  <c r="S170" i="39"/>
  <c r="S171" i="39"/>
  <c r="S172" i="39"/>
  <c r="S173" i="39"/>
  <c r="S174" i="39"/>
  <c r="S175" i="39"/>
  <c r="S176" i="39"/>
  <c r="S177" i="39"/>
  <c r="S178" i="39"/>
  <c r="S179" i="39"/>
  <c r="U179" i="39" s="1"/>
  <c r="S180" i="39"/>
  <c r="S181" i="39"/>
  <c r="S182" i="39"/>
  <c r="U182" i="39" s="1"/>
  <c r="S183" i="39"/>
  <c r="U183" i="39" s="1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S196" i="39"/>
  <c r="S197" i="39"/>
  <c r="U197" i="39" s="1"/>
  <c r="S198" i="39"/>
  <c r="S199" i="39"/>
  <c r="S200" i="39"/>
  <c r="S201" i="39"/>
  <c r="S202" i="39"/>
  <c r="S203" i="39"/>
  <c r="S204" i="39"/>
  <c r="S205" i="39"/>
  <c r="S206" i="39"/>
  <c r="S207" i="39"/>
  <c r="U207" i="39" s="1"/>
  <c r="S208" i="39"/>
  <c r="S209" i="39"/>
  <c r="S210" i="39"/>
  <c r="U210" i="39" s="1"/>
  <c r="S211" i="39"/>
  <c r="U211" i="39" s="1"/>
  <c r="S212" i="39"/>
  <c r="S213" i="39"/>
  <c r="S214" i="39"/>
  <c r="S215" i="39"/>
  <c r="S216" i="39"/>
  <c r="S217" i="39"/>
  <c r="S218" i="39"/>
  <c r="S219" i="39"/>
  <c r="S220" i="39"/>
  <c r="S221" i="39"/>
  <c r="U221" i="39" s="1"/>
  <c r="S222" i="39"/>
  <c r="S223" i="39"/>
  <c r="S224" i="39"/>
  <c r="U224" i="39" s="1"/>
  <c r="S225" i="39"/>
  <c r="U225" i="39" s="1"/>
  <c r="S226" i="39"/>
  <c r="S227" i="39"/>
  <c r="S228" i="39"/>
  <c r="S229" i="39"/>
  <c r="S230" i="39"/>
  <c r="S231" i="39"/>
  <c r="S232" i="39"/>
  <c r="S233" i="39"/>
  <c r="S234" i="39"/>
  <c r="S235" i="39"/>
  <c r="U235" i="39" s="1"/>
  <c r="S236" i="39"/>
  <c r="S237" i="39"/>
  <c r="S238" i="39"/>
  <c r="U238" i="39" s="1"/>
  <c r="S239" i="39"/>
  <c r="U239" i="39" s="1"/>
  <c r="S240" i="39"/>
  <c r="S241" i="39"/>
  <c r="S242" i="39"/>
  <c r="U242" i="39" s="1"/>
  <c r="S243" i="39"/>
  <c r="S244" i="39"/>
  <c r="S245" i="39"/>
  <c r="S246" i="39"/>
  <c r="S247" i="39"/>
  <c r="S248" i="39"/>
  <c r="S249" i="39"/>
  <c r="S250" i="39"/>
  <c r="S251" i="39"/>
  <c r="S252" i="39"/>
  <c r="U252" i="39" s="1"/>
  <c r="S253" i="39"/>
  <c r="U253" i="39" s="1"/>
  <c r="S254" i="39"/>
  <c r="S255" i="39"/>
  <c r="S256" i="39"/>
  <c r="S257" i="39"/>
  <c r="S258" i="39"/>
  <c r="S259" i="39"/>
  <c r="S260" i="39"/>
  <c r="S261" i="39"/>
  <c r="S262" i="39"/>
  <c r="S263" i="39"/>
  <c r="U263" i="39" s="1"/>
  <c r="S264" i="39"/>
  <c r="S265" i="39"/>
  <c r="S266" i="39"/>
  <c r="S267" i="39"/>
  <c r="U267" i="39" s="1"/>
  <c r="S268" i="39"/>
  <c r="S269" i="39"/>
  <c r="S270" i="39"/>
  <c r="S271" i="39"/>
  <c r="S272" i="39"/>
  <c r="S273" i="39"/>
  <c r="S274" i="39"/>
  <c r="S275" i="39"/>
  <c r="S276" i="39"/>
  <c r="S277" i="39"/>
  <c r="U277" i="39" s="1"/>
  <c r="S278" i="39"/>
  <c r="S279" i="39"/>
  <c r="S280" i="39"/>
  <c r="U280" i="39" s="1"/>
  <c r="S281" i="39"/>
  <c r="U281" i="39" s="1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S294" i="39"/>
  <c r="S295" i="39"/>
  <c r="U295" i="39" s="1"/>
  <c r="S296" i="39"/>
  <c r="S297" i="39"/>
  <c r="S298" i="39"/>
  <c r="S299" i="39"/>
  <c r="S300" i="39"/>
  <c r="S301" i="39"/>
  <c r="S302" i="39"/>
  <c r="S303" i="39"/>
  <c r="S304" i="39"/>
  <c r="S305" i="39"/>
  <c r="U305" i="39" s="1"/>
  <c r="S306" i="39"/>
  <c r="S307" i="39"/>
  <c r="S308" i="39"/>
  <c r="U308" i="39" s="1"/>
  <c r="S309" i="39"/>
  <c r="U309" i="39" s="1"/>
  <c r="S310" i="39"/>
  <c r="S311" i="39"/>
  <c r="S312" i="39"/>
  <c r="S313" i="39"/>
  <c r="S314" i="39"/>
  <c r="S315" i="39"/>
  <c r="S316" i="39"/>
  <c r="S317" i="39"/>
  <c r="S318" i="39"/>
  <c r="S319" i="39"/>
  <c r="U319" i="39" s="1"/>
  <c r="S320" i="39"/>
  <c r="S321" i="39"/>
  <c r="S322" i="39"/>
  <c r="U322" i="39" s="1"/>
  <c r="S323" i="39"/>
  <c r="U323" i="39" s="1"/>
  <c r="S324" i="39"/>
  <c r="S325" i="39"/>
  <c r="S326" i="39"/>
  <c r="S327" i="39"/>
  <c r="S328" i="39"/>
  <c r="S329" i="39"/>
  <c r="S330" i="39"/>
  <c r="S331" i="39"/>
  <c r="S332" i="39"/>
  <c r="S333" i="39"/>
  <c r="U333" i="39" s="1"/>
  <c r="S334" i="39"/>
  <c r="S335" i="39"/>
  <c r="S336" i="39"/>
  <c r="U336" i="39" s="1"/>
  <c r="S337" i="39"/>
  <c r="U337" i="39" s="1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S350" i="39"/>
  <c r="U350" i="39" s="1"/>
  <c r="S351" i="39"/>
  <c r="U351" i="39" s="1"/>
  <c r="S352" i="39"/>
  <c r="S353" i="39"/>
  <c r="S354" i="39"/>
  <c r="S355" i="39"/>
  <c r="S356" i="39"/>
  <c r="S357" i="39"/>
  <c r="S358" i="39"/>
  <c r="S359" i="39"/>
  <c r="S360" i="39"/>
  <c r="S361" i="39"/>
  <c r="U361" i="39" s="1"/>
  <c r="S362" i="39"/>
  <c r="S363" i="39"/>
  <c r="S364" i="39"/>
  <c r="U364" i="39" s="1"/>
  <c r="S365" i="39"/>
  <c r="S366" i="39"/>
  <c r="S367" i="39"/>
  <c r="S368" i="39"/>
  <c r="S369" i="39"/>
  <c r="S370" i="39"/>
  <c r="S371" i="39"/>
  <c r="S372" i="39"/>
  <c r="S373" i="39"/>
  <c r="S374" i="39"/>
  <c r="S375" i="39"/>
  <c r="U375" i="39" s="1"/>
  <c r="S376" i="39"/>
  <c r="S377" i="39"/>
  <c r="S378" i="39"/>
  <c r="U378" i="39" s="1"/>
  <c r="S379" i="39"/>
  <c r="U379" i="39" s="1"/>
  <c r="S380" i="39"/>
  <c r="S381" i="39"/>
  <c r="S382" i="39"/>
  <c r="S383" i="39"/>
  <c r="S384" i="39"/>
  <c r="S385" i="39"/>
  <c r="S386" i="39"/>
  <c r="S387" i="39"/>
  <c r="S388" i="39"/>
  <c r="S389" i="39"/>
  <c r="U389" i="39" s="1"/>
  <c r="S390" i="39"/>
  <c r="S391" i="39"/>
  <c r="S392" i="39"/>
  <c r="U392" i="39" s="1"/>
  <c r="S393" i="39"/>
  <c r="U393" i="39" s="1"/>
  <c r="S394" i="39"/>
  <c r="S395" i="39"/>
  <c r="S396" i="39"/>
  <c r="S397" i="39"/>
  <c r="S398" i="39"/>
  <c r="S399" i="39"/>
  <c r="S400" i="39"/>
  <c r="S401" i="39"/>
  <c r="S402" i="39"/>
  <c r="S403" i="39"/>
  <c r="U403" i="39" s="1"/>
  <c r="S404" i="39"/>
  <c r="S405" i="39"/>
  <c r="S406" i="39"/>
  <c r="U406" i="39" s="1"/>
  <c r="S407" i="39"/>
  <c r="U407" i="39" s="1"/>
  <c r="S408" i="39"/>
  <c r="S409" i="39"/>
  <c r="S410" i="39"/>
  <c r="S411" i="39"/>
  <c r="S412" i="39"/>
  <c r="S413" i="39"/>
  <c r="S414" i="39"/>
  <c r="S415" i="39"/>
  <c r="S416" i="39"/>
  <c r="S417" i="39"/>
  <c r="U417" i="39" s="1"/>
  <c r="S418" i="39"/>
  <c r="S419" i="39"/>
  <c r="S420" i="39"/>
  <c r="U420" i="39" s="1"/>
  <c r="S421" i="39"/>
  <c r="U421" i="39" s="1"/>
  <c r="S422" i="39"/>
  <c r="S423" i="39"/>
  <c r="S424" i="39"/>
  <c r="S425" i="39"/>
  <c r="S426" i="39"/>
  <c r="S427" i="39"/>
  <c r="S428" i="39"/>
  <c r="S429" i="39"/>
  <c r="S430" i="39"/>
  <c r="S431" i="39"/>
  <c r="U431" i="39" s="1"/>
  <c r="S432" i="39"/>
  <c r="S433" i="39"/>
  <c r="S434" i="39"/>
  <c r="U434" i="39" s="1"/>
  <c r="S435" i="39"/>
  <c r="U435" i="39" s="1"/>
  <c r="S436" i="39"/>
  <c r="S437" i="39"/>
  <c r="S438" i="39"/>
  <c r="S439" i="39"/>
  <c r="S440" i="39"/>
  <c r="S441" i="39"/>
  <c r="S442" i="39"/>
  <c r="S443" i="39"/>
  <c r="S444" i="39"/>
  <c r="S445" i="39"/>
  <c r="S446" i="39"/>
  <c r="S447" i="39"/>
  <c r="S448" i="39"/>
  <c r="U448" i="39" s="1"/>
  <c r="S449" i="39"/>
  <c r="U449" i="39" s="1"/>
  <c r="S450" i="39"/>
  <c r="S451" i="39"/>
  <c r="S452" i="39"/>
  <c r="S453" i="39"/>
  <c r="S454" i="39"/>
  <c r="S455" i="39"/>
  <c r="S456" i="39"/>
  <c r="S457" i="39"/>
  <c r="S458" i="39"/>
  <c r="S459" i="39"/>
  <c r="U459" i="39" s="1"/>
  <c r="S460" i="39"/>
  <c r="S461" i="39"/>
  <c r="S462" i="39"/>
  <c r="U462" i="39" s="1"/>
  <c r="S463" i="39"/>
  <c r="U463" i="39" s="1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0" i="39"/>
  <c r="U46" i="39"/>
  <c r="U82" i="39"/>
  <c r="U138" i="39"/>
  <c r="U139" i="39"/>
  <c r="U144" i="39"/>
  <c r="U170" i="39"/>
  <c r="U180" i="39"/>
  <c r="U181" i="39"/>
  <c r="U196" i="39"/>
  <c r="U241" i="39"/>
  <c r="U266" i="39"/>
  <c r="U291" i="39"/>
  <c r="U294" i="39"/>
  <c r="U339" i="39"/>
  <c r="U340" i="39"/>
  <c r="U365" i="39"/>
  <c r="U390" i="39"/>
  <c r="U438" i="39"/>
  <c r="U445" i="39"/>
  <c r="U464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B2" i="20"/>
  <c r="AB109" i="20"/>
  <c r="AB406" i="20"/>
  <c r="AB694" i="20"/>
  <c r="AB707" i="20"/>
  <c r="AB767" i="20"/>
  <c r="AB921" i="20"/>
  <c r="AB1047" i="20"/>
  <c r="AB1108" i="20"/>
  <c r="AB1241" i="20"/>
  <c r="AB1264" i="20"/>
  <c r="AB1438" i="20"/>
  <c r="AB1452" i="20"/>
  <c r="AB1649" i="20"/>
  <c r="AB1656" i="20"/>
  <c r="AB1732" i="20"/>
  <c r="AB1733" i="20"/>
  <c r="AB1815" i="20"/>
  <c r="AB1829" i="20"/>
  <c r="AB1885" i="20"/>
  <c r="AB1901" i="20"/>
  <c r="AB1968" i="20"/>
  <c r="AB2069" i="20"/>
  <c r="AB2095" i="20"/>
  <c r="AB2109" i="20"/>
  <c r="AB2278" i="20"/>
  <c r="AB2310" i="20"/>
  <c r="AC603" i="20"/>
  <c r="AC611" i="20"/>
  <c r="AC626" i="20"/>
  <c r="AC640" i="20"/>
  <c r="AC644" i="20"/>
  <c r="AC703" i="20"/>
  <c r="AC777" i="20"/>
  <c r="AC778" i="20"/>
  <c r="AC858" i="20"/>
  <c r="AC883" i="20"/>
  <c r="AC963" i="20"/>
  <c r="AC971" i="20"/>
  <c r="AC972" i="20"/>
  <c r="AC1015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097" i="20"/>
  <c r="AC1099" i="20"/>
  <c r="AC1146" i="20"/>
  <c r="AC1159" i="20"/>
  <c r="AC1190" i="20"/>
  <c r="AC1226" i="20"/>
  <c r="AC1239" i="20"/>
  <c r="AC1262" i="20"/>
  <c r="AC1263" i="20"/>
  <c r="AC1305" i="20"/>
  <c r="AC1306" i="20"/>
  <c r="AC1326" i="20"/>
  <c r="AC1418" i="20"/>
  <c r="AC1419" i="20"/>
  <c r="AC1422" i="20"/>
  <c r="AC1461" i="20"/>
  <c r="AC1462" i="20"/>
  <c r="AC1468" i="20"/>
  <c r="AC1516" i="20"/>
  <c r="AC1517" i="20"/>
  <c r="AC1546" i="20"/>
  <c r="AC1578" i="20"/>
  <c r="AC1615" i="20"/>
  <c r="AC1662" i="20"/>
  <c r="AC1672" i="20"/>
  <c r="AC1673" i="20"/>
  <c r="AC1696" i="20"/>
  <c r="AC1697" i="20"/>
  <c r="AC1698" i="20"/>
  <c r="AC1717" i="20"/>
  <c r="AC1718" i="20"/>
  <c r="AC1740" i="20"/>
  <c r="AC1761" i="20"/>
  <c r="AC1794" i="20"/>
  <c r="AC1860" i="20"/>
  <c r="AC1895" i="20"/>
  <c r="AC1923" i="20"/>
  <c r="AC1924" i="20"/>
  <c r="AC1936" i="20"/>
  <c r="AC1940" i="20"/>
  <c r="AC1956" i="20"/>
  <c r="AC1957" i="20"/>
  <c r="AC1959" i="20"/>
  <c r="AC1960" i="20"/>
  <c r="AC1961" i="20"/>
  <c r="AC1963" i="20"/>
  <c r="AC1965" i="20"/>
  <c r="AC1966" i="20"/>
  <c r="AC1974" i="20"/>
  <c r="AC1975" i="20"/>
  <c r="AC2012" i="20"/>
  <c r="AC2036" i="20"/>
  <c r="AC2092" i="20"/>
  <c r="AC2116" i="20"/>
  <c r="AC2135" i="20"/>
  <c r="AC2163" i="20"/>
  <c r="AC2170" i="20"/>
  <c r="AC2178" i="20"/>
  <c r="AC2224" i="20"/>
  <c r="AC2231" i="20"/>
  <c r="AC2255" i="20"/>
  <c r="AC2286" i="20"/>
  <c r="AC2317" i="20"/>
  <c r="AC2338" i="20"/>
  <c r="AC2358" i="20"/>
  <c r="AC2371" i="20"/>
  <c r="AC2395" i="20"/>
  <c r="AC2396" i="20"/>
  <c r="AC2397" i="20"/>
  <c r="AC2406" i="20"/>
  <c r="AC2407" i="20"/>
  <c r="AC2418" i="20"/>
  <c r="AC2420" i="20"/>
  <c r="AC2421" i="20"/>
  <c r="AD2" i="20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D1733" i="20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J2" i="34" s="1"/>
  <c r="I3" i="34"/>
  <c r="J3" i="34" s="1"/>
  <c r="I4" i="34"/>
  <c r="I5" i="34"/>
  <c r="I6" i="34"/>
  <c r="I7" i="34"/>
  <c r="I8" i="34"/>
  <c r="I9" i="34"/>
  <c r="I10" i="34"/>
  <c r="I11" i="34"/>
  <c r="I12" i="34"/>
  <c r="J12" i="34" s="1"/>
  <c r="I13" i="34"/>
  <c r="I14" i="34"/>
  <c r="I15" i="34"/>
  <c r="I16" i="34"/>
  <c r="J16" i="34" s="1"/>
  <c r="I17" i="34"/>
  <c r="J17" i="34" s="1"/>
  <c r="I18" i="34"/>
  <c r="I19" i="34"/>
  <c r="I20" i="34"/>
  <c r="I21" i="34"/>
  <c r="J21" i="34" s="1"/>
  <c r="I22" i="34"/>
  <c r="I23" i="34"/>
  <c r="J23" i="34" s="1"/>
  <c r="I24" i="34"/>
  <c r="J24" i="34" s="1"/>
  <c r="I25" i="34"/>
  <c r="I26" i="34"/>
  <c r="I27" i="34"/>
  <c r="I28" i="34"/>
  <c r="I29" i="34"/>
  <c r="J29" i="34" s="1"/>
  <c r="I30" i="34"/>
  <c r="J30" i="34" s="1"/>
  <c r="I31" i="34"/>
  <c r="J31" i="34" s="1"/>
  <c r="I32" i="34"/>
  <c r="I33" i="34"/>
  <c r="I34" i="34"/>
  <c r="I35" i="34"/>
  <c r="I36" i="34"/>
  <c r="I37" i="34"/>
  <c r="I38" i="34"/>
  <c r="J38" i="34" s="1"/>
  <c r="I39" i="34"/>
  <c r="I40" i="34"/>
  <c r="I41" i="34"/>
  <c r="I42" i="34"/>
  <c r="I43" i="34"/>
  <c r="I44" i="34"/>
  <c r="J44" i="34" s="1"/>
  <c r="I45" i="34"/>
  <c r="J45" i="34" s="1"/>
  <c r="I46" i="34"/>
  <c r="J46" i="34" s="1"/>
  <c r="I47" i="34"/>
  <c r="I48" i="34"/>
  <c r="I49" i="34"/>
  <c r="J49" i="34" s="1"/>
  <c r="I50" i="34"/>
  <c r="I51" i="34"/>
  <c r="J51" i="34" s="1"/>
  <c r="I52" i="34"/>
  <c r="J52" i="34" s="1"/>
  <c r="I53" i="34"/>
  <c r="I54" i="34"/>
  <c r="J54" i="34" s="1"/>
  <c r="I55" i="34"/>
  <c r="J55" i="34" s="1"/>
  <c r="L55" i="34" s="1"/>
  <c r="I56" i="34"/>
  <c r="I57" i="34"/>
  <c r="I58" i="34"/>
  <c r="I59" i="34"/>
  <c r="J59" i="34" s="1"/>
  <c r="I60" i="34"/>
  <c r="J60" i="34" s="1"/>
  <c r="I61" i="34"/>
  <c r="I62" i="34"/>
  <c r="I63" i="34"/>
  <c r="J63" i="34" s="1"/>
  <c r="I64" i="34"/>
  <c r="I65" i="34"/>
  <c r="I66" i="34"/>
  <c r="J66" i="34" s="1"/>
  <c r="I67" i="34"/>
  <c r="I68" i="34"/>
  <c r="I69" i="34"/>
  <c r="I70" i="34"/>
  <c r="I71" i="34"/>
  <c r="I72" i="34"/>
  <c r="I73" i="34"/>
  <c r="J73" i="34" s="1"/>
  <c r="I74" i="34"/>
  <c r="J74" i="34" s="1"/>
  <c r="I75" i="34"/>
  <c r="I76" i="34"/>
  <c r="I77" i="34"/>
  <c r="J77" i="34" s="1"/>
  <c r="I78" i="34"/>
  <c r="I79" i="34"/>
  <c r="I80" i="34"/>
  <c r="J80" i="34" s="1"/>
  <c r="I81" i="34"/>
  <c r="J81" i="34" s="1"/>
  <c r="I82" i="34"/>
  <c r="J82" i="34" s="1"/>
  <c r="I83" i="34"/>
  <c r="J83" i="34" s="1"/>
  <c r="I84" i="34"/>
  <c r="I85" i="34"/>
  <c r="I86" i="34"/>
  <c r="I87" i="34"/>
  <c r="J87" i="34" s="1"/>
  <c r="I88" i="34"/>
  <c r="J88" i="34" s="1"/>
  <c r="I89" i="34"/>
  <c r="I90" i="34"/>
  <c r="I91" i="34"/>
  <c r="J91" i="34" s="1"/>
  <c r="I92" i="34"/>
  <c r="I93" i="34"/>
  <c r="J93" i="34" s="1"/>
  <c r="I94" i="34"/>
  <c r="J94" i="34" s="1"/>
  <c r="I95" i="34"/>
  <c r="I96" i="34"/>
  <c r="I97" i="34"/>
  <c r="I98" i="34"/>
  <c r="I99" i="34"/>
  <c r="J99" i="34" s="1"/>
  <c r="I100" i="34"/>
  <c r="J100" i="34" s="1"/>
  <c r="I101" i="34"/>
  <c r="J101" i="34" s="1"/>
  <c r="I102" i="34"/>
  <c r="J102" i="34" s="1"/>
  <c r="I103" i="34"/>
  <c r="I104" i="34"/>
  <c r="I105" i="34"/>
  <c r="I106" i="34"/>
  <c r="I107" i="34"/>
  <c r="I108" i="34"/>
  <c r="J108" i="34" s="1"/>
  <c r="I109" i="34"/>
  <c r="J109" i="34" s="1"/>
  <c r="I110" i="34"/>
  <c r="J110" i="34" s="1"/>
  <c r="I111" i="34"/>
  <c r="I112" i="34"/>
  <c r="J112" i="34" s="1"/>
  <c r="I113" i="34"/>
  <c r="I114" i="34"/>
  <c r="I115" i="34"/>
  <c r="J115" i="34" s="1"/>
  <c r="I116" i="34"/>
  <c r="J116" i="34" s="1"/>
  <c r="I117" i="34"/>
  <c r="I118" i="34"/>
  <c r="J118" i="34" s="1"/>
  <c r="I119" i="34"/>
  <c r="J119" i="34" s="1"/>
  <c r="I120" i="34"/>
  <c r="I121" i="34"/>
  <c r="J121" i="34" s="1"/>
  <c r="I122" i="34"/>
  <c r="J122" i="34" s="1"/>
  <c r="I123" i="34"/>
  <c r="I124" i="34"/>
  <c r="I125" i="34"/>
  <c r="I126" i="34"/>
  <c r="J126" i="34" s="1"/>
  <c r="I127" i="34"/>
  <c r="I128" i="34"/>
  <c r="I129" i="34"/>
  <c r="J129" i="34" s="1"/>
  <c r="I130" i="34"/>
  <c r="J130" i="34" s="1"/>
  <c r="I131" i="34"/>
  <c r="I132" i="34"/>
  <c r="I133" i="34"/>
  <c r="I134" i="34"/>
  <c r="I135" i="34"/>
  <c r="I136" i="34"/>
  <c r="J136" i="34" s="1"/>
  <c r="I137" i="34"/>
  <c r="I138" i="34"/>
  <c r="I139" i="34"/>
  <c r="I140" i="34"/>
  <c r="J140" i="34" s="1"/>
  <c r="I141" i="34"/>
  <c r="I142" i="34"/>
  <c r="J142" i="34" s="1"/>
  <c r="I143" i="34"/>
  <c r="J143" i="34" s="1"/>
  <c r="I144" i="34"/>
  <c r="J144" i="34" s="1"/>
  <c r="I145" i="34"/>
  <c r="I146" i="34"/>
  <c r="I147" i="34"/>
  <c r="I148" i="34"/>
  <c r="I149" i="34"/>
  <c r="I150" i="34"/>
  <c r="J150" i="34" s="1"/>
  <c r="I151" i="34"/>
  <c r="I152" i="34"/>
  <c r="J152" i="34" s="1"/>
  <c r="I153" i="34"/>
  <c r="J153" i="34" s="1"/>
  <c r="L153" i="34" s="1"/>
  <c r="I154" i="34"/>
  <c r="J154" i="34" s="1"/>
  <c r="I155" i="34"/>
  <c r="I156" i="34"/>
  <c r="I157" i="34"/>
  <c r="J157" i="34" s="1"/>
  <c r="J4" i="34"/>
  <c r="J5" i="34"/>
  <c r="J6" i="34"/>
  <c r="J7" i="34"/>
  <c r="J9" i="34"/>
  <c r="J10" i="34"/>
  <c r="J11" i="34"/>
  <c r="J14" i="34"/>
  <c r="J18" i="34"/>
  <c r="J19" i="34"/>
  <c r="J20" i="34"/>
  <c r="J28" i="34"/>
  <c r="J32" i="34"/>
  <c r="J33" i="34"/>
  <c r="J34" i="34"/>
  <c r="J35" i="34"/>
  <c r="J42" i="34"/>
  <c r="J47" i="34"/>
  <c r="J48" i="34"/>
  <c r="J56" i="34"/>
  <c r="J61" i="34"/>
  <c r="J62" i="34"/>
  <c r="J70" i="34"/>
  <c r="J75" i="34"/>
  <c r="J76" i="34"/>
  <c r="J84" i="34"/>
  <c r="J89" i="34"/>
  <c r="J90" i="34"/>
  <c r="J98" i="34"/>
  <c r="L98" i="34" s="1"/>
  <c r="J103" i="34"/>
  <c r="J104" i="34"/>
  <c r="J105" i="34"/>
  <c r="J117" i="34"/>
  <c r="J131" i="34"/>
  <c r="J132" i="34"/>
  <c r="J145" i="34"/>
  <c r="J146" i="34"/>
  <c r="J147" i="34"/>
  <c r="K6" i="34"/>
  <c r="M6" i="34" s="1"/>
  <c r="K13" i="34"/>
  <c r="K14" i="34"/>
  <c r="N14" i="34" s="1"/>
  <c r="O14" i="34" s="1"/>
  <c r="K15" i="34"/>
  <c r="K18" i="34"/>
  <c r="K19" i="34"/>
  <c r="N19" i="34" s="1"/>
  <c r="O19" i="34" s="1"/>
  <c r="K20" i="34"/>
  <c r="M20" i="34" s="1"/>
  <c r="K28" i="34"/>
  <c r="N28" i="34" s="1"/>
  <c r="O28" i="34" s="1"/>
  <c r="K29" i="34"/>
  <c r="K32" i="34"/>
  <c r="K33" i="34"/>
  <c r="N33" i="34" s="1"/>
  <c r="O33" i="34" s="1"/>
  <c r="K34" i="34"/>
  <c r="N34" i="34" s="1"/>
  <c r="O34" i="34" s="1"/>
  <c r="K35" i="34"/>
  <c r="M35" i="34" s="1"/>
  <c r="K42" i="34"/>
  <c r="N42" i="34" s="1"/>
  <c r="O42" i="34" s="1"/>
  <c r="K43" i="34"/>
  <c r="M43" i="34" s="1"/>
  <c r="K48" i="34"/>
  <c r="M48" i="34" s="1"/>
  <c r="K49" i="34"/>
  <c r="K54" i="34"/>
  <c r="M54" i="34" s="1"/>
  <c r="K55" i="34"/>
  <c r="K56" i="34"/>
  <c r="N56" i="34" s="1"/>
  <c r="O56" i="34" s="1"/>
  <c r="K60" i="34"/>
  <c r="N60" i="34" s="1"/>
  <c r="O60" i="34" s="1"/>
  <c r="K61" i="34"/>
  <c r="N61" i="34" s="1"/>
  <c r="O61" i="34" s="1"/>
  <c r="K62" i="34"/>
  <c r="N62" i="34" s="1"/>
  <c r="O62" i="34" s="1"/>
  <c r="K65" i="34"/>
  <c r="M65" i="34" s="1"/>
  <c r="K68" i="34"/>
  <c r="M68" i="34" s="1"/>
  <c r="K69" i="34"/>
  <c r="K70" i="34"/>
  <c r="N70" i="34" s="1"/>
  <c r="O70" i="34" s="1"/>
  <c r="K71" i="34"/>
  <c r="M71" i="34" s="1"/>
  <c r="K74" i="34"/>
  <c r="N74" i="34" s="1"/>
  <c r="O74" i="34" s="1"/>
  <c r="K75" i="34"/>
  <c r="N75" i="34" s="1"/>
  <c r="O75" i="34" s="1"/>
  <c r="K76" i="34"/>
  <c r="N76" i="34" s="1"/>
  <c r="O76" i="34" s="1"/>
  <c r="K77" i="34"/>
  <c r="M77" i="34" s="1"/>
  <c r="K84" i="34"/>
  <c r="N84" i="34" s="1"/>
  <c r="O84" i="34" s="1"/>
  <c r="K85" i="34"/>
  <c r="K90" i="34"/>
  <c r="N90" i="34" s="1"/>
  <c r="O90" i="34" s="1"/>
  <c r="K91" i="34"/>
  <c r="K96" i="34"/>
  <c r="M96" i="34" s="1"/>
  <c r="K97" i="34"/>
  <c r="K98" i="34"/>
  <c r="N98" i="34" s="1"/>
  <c r="O98" i="34" s="1"/>
  <c r="K99" i="34"/>
  <c r="M99" i="34" s="1"/>
  <c r="K102" i="34"/>
  <c r="K103" i="34"/>
  <c r="N103" i="34" s="1"/>
  <c r="O103" i="34" s="1"/>
  <c r="K104" i="34"/>
  <c r="M104" i="34" s="1"/>
  <c r="K112" i="34"/>
  <c r="M112" i="34" s="1"/>
  <c r="K113" i="34"/>
  <c r="M113" i="34" s="1"/>
  <c r="K116" i="34"/>
  <c r="K117" i="34"/>
  <c r="K118" i="34"/>
  <c r="N118" i="34" s="1"/>
  <c r="O118" i="34" s="1"/>
  <c r="K119" i="34"/>
  <c r="K124" i="34"/>
  <c r="M124" i="34" s="1"/>
  <c r="K131" i="34"/>
  <c r="K132" i="34"/>
  <c r="M132" i="34" s="1"/>
  <c r="K133" i="34"/>
  <c r="M133" i="34" s="1"/>
  <c r="K138" i="34"/>
  <c r="M138" i="34" s="1"/>
  <c r="K139" i="34"/>
  <c r="K140" i="34"/>
  <c r="M140" i="34" s="1"/>
  <c r="K144" i="34"/>
  <c r="M144" i="34" s="1"/>
  <c r="K145" i="34"/>
  <c r="M145" i="34" s="1"/>
  <c r="K146" i="34"/>
  <c r="N146" i="34" s="1"/>
  <c r="O146" i="34" s="1"/>
  <c r="K149" i="34"/>
  <c r="M149" i="34" s="1"/>
  <c r="K152" i="34"/>
  <c r="M152" i="34" s="1"/>
  <c r="K153" i="34"/>
  <c r="M153" i="34" s="1"/>
  <c r="K154" i="34"/>
  <c r="K155" i="34"/>
  <c r="M13" i="34"/>
  <c r="M14" i="34"/>
  <c r="M15" i="34"/>
  <c r="M28" i="34"/>
  <c r="M29" i="34"/>
  <c r="M55" i="34"/>
  <c r="M56" i="34"/>
  <c r="M60" i="34"/>
  <c r="M61" i="34"/>
  <c r="M69" i="34"/>
  <c r="M84" i="34"/>
  <c r="M85" i="34"/>
  <c r="M97" i="34"/>
  <c r="M139" i="34"/>
  <c r="M154" i="34"/>
  <c r="M155" i="34"/>
  <c r="P64" i="34"/>
  <c r="J143" i="10"/>
  <c r="J102" i="10"/>
  <c r="J236" i="10"/>
  <c r="J120" i="10"/>
  <c r="J142" i="10"/>
  <c r="J108" i="10"/>
  <c r="J141" i="10"/>
  <c r="J93" i="10"/>
  <c r="J140" i="10"/>
  <c r="J2" i="10"/>
  <c r="J230" i="10"/>
  <c r="J3" i="10"/>
  <c r="J135" i="10"/>
  <c r="J112" i="10"/>
  <c r="J217" i="10"/>
  <c r="J136" i="10"/>
  <c r="J144" i="10"/>
  <c r="J117" i="10"/>
  <c r="J4" i="10"/>
  <c r="J248" i="10"/>
  <c r="J177" i="10"/>
  <c r="J5" i="10"/>
  <c r="J6" i="10"/>
  <c r="J192" i="10"/>
  <c r="J95" i="10"/>
  <c r="J7" i="10"/>
  <c r="J8" i="10"/>
  <c r="J189" i="10"/>
  <c r="J187" i="10"/>
  <c r="J227" i="10"/>
  <c r="J132" i="10"/>
  <c r="J100" i="10"/>
  <c r="J9" i="10"/>
  <c r="J10" i="10"/>
  <c r="J11" i="10"/>
  <c r="J220" i="10"/>
  <c r="J224" i="10"/>
  <c r="J12" i="10"/>
  <c r="J251" i="10"/>
  <c r="J13" i="10"/>
  <c r="J14" i="10"/>
  <c r="J15" i="10"/>
  <c r="J133" i="10"/>
  <c r="J110" i="10"/>
  <c r="J89" i="10"/>
  <c r="J16" i="10"/>
  <c r="J190" i="10"/>
  <c r="J17" i="10"/>
  <c r="J18" i="10"/>
  <c r="J118" i="10"/>
  <c r="J19" i="10"/>
  <c r="J241" i="10"/>
  <c r="J20" i="10"/>
  <c r="J21" i="10"/>
  <c r="J22" i="10"/>
  <c r="J23" i="10"/>
  <c r="J24" i="10"/>
  <c r="J25" i="10"/>
  <c r="J247" i="10"/>
  <c r="J223" i="10"/>
  <c r="J126" i="10"/>
  <c r="J128" i="10"/>
  <c r="J253" i="10"/>
  <c r="J26" i="10"/>
  <c r="J27" i="10"/>
  <c r="J28" i="10"/>
  <c r="J29" i="10"/>
  <c r="J30" i="10"/>
  <c r="J31" i="10"/>
  <c r="J32" i="10"/>
  <c r="J85" i="10"/>
  <c r="J218" i="10"/>
  <c r="J211" i="10"/>
  <c r="J198" i="10"/>
  <c r="J130" i="10"/>
  <c r="J103" i="10"/>
  <c r="J129" i="10"/>
  <c r="J145" i="10"/>
  <c r="J121" i="10"/>
  <c r="J216" i="10"/>
  <c r="J33" i="10"/>
  <c r="J34" i="10"/>
  <c r="J35" i="10"/>
  <c r="J36" i="10"/>
  <c r="J249" i="10"/>
  <c r="J37" i="10"/>
  <c r="J182" i="10"/>
  <c r="J38" i="10"/>
  <c r="J39" i="10"/>
  <c r="J134" i="10"/>
  <c r="J40" i="10"/>
  <c r="J41" i="10"/>
  <c r="J88" i="10"/>
  <c r="J219" i="10"/>
  <c r="J119" i="10"/>
  <c r="J42" i="10"/>
  <c r="J43" i="10"/>
  <c r="J44" i="10"/>
  <c r="J163" i="10"/>
  <c r="J161" i="10"/>
  <c r="J45" i="10"/>
  <c r="J107" i="10"/>
  <c r="J252" i="10"/>
  <c r="J46" i="10"/>
  <c r="J47" i="10"/>
  <c r="J105" i="10"/>
  <c r="J213" i="10"/>
  <c r="J48" i="10"/>
  <c r="J147" i="10"/>
  <c r="J124" i="10"/>
  <c r="J49" i="10"/>
  <c r="J228" i="10"/>
  <c r="J239" i="10"/>
  <c r="J139" i="10"/>
  <c r="J148" i="10"/>
  <c r="J137" i="10"/>
  <c r="J116" i="10"/>
  <c r="J149" i="10"/>
  <c r="J193" i="10"/>
  <c r="J191" i="10"/>
  <c r="J50" i="10"/>
  <c r="J172" i="10"/>
  <c r="J51" i="10"/>
  <c r="J52" i="10"/>
  <c r="J183" i="10"/>
  <c r="J53" i="10"/>
  <c r="J54" i="10"/>
  <c r="J178" i="10"/>
  <c r="J55" i="10"/>
  <c r="J194" i="10"/>
  <c r="J156" i="10"/>
  <c r="J195" i="10"/>
  <c r="J125" i="10"/>
  <c r="J127" i="10"/>
  <c r="J146" i="10"/>
  <c r="J162" i="10"/>
  <c r="J155" i="10"/>
  <c r="J56" i="10"/>
  <c r="J97" i="10"/>
  <c r="J57" i="10"/>
  <c r="J87" i="10"/>
  <c r="J92" i="10"/>
  <c r="J159" i="10"/>
  <c r="J122" i="10"/>
  <c r="J250" i="10"/>
  <c r="J109" i="10"/>
  <c r="J86" i="10"/>
  <c r="J185" i="10"/>
  <c r="J153" i="10"/>
  <c r="J170" i="10"/>
  <c r="J123" i="10"/>
  <c r="J115" i="10"/>
  <c r="J58" i="10"/>
  <c r="J150" i="10"/>
  <c r="J243" i="10"/>
  <c r="J160" i="10"/>
  <c r="J113" i="10"/>
  <c r="J240" i="10"/>
  <c r="J174" i="10"/>
  <c r="J231" i="10"/>
  <c r="J232" i="10"/>
  <c r="J91" i="10"/>
  <c r="J157" i="10"/>
  <c r="J114" i="10"/>
  <c r="J164" i="10"/>
  <c r="J90" i="10"/>
  <c r="J176" i="10"/>
  <c r="J222" i="10"/>
  <c r="J254" i="10"/>
  <c r="J154" i="10"/>
  <c r="J59" i="10"/>
  <c r="J60" i="10"/>
  <c r="J61" i="10"/>
  <c r="J255" i="10"/>
  <c r="J256" i="10"/>
  <c r="J94" i="10"/>
  <c r="J257" i="10"/>
  <c r="J62" i="10"/>
  <c r="J63" i="10"/>
  <c r="J165" i="10"/>
  <c r="J166" i="10"/>
  <c r="J167" i="10"/>
  <c r="J258" i="10"/>
  <c r="J64" i="10"/>
  <c r="J106" i="10"/>
  <c r="J65" i="10"/>
  <c r="J66" i="10"/>
  <c r="J259" i="10"/>
  <c r="J225" i="10"/>
  <c r="J101" i="10"/>
  <c r="J244" i="10"/>
  <c r="J226" i="10"/>
  <c r="J214" i="10"/>
  <c r="J196" i="10"/>
  <c r="J199" i="10"/>
  <c r="J200" i="10"/>
  <c r="J201" i="10"/>
  <c r="J245" i="10"/>
  <c r="J202" i="10"/>
  <c r="J203" i="10"/>
  <c r="J204" i="10"/>
  <c r="J212" i="10"/>
  <c r="J169" i="10"/>
  <c r="J205" i="10"/>
  <c r="J179" i="10"/>
  <c r="J215" i="10"/>
  <c r="J180" i="10"/>
  <c r="J175" i="10"/>
  <c r="J206" i="10"/>
  <c r="J207" i="10"/>
  <c r="J260" i="10"/>
  <c r="J197" i="10"/>
  <c r="J261" i="10"/>
  <c r="J262" i="10"/>
  <c r="J98" i="10"/>
  <c r="J96" i="10"/>
  <c r="J173" i="10"/>
  <c r="J210" i="10"/>
  <c r="J138" i="10"/>
  <c r="J246" i="10"/>
  <c r="J263" i="10"/>
  <c r="J237" i="10"/>
  <c r="J229" i="10"/>
  <c r="J99" i="10"/>
  <c r="J131" i="10"/>
  <c r="J67" i="10"/>
  <c r="J209" i="10"/>
  <c r="J242" i="10"/>
  <c r="J151" i="10"/>
  <c r="J152" i="10"/>
  <c r="J264" i="10"/>
  <c r="J233" i="10"/>
  <c r="J188" i="10"/>
  <c r="J184" i="10"/>
  <c r="J168" i="10"/>
  <c r="J186" i="10"/>
  <c r="J181" i="10"/>
  <c r="J111" i="10"/>
  <c r="J158" i="10"/>
  <c r="J104" i="10"/>
  <c r="J265" i="10"/>
  <c r="J266" i="10"/>
  <c r="J171" i="10"/>
  <c r="J238" i="10"/>
  <c r="J221" i="10"/>
  <c r="J208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1987" i="20" s="1"/>
  <c r="K102" i="10"/>
  <c r="AC927" i="20" s="1"/>
  <c r="K236" i="10"/>
  <c r="AC250" i="20" s="1"/>
  <c r="K120" i="10"/>
  <c r="AC776" i="20" s="1"/>
  <c r="K142" i="10"/>
  <c r="AC988" i="20" s="1"/>
  <c r="K108" i="10"/>
  <c r="AC1147" i="20" s="1"/>
  <c r="K141" i="10"/>
  <c r="AC660" i="20" s="1"/>
  <c r="K93" i="10"/>
  <c r="AC1380" i="20" s="1"/>
  <c r="K140" i="10"/>
  <c r="AC2413" i="20" s="1"/>
  <c r="K2" i="10"/>
  <c r="K230" i="10"/>
  <c r="K3" i="10"/>
  <c r="K135" i="10"/>
  <c r="AC2337" i="20" s="1"/>
  <c r="K112" i="10"/>
  <c r="K217" i="10"/>
  <c r="K136" i="10"/>
  <c r="AC1601" i="20" s="1"/>
  <c r="K144" i="10"/>
  <c r="AC836" i="20" s="1"/>
  <c r="K117" i="10"/>
  <c r="AC740" i="20" s="1"/>
  <c r="K4" i="10"/>
  <c r="AC23" i="20" s="1"/>
  <c r="K248" i="10"/>
  <c r="K177" i="10"/>
  <c r="AC2360" i="20" s="1"/>
  <c r="K5" i="10"/>
  <c r="AC26" i="20" s="1"/>
  <c r="K6" i="10"/>
  <c r="AC27" i="20" s="1"/>
  <c r="K192" i="10"/>
  <c r="AC1796" i="20" s="1"/>
  <c r="K95" i="10"/>
  <c r="K7" i="10"/>
  <c r="AC30" i="20" s="1"/>
  <c r="K8" i="10"/>
  <c r="K189" i="10"/>
  <c r="K187" i="10"/>
  <c r="K227" i="10"/>
  <c r="K132" i="10"/>
  <c r="AC1842" i="20" s="1"/>
  <c r="K100" i="10"/>
  <c r="AC1182" i="20" s="1"/>
  <c r="K9" i="10"/>
  <c r="AC37" i="20" s="1"/>
  <c r="K10" i="10"/>
  <c r="AC38" i="20" s="1"/>
  <c r="K11" i="10"/>
  <c r="AC39" i="20" s="1"/>
  <c r="K220" i="10"/>
  <c r="AC40" i="20" s="1"/>
  <c r="K224" i="10"/>
  <c r="AC1621" i="20" s="1"/>
  <c r="K12" i="10"/>
  <c r="K251" i="10"/>
  <c r="AC43" i="20" s="1"/>
  <c r="K13" i="10"/>
  <c r="AC44" i="20" s="1"/>
  <c r="K14" i="10"/>
  <c r="AC45" i="20" s="1"/>
  <c r="K15" i="10"/>
  <c r="AC46" i="20" s="1"/>
  <c r="K133" i="10"/>
  <c r="K110" i="10"/>
  <c r="AC2306" i="20" s="1"/>
  <c r="K89" i="10"/>
  <c r="AC1179" i="20" s="1"/>
  <c r="K16" i="10"/>
  <c r="K190" i="10"/>
  <c r="AC1884" i="20" s="1"/>
  <c r="K17" i="10"/>
  <c r="K18" i="10"/>
  <c r="K118" i="10"/>
  <c r="AC2062" i="20" s="1"/>
  <c r="K19" i="10"/>
  <c r="AC55" i="20" s="1"/>
  <c r="K241" i="10"/>
  <c r="AC2380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AC1976" i="20" s="1"/>
  <c r="K126" i="10"/>
  <c r="AC2051" i="20" s="1"/>
  <c r="K128" i="10"/>
  <c r="AC843" i="20" s="1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AC1859" i="20" s="1"/>
  <c r="K211" i="10"/>
  <c r="AC2032" i="20" s="1"/>
  <c r="K198" i="10"/>
  <c r="AC2410" i="20" s="1"/>
  <c r="K130" i="10"/>
  <c r="AC1649" i="20" s="1"/>
  <c r="K103" i="10"/>
  <c r="AC986" i="20" s="1"/>
  <c r="K129" i="10"/>
  <c r="K145" i="10"/>
  <c r="AC1476" i="20" s="1"/>
  <c r="K121" i="10"/>
  <c r="AC2093" i="20" s="1"/>
  <c r="K216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2" i="10"/>
  <c r="AC235" i="20" s="1"/>
  <c r="K38" i="10"/>
  <c r="K39" i="10"/>
  <c r="AC122" i="20" s="1"/>
  <c r="K134" i="10"/>
  <c r="AC2205" i="20" s="1"/>
  <c r="K40" i="10"/>
  <c r="AC124" i="20" s="1"/>
  <c r="K41" i="10"/>
  <c r="AC125" i="20" s="1"/>
  <c r="K88" i="10"/>
  <c r="AC126" i="20" s="1"/>
  <c r="K219" i="10"/>
  <c r="AC1378" i="20" s="1"/>
  <c r="K119" i="10"/>
  <c r="K42" i="10"/>
  <c r="AC132" i="20" s="1"/>
  <c r="K43" i="10"/>
  <c r="K44" i="10"/>
  <c r="AC136" i="20" s="1"/>
  <c r="K163" i="10"/>
  <c r="AC1585" i="20" s="1"/>
  <c r="K161" i="10"/>
  <c r="AC1563" i="20" s="1"/>
  <c r="K45" i="10"/>
  <c r="AC139" i="20" s="1"/>
  <c r="K107" i="10"/>
  <c r="AC433" i="20" s="1"/>
  <c r="K252" i="10"/>
  <c r="AC155" i="20" s="1"/>
  <c r="K46" i="10"/>
  <c r="K47" i="10"/>
  <c r="AC158" i="20" s="1"/>
  <c r="K105" i="10"/>
  <c r="AC448" i="20" s="1"/>
  <c r="K213" i="10"/>
  <c r="AC1682" i="20" s="1"/>
  <c r="K48" i="10"/>
  <c r="AC171" i="20" s="1"/>
  <c r="K147" i="10"/>
  <c r="AC2381" i="20" s="1"/>
  <c r="K124" i="10"/>
  <c r="AC1865" i="20" s="1"/>
  <c r="K49" i="10"/>
  <c r="AC187" i="20" s="1"/>
  <c r="K228" i="10"/>
  <c r="K239" i="10"/>
  <c r="K139" i="10"/>
  <c r="AC2153" i="20" s="1"/>
  <c r="K148" i="10"/>
  <c r="AC2267" i="20" s="1"/>
  <c r="K137" i="10"/>
  <c r="AC1608" i="20" s="1"/>
  <c r="K116" i="10"/>
  <c r="AC2376" i="20" s="1"/>
  <c r="K149" i="10"/>
  <c r="K193" i="10"/>
  <c r="AC1819" i="20" s="1"/>
  <c r="K191" i="10"/>
  <c r="AC2372" i="20" s="1"/>
  <c r="K50" i="10"/>
  <c r="AC259" i="20" s="1"/>
  <c r="K172" i="10"/>
  <c r="K51" i="10"/>
  <c r="K52" i="10"/>
  <c r="AC264" i="20" s="1"/>
  <c r="K183" i="10"/>
  <c r="AC874" i="20" s="1"/>
  <c r="K53" i="10"/>
  <c r="AC267" i="20" s="1"/>
  <c r="K54" i="10"/>
  <c r="AC268" i="20" s="1"/>
  <c r="K178" i="10"/>
  <c r="AC1915" i="20" s="1"/>
  <c r="K55" i="10"/>
  <c r="AC270" i="20" s="1"/>
  <c r="K194" i="10"/>
  <c r="AC1640" i="20" s="1"/>
  <c r="K156" i="10"/>
  <c r="AC1709" i="20" s="1"/>
  <c r="K195" i="10"/>
  <c r="AC1202" i="20" s="1"/>
  <c r="K125" i="10"/>
  <c r="AC276" i="20" s="1"/>
  <c r="K127" i="10"/>
  <c r="AC2293" i="20" s="1"/>
  <c r="K146" i="10"/>
  <c r="K162" i="10"/>
  <c r="AC1314" i="20" s="1"/>
  <c r="K155" i="10"/>
  <c r="AC2378" i="20" s="1"/>
  <c r="K56" i="10"/>
  <c r="AC295" i="20" s="1"/>
  <c r="K97" i="10"/>
  <c r="K57" i="10"/>
  <c r="K87" i="10"/>
  <c r="AC1014" i="20" s="1"/>
  <c r="K92" i="10"/>
  <c r="AC1480" i="20" s="1"/>
  <c r="K159" i="10"/>
  <c r="AC605" i="20" s="1"/>
  <c r="K122" i="10"/>
  <c r="AC1833" i="20" s="1"/>
  <c r="K250" i="10"/>
  <c r="AC1251" i="20" s="1"/>
  <c r="K109" i="10"/>
  <c r="AC2031" i="20" s="1"/>
  <c r="K86" i="10"/>
  <c r="AC2273" i="20" s="1"/>
  <c r="K185" i="10"/>
  <c r="AC2168" i="20" s="1"/>
  <c r="K153" i="10"/>
  <c r="AC1853" i="20" s="1"/>
  <c r="K170" i="10"/>
  <c r="AC2416" i="20" s="1"/>
  <c r="K123" i="10"/>
  <c r="AC2253" i="20" s="1"/>
  <c r="K115" i="10"/>
  <c r="AC2315" i="20" s="1"/>
  <c r="K58" i="10"/>
  <c r="AC398" i="20" s="1"/>
  <c r="K150" i="10"/>
  <c r="K243" i="10"/>
  <c r="AC406" i="20" s="1"/>
  <c r="K160" i="10"/>
  <c r="K113" i="10"/>
  <c r="K240" i="10"/>
  <c r="AC2101" i="20" s="1"/>
  <c r="K174" i="10"/>
  <c r="AC596" i="20" s="1"/>
  <c r="K231" i="10"/>
  <c r="AC1972" i="20" s="1"/>
  <c r="K232" i="10"/>
  <c r="AC460" i="20" s="1"/>
  <c r="K91" i="10"/>
  <c r="AC1613" i="20" s="1"/>
  <c r="K157" i="10"/>
  <c r="K114" i="10"/>
  <c r="K164" i="10"/>
  <c r="K90" i="10"/>
  <c r="AC151" i="20" s="1"/>
  <c r="K176" i="10"/>
  <c r="K222" i="10"/>
  <c r="AC2010" i="20" s="1"/>
  <c r="K254" i="10"/>
  <c r="K154" i="10"/>
  <c r="K59" i="10"/>
  <c r="K60" i="10"/>
  <c r="K61" i="10"/>
  <c r="K255" i="10"/>
  <c r="K256" i="10"/>
  <c r="K94" i="10"/>
  <c r="AC2191" i="20" s="1"/>
  <c r="K257" i="10"/>
  <c r="K62" i="10"/>
  <c r="K63" i="10"/>
  <c r="K165" i="10"/>
  <c r="K166" i="10"/>
  <c r="K167" i="10"/>
  <c r="K258" i="10"/>
  <c r="K64" i="10"/>
  <c r="K106" i="10"/>
  <c r="AC1093" i="20" s="1"/>
  <c r="K65" i="10"/>
  <c r="K66" i="10"/>
  <c r="K259" i="10"/>
  <c r="K225" i="10"/>
  <c r="AC2245" i="20" s="1"/>
  <c r="K101" i="10"/>
  <c r="AC1537" i="20" s="1"/>
  <c r="K244" i="10"/>
  <c r="K226" i="10"/>
  <c r="K214" i="10"/>
  <c r="AC2335" i="20" s="1"/>
  <c r="K196" i="10"/>
  <c r="K199" i="10"/>
  <c r="K200" i="10"/>
  <c r="K201" i="10"/>
  <c r="AC1795" i="20" s="1"/>
  <c r="K245" i="10"/>
  <c r="K202" i="10"/>
  <c r="AC2356" i="20" s="1"/>
  <c r="K203" i="10"/>
  <c r="AC2041" i="20" s="1"/>
  <c r="K204" i="10"/>
  <c r="AC2367" i="20" s="1"/>
  <c r="K212" i="10"/>
  <c r="AC2368" i="20" s="1"/>
  <c r="K169" i="10"/>
  <c r="AC1822" i="20" s="1"/>
  <c r="K205" i="10"/>
  <c r="AC2353" i="20" s="1"/>
  <c r="K179" i="10"/>
  <c r="K215" i="10"/>
  <c r="AC1934" i="20" s="1"/>
  <c r="K180" i="10"/>
  <c r="K175" i="10"/>
  <c r="AC710" i="20" s="1"/>
  <c r="K206" i="10"/>
  <c r="AC1431" i="20" s="1"/>
  <c r="K207" i="10"/>
  <c r="K260" i="10"/>
  <c r="K197" i="10"/>
  <c r="AC1053" i="20" s="1"/>
  <c r="K261" i="10"/>
  <c r="K262" i="10"/>
  <c r="K98" i="10"/>
  <c r="AC1778" i="20" s="1"/>
  <c r="K96" i="10"/>
  <c r="AC1931" i="20" s="1"/>
  <c r="K173" i="10"/>
  <c r="AC2296" i="20" s="1"/>
  <c r="K210" i="10"/>
  <c r="AC1095" i="20" s="1"/>
  <c r="K138" i="10"/>
  <c r="AC1889" i="20" s="1"/>
  <c r="K246" i="10"/>
  <c r="K263" i="10"/>
  <c r="K237" i="10"/>
  <c r="K229" i="10"/>
  <c r="K99" i="10"/>
  <c r="K131" i="10"/>
  <c r="K67" i="10"/>
  <c r="K209" i="10"/>
  <c r="AC668" i="20" s="1"/>
  <c r="K242" i="10"/>
  <c r="AC1358" i="20" s="1"/>
  <c r="K151" i="10"/>
  <c r="AC1356" i="20" s="1"/>
  <c r="K152" i="10"/>
  <c r="AC2182" i="20" s="1"/>
  <c r="K264" i="10"/>
  <c r="K233" i="10"/>
  <c r="AC1807" i="20" s="1"/>
  <c r="K188" i="10"/>
  <c r="AC1100" i="20" s="1"/>
  <c r="K184" i="10"/>
  <c r="AC1550" i="20" s="1"/>
  <c r="K168" i="10"/>
  <c r="K186" i="10"/>
  <c r="AC2215" i="20" s="1"/>
  <c r="K181" i="10"/>
  <c r="AC2214" i="20" s="1"/>
  <c r="K111" i="10"/>
  <c r="K158" i="10"/>
  <c r="K104" i="10"/>
  <c r="K265" i="10"/>
  <c r="K266" i="10"/>
  <c r="K171" i="10"/>
  <c r="AC772" i="20" s="1"/>
  <c r="K238" i="10"/>
  <c r="AC771" i="20" s="1"/>
  <c r="K221" i="10"/>
  <c r="AC770" i="20" s="1"/>
  <c r="K208" i="10"/>
  <c r="AC2232" i="20" s="1"/>
  <c r="K267" i="10"/>
  <c r="K235" i="10"/>
  <c r="AC1964" i="20" s="1"/>
  <c r="K268" i="10"/>
  <c r="K269" i="10"/>
  <c r="K270" i="10"/>
  <c r="K271" i="10"/>
  <c r="K68" i="10"/>
  <c r="K69" i="10"/>
  <c r="AC1900" i="20" s="1"/>
  <c r="K234" i="10"/>
  <c r="K70" i="10"/>
  <c r="AC758" i="20" s="1"/>
  <c r="K71" i="10"/>
  <c r="AC1501" i="20" s="1"/>
  <c r="K72" i="10"/>
  <c r="K73" i="10"/>
  <c r="AC1880" i="20" s="1"/>
  <c r="K74" i="10"/>
  <c r="AC1204" i="20" s="1"/>
  <c r="K75" i="10"/>
  <c r="AC1544" i="20" s="1"/>
  <c r="K76" i="10"/>
  <c r="K77" i="10"/>
  <c r="K78" i="10"/>
  <c r="AC1657" i="20" s="1"/>
  <c r="K79" i="10"/>
  <c r="AC2274" i="20" s="1"/>
  <c r="K80" i="10"/>
  <c r="K81" i="10"/>
  <c r="AC875" i="20" s="1"/>
  <c r="K82" i="10"/>
  <c r="AC2223" i="20" s="1"/>
  <c r="K272" i="10"/>
  <c r="K83" i="10"/>
  <c r="AC1199" i="20" s="1"/>
  <c r="K273" i="10"/>
  <c r="K84" i="10"/>
  <c r="K274" i="10"/>
  <c r="L143" i="10"/>
  <c r="K92" i="34" s="1"/>
  <c r="M92" i="34" s="1"/>
  <c r="L102" i="10"/>
  <c r="M102" i="10" s="1"/>
  <c r="N102" i="10" s="1"/>
  <c r="O102" i="10" s="1"/>
  <c r="L236" i="10"/>
  <c r="P236" i="10" s="1"/>
  <c r="L120" i="10"/>
  <c r="P120" i="10" s="1"/>
  <c r="L142" i="10"/>
  <c r="M142" i="10" s="1"/>
  <c r="N142" i="10" s="1"/>
  <c r="O142" i="10" s="1"/>
  <c r="L108" i="10"/>
  <c r="P108" i="10" s="1"/>
  <c r="L141" i="10"/>
  <c r="K22" i="34" s="1"/>
  <c r="M22" i="34" s="1"/>
  <c r="L93" i="10"/>
  <c r="L140" i="10"/>
  <c r="P140" i="10" s="1"/>
  <c r="L2" i="10"/>
  <c r="M2" i="10" s="1"/>
  <c r="N2" i="10" s="1"/>
  <c r="O2" i="10" s="1"/>
  <c r="L230" i="10"/>
  <c r="M230" i="10" s="1"/>
  <c r="N230" i="10" s="1"/>
  <c r="O230" i="10" s="1"/>
  <c r="L3" i="10"/>
  <c r="L135" i="10"/>
  <c r="K23" i="34" s="1"/>
  <c r="M23" i="34" s="1"/>
  <c r="L112" i="10"/>
  <c r="K51" i="34" s="1"/>
  <c r="M51" i="34" s="1"/>
  <c r="L217" i="10"/>
  <c r="L136" i="10"/>
  <c r="M136" i="10" s="1"/>
  <c r="N136" i="10" s="1"/>
  <c r="O136" i="10" s="1"/>
  <c r="L144" i="10"/>
  <c r="M144" i="10" s="1"/>
  <c r="N144" i="10" s="1"/>
  <c r="O144" i="10" s="1"/>
  <c r="L117" i="10"/>
  <c r="M117" i="10" s="1"/>
  <c r="N117" i="10" s="1"/>
  <c r="O117" i="10" s="1"/>
  <c r="L4" i="10"/>
  <c r="P4" i="10" s="1"/>
  <c r="L248" i="10"/>
  <c r="P248" i="10" s="1"/>
  <c r="L177" i="10"/>
  <c r="M177" i="10" s="1"/>
  <c r="L5" i="10"/>
  <c r="M5" i="10" s="1"/>
  <c r="L6" i="10"/>
  <c r="P6" i="10" s="1"/>
  <c r="L192" i="10"/>
  <c r="M192" i="10" s="1"/>
  <c r="N192" i="10" s="1"/>
  <c r="O192" i="10" s="1"/>
  <c r="L95" i="10"/>
  <c r="P95" i="10" s="1"/>
  <c r="L7" i="10"/>
  <c r="L8" i="10"/>
  <c r="L189" i="10"/>
  <c r="P189" i="10" s="1"/>
  <c r="L187" i="10"/>
  <c r="L227" i="10"/>
  <c r="M227" i="10" s="1"/>
  <c r="N227" i="10" s="1"/>
  <c r="O227" i="10" s="1"/>
  <c r="L132" i="10"/>
  <c r="M132" i="10" s="1"/>
  <c r="N132" i="10" s="1"/>
  <c r="O132" i="10" s="1"/>
  <c r="L100" i="10"/>
  <c r="M100" i="10" s="1"/>
  <c r="N100" i="10" s="1"/>
  <c r="O100" i="10" s="1"/>
  <c r="L9" i="10"/>
  <c r="M9" i="10" s="1"/>
  <c r="N9" i="10" s="1"/>
  <c r="O9" i="10" s="1"/>
  <c r="L10" i="10"/>
  <c r="P10" i="10" s="1"/>
  <c r="L11" i="10"/>
  <c r="P11" i="10" s="1"/>
  <c r="L220" i="10"/>
  <c r="P220" i="10" s="1"/>
  <c r="L224" i="10"/>
  <c r="P224" i="10" s="1"/>
  <c r="L12" i="10"/>
  <c r="M12" i="10" s="1"/>
  <c r="N12" i="10" s="1"/>
  <c r="O12" i="10" s="1"/>
  <c r="L251" i="10"/>
  <c r="P251" i="10" s="1"/>
  <c r="L13" i="10"/>
  <c r="L14" i="10"/>
  <c r="L15" i="10"/>
  <c r="L133" i="10"/>
  <c r="K136" i="34" s="1"/>
  <c r="M136" i="34" s="1"/>
  <c r="L110" i="10"/>
  <c r="M110" i="10" s="1"/>
  <c r="N110" i="10" s="1"/>
  <c r="O110" i="10" s="1"/>
  <c r="L89" i="10"/>
  <c r="P89" i="10" s="1"/>
  <c r="L16" i="10"/>
  <c r="P16" i="10" s="1"/>
  <c r="L190" i="10"/>
  <c r="P190" i="10" s="1"/>
  <c r="L17" i="10"/>
  <c r="M17" i="10" s="1"/>
  <c r="N17" i="10" s="1"/>
  <c r="O17" i="10" s="1"/>
  <c r="L18" i="10"/>
  <c r="M18" i="10" s="1"/>
  <c r="N18" i="10" s="1"/>
  <c r="O18" i="10" s="1"/>
  <c r="L118" i="10"/>
  <c r="M118" i="10" s="1"/>
  <c r="N118" i="10" s="1"/>
  <c r="O118" i="10" s="1"/>
  <c r="L19" i="10"/>
  <c r="P19" i="10" s="1"/>
  <c r="L241" i="10"/>
  <c r="M241" i="10" s="1"/>
  <c r="N241" i="10" s="1"/>
  <c r="O241" i="10" s="1"/>
  <c r="L20" i="10"/>
  <c r="P20" i="10" s="1"/>
  <c r="L21" i="10"/>
  <c r="L22" i="10"/>
  <c r="L23" i="10"/>
  <c r="L24" i="10"/>
  <c r="L25" i="10"/>
  <c r="M25" i="10" s="1"/>
  <c r="N25" i="10" s="1"/>
  <c r="O25" i="10" s="1"/>
  <c r="L247" i="10"/>
  <c r="P247" i="10" s="1"/>
  <c r="L223" i="10"/>
  <c r="M223" i="10" s="1"/>
  <c r="N223" i="10" s="1"/>
  <c r="O223" i="10" s="1"/>
  <c r="L126" i="10"/>
  <c r="M126" i="10" s="1"/>
  <c r="N126" i="10" s="1"/>
  <c r="O126" i="10" s="1"/>
  <c r="L128" i="10"/>
  <c r="M128" i="10" s="1"/>
  <c r="N128" i="10" s="1"/>
  <c r="O128" i="10" s="1"/>
  <c r="L253" i="10"/>
  <c r="M253" i="10" s="1"/>
  <c r="L26" i="10"/>
  <c r="L27" i="10"/>
  <c r="P27" i="10" s="1"/>
  <c r="L28" i="10"/>
  <c r="M28" i="10" s="1"/>
  <c r="N28" i="10" s="1"/>
  <c r="O28" i="10" s="1"/>
  <c r="L29" i="10"/>
  <c r="Y29" i="10" s="1"/>
  <c r="Z29" i="10" s="1"/>
  <c r="L30" i="10"/>
  <c r="L31" i="10"/>
  <c r="L32" i="10"/>
  <c r="L85" i="10"/>
  <c r="L218" i="10"/>
  <c r="M218" i="10" s="1"/>
  <c r="N218" i="10" s="1"/>
  <c r="O218" i="10" s="1"/>
  <c r="L211" i="10"/>
  <c r="M211" i="10" s="1"/>
  <c r="N211" i="10" s="1"/>
  <c r="O211" i="10" s="1"/>
  <c r="L198" i="10"/>
  <c r="L130" i="10"/>
  <c r="M130" i="10" s="1"/>
  <c r="N130" i="10" s="1"/>
  <c r="O130" i="10" s="1"/>
  <c r="L103" i="10"/>
  <c r="M103" i="10" s="1"/>
  <c r="N103" i="10" s="1"/>
  <c r="O103" i="10" s="1"/>
  <c r="L129" i="10"/>
  <c r="P129" i="10" s="1"/>
  <c r="L145" i="10"/>
  <c r="P145" i="10" s="1"/>
  <c r="L121" i="10"/>
  <c r="K120" i="34" s="1"/>
  <c r="M120" i="34" s="1"/>
  <c r="L216" i="10"/>
  <c r="M216" i="10" s="1"/>
  <c r="N216" i="10" s="1"/>
  <c r="O216" i="10" s="1"/>
  <c r="L33" i="10"/>
  <c r="P33" i="10" s="1"/>
  <c r="L34" i="10"/>
  <c r="L35" i="10"/>
  <c r="L36" i="10"/>
  <c r="M36" i="10" s="1"/>
  <c r="N36" i="10" s="1"/>
  <c r="O36" i="10" s="1"/>
  <c r="L249" i="10"/>
  <c r="L37" i="10"/>
  <c r="M37" i="10" s="1"/>
  <c r="N37" i="10" s="1"/>
  <c r="O37" i="10" s="1"/>
  <c r="L182" i="10"/>
  <c r="M182" i="10" s="1"/>
  <c r="N182" i="10" s="1"/>
  <c r="O182" i="10" s="1"/>
  <c r="L38" i="10"/>
  <c r="L39" i="10"/>
  <c r="M39" i="10" s="1"/>
  <c r="N39" i="10" s="1"/>
  <c r="O39" i="10" s="1"/>
  <c r="L134" i="10"/>
  <c r="M134" i="10" s="1"/>
  <c r="N134" i="10" s="1"/>
  <c r="O134" i="10" s="1"/>
  <c r="L40" i="10"/>
  <c r="L41" i="10"/>
  <c r="L88" i="10"/>
  <c r="L219" i="10"/>
  <c r="M219" i="10" s="1"/>
  <c r="N219" i="10" s="1"/>
  <c r="O219" i="10" s="1"/>
  <c r="L119" i="10"/>
  <c r="Y119" i="10" s="1"/>
  <c r="Z119" i="10" s="1"/>
  <c r="L42" i="10"/>
  <c r="L43" i="10"/>
  <c r="L44" i="10"/>
  <c r="L163" i="10"/>
  <c r="L161" i="10"/>
  <c r="M161" i="10" s="1"/>
  <c r="N161" i="10" s="1"/>
  <c r="O161" i="10" s="1"/>
  <c r="L45" i="10"/>
  <c r="P45" i="10" s="1"/>
  <c r="L107" i="10"/>
  <c r="P107" i="10" s="1"/>
  <c r="L252" i="10"/>
  <c r="M252" i="10" s="1"/>
  <c r="N252" i="10" s="1"/>
  <c r="O252" i="10" s="1"/>
  <c r="L46" i="10"/>
  <c r="P46" i="10" s="1"/>
  <c r="L47" i="10"/>
  <c r="L105" i="10"/>
  <c r="K81" i="34" s="1"/>
  <c r="M81" i="34" s="1"/>
  <c r="L213" i="10"/>
  <c r="M213" i="10" s="1"/>
  <c r="N213" i="10" s="1"/>
  <c r="O213" i="10" s="1"/>
  <c r="L48" i="10"/>
  <c r="M48" i="10" s="1"/>
  <c r="N48" i="10" s="1"/>
  <c r="O48" i="10" s="1"/>
  <c r="L147" i="10"/>
  <c r="M147" i="10" s="1"/>
  <c r="N147" i="10" s="1"/>
  <c r="O147" i="10" s="1"/>
  <c r="L124" i="10"/>
  <c r="L49" i="10"/>
  <c r="L228" i="10"/>
  <c r="L239" i="10"/>
  <c r="L139" i="10"/>
  <c r="M139" i="10" s="1"/>
  <c r="N139" i="10" s="1"/>
  <c r="O139" i="10" s="1"/>
  <c r="L148" i="10"/>
  <c r="P148" i="10" s="1"/>
  <c r="L137" i="10"/>
  <c r="P137" i="10" s="1"/>
  <c r="L116" i="10"/>
  <c r="P116" i="10" s="1"/>
  <c r="L149" i="10"/>
  <c r="P149" i="10" s="1"/>
  <c r="L193" i="10"/>
  <c r="M193" i="10" s="1"/>
  <c r="N193" i="10" s="1"/>
  <c r="O193" i="10" s="1"/>
  <c r="L191" i="10"/>
  <c r="M191" i="10" s="1"/>
  <c r="N191" i="10" s="1"/>
  <c r="O191" i="10" s="1"/>
  <c r="L50" i="10"/>
  <c r="M50" i="10" s="1"/>
  <c r="N50" i="10" s="1"/>
  <c r="O50" i="10" s="1"/>
  <c r="L172" i="10"/>
  <c r="M172" i="10" s="1"/>
  <c r="N172" i="10" s="1"/>
  <c r="O172" i="10" s="1"/>
  <c r="L51" i="10"/>
  <c r="P51" i="10" s="1"/>
  <c r="L52" i="10"/>
  <c r="L183" i="10"/>
  <c r="L53" i="10"/>
  <c r="P53" i="10" s="1"/>
  <c r="L54" i="10"/>
  <c r="L178" i="10"/>
  <c r="M178" i="10" s="1"/>
  <c r="N178" i="10" s="1"/>
  <c r="O178" i="10" s="1"/>
  <c r="L55" i="10"/>
  <c r="M55" i="10" s="1"/>
  <c r="N55" i="10" s="1"/>
  <c r="O55" i="10" s="1"/>
  <c r="L194" i="10"/>
  <c r="M194" i="10" s="1"/>
  <c r="N194" i="10" s="1"/>
  <c r="O194" i="10" s="1"/>
  <c r="L156" i="10"/>
  <c r="P156" i="10" s="1"/>
  <c r="L195" i="10"/>
  <c r="M195" i="10" s="1"/>
  <c r="N195" i="10" s="1"/>
  <c r="O195" i="10" s="1"/>
  <c r="L125" i="10"/>
  <c r="P125" i="10" s="1"/>
  <c r="L127" i="10"/>
  <c r="P127" i="10" s="1"/>
  <c r="L146" i="10"/>
  <c r="M146" i="10" s="1"/>
  <c r="N146" i="10" s="1"/>
  <c r="O146" i="10" s="1"/>
  <c r="L162" i="10"/>
  <c r="M162" i="10" s="1"/>
  <c r="N162" i="10" s="1"/>
  <c r="O162" i="10" s="1"/>
  <c r="L155" i="10"/>
  <c r="K121" i="34" s="1"/>
  <c r="M121" i="34" s="1"/>
  <c r="L56" i="10"/>
  <c r="L97" i="10"/>
  <c r="L57" i="10"/>
  <c r="L87" i="10"/>
  <c r="L92" i="10"/>
  <c r="M92" i="10" s="1"/>
  <c r="N92" i="10" s="1"/>
  <c r="O92" i="10" s="1"/>
  <c r="L159" i="10"/>
  <c r="P159" i="10" s="1"/>
  <c r="L122" i="10"/>
  <c r="P122" i="10" s="1"/>
  <c r="L250" i="10"/>
  <c r="P250" i="10" s="1"/>
  <c r="L109" i="10"/>
  <c r="Y109" i="10" s="1"/>
  <c r="Z109" i="10" s="1"/>
  <c r="L86" i="10"/>
  <c r="M86" i="10" s="1"/>
  <c r="N86" i="10" s="1"/>
  <c r="O86" i="10" s="1"/>
  <c r="L185" i="10"/>
  <c r="M185" i="10" s="1"/>
  <c r="N185" i="10" s="1"/>
  <c r="O185" i="10" s="1"/>
  <c r="L153" i="10"/>
  <c r="M153" i="10" s="1"/>
  <c r="N153" i="10" s="1"/>
  <c r="O153" i="10" s="1"/>
  <c r="L170" i="10"/>
  <c r="M170" i="10" s="1"/>
  <c r="N170" i="10" s="1"/>
  <c r="O170" i="10" s="1"/>
  <c r="L123" i="10"/>
  <c r="P123" i="10" s="1"/>
  <c r="L115" i="10"/>
  <c r="L58" i="10"/>
  <c r="L150" i="10"/>
  <c r="L243" i="10"/>
  <c r="L160" i="10"/>
  <c r="M160" i="10" s="1"/>
  <c r="N160" i="10" s="1"/>
  <c r="O160" i="10" s="1"/>
  <c r="L113" i="10"/>
  <c r="P113" i="10" s="1"/>
  <c r="L240" i="10"/>
  <c r="L174" i="10"/>
  <c r="M174" i="10" s="1"/>
  <c r="N174" i="10" s="1"/>
  <c r="O174" i="10" s="1"/>
  <c r="L231" i="10"/>
  <c r="M231" i="10" s="1"/>
  <c r="N231" i="10" s="1"/>
  <c r="O231" i="10" s="1"/>
  <c r="L232" i="10"/>
  <c r="M232" i="10" s="1"/>
  <c r="N232" i="10" s="1"/>
  <c r="O232" i="10" s="1"/>
  <c r="L91" i="10"/>
  <c r="K134" i="34" s="1"/>
  <c r="M134" i="34" s="1"/>
  <c r="L157" i="10"/>
  <c r="L114" i="10"/>
  <c r="M114" i="10" s="1"/>
  <c r="N114" i="10" s="1"/>
  <c r="O114" i="10" s="1"/>
  <c r="L164" i="10"/>
  <c r="M164" i="10" s="1"/>
  <c r="N164" i="10" s="1"/>
  <c r="O164" i="10" s="1"/>
  <c r="L90" i="10"/>
  <c r="L176" i="10"/>
  <c r="L222" i="10"/>
  <c r="L254" i="10"/>
  <c r="L154" i="10"/>
  <c r="M154" i="10" s="1"/>
  <c r="N154" i="10" s="1"/>
  <c r="O154" i="10" s="1"/>
  <c r="L59" i="10"/>
  <c r="M59" i="10" s="1"/>
  <c r="N59" i="10" s="1"/>
  <c r="O59" i="10" s="1"/>
  <c r="L60" i="10"/>
  <c r="M60" i="10" s="1"/>
  <c r="N60" i="10" s="1"/>
  <c r="O60" i="10" s="1"/>
  <c r="L61" i="10"/>
  <c r="M61" i="10" s="1"/>
  <c r="N61" i="10" s="1"/>
  <c r="O61" i="10" s="1"/>
  <c r="L255" i="10"/>
  <c r="M255" i="10" s="1"/>
  <c r="N255" i="10" s="1"/>
  <c r="O255" i="10" s="1"/>
  <c r="L256" i="10"/>
  <c r="P256" i="10" s="1"/>
  <c r="L94" i="10"/>
  <c r="P94" i="10" s="1"/>
  <c r="L257" i="10"/>
  <c r="L62" i="10"/>
  <c r="M62" i="10" s="1"/>
  <c r="N62" i="10" s="1"/>
  <c r="O62" i="10" s="1"/>
  <c r="L63" i="10"/>
  <c r="P63" i="10" s="1"/>
  <c r="L165" i="10"/>
  <c r="L166" i="10"/>
  <c r="L167" i="10"/>
  <c r="M167" i="10" s="1"/>
  <c r="N167" i="10" s="1"/>
  <c r="O167" i="10" s="1"/>
  <c r="L258" i="10"/>
  <c r="M258" i="10" s="1"/>
  <c r="N258" i="10" s="1"/>
  <c r="O258" i="10" s="1"/>
  <c r="L64" i="10"/>
  <c r="M64" i="10" s="1"/>
  <c r="N64" i="10" s="1"/>
  <c r="O64" i="10" s="1"/>
  <c r="L106" i="10"/>
  <c r="M106" i="10" s="1"/>
  <c r="N106" i="10" s="1"/>
  <c r="O106" i="10" s="1"/>
  <c r="L65" i="10"/>
  <c r="M65" i="10" s="1"/>
  <c r="N65" i="10" s="1"/>
  <c r="O65" i="10" s="1"/>
  <c r="L66" i="10"/>
  <c r="M66" i="10" s="1"/>
  <c r="N66" i="10" s="1"/>
  <c r="O66" i="10" s="1"/>
  <c r="L259" i="10"/>
  <c r="M259" i="10" s="1"/>
  <c r="N259" i="10" s="1"/>
  <c r="O259" i="10" s="1"/>
  <c r="L225" i="10"/>
  <c r="L101" i="10"/>
  <c r="L244" i="10"/>
  <c r="P244" i="10" s="1"/>
  <c r="L226" i="10"/>
  <c r="M226" i="10" s="1"/>
  <c r="N226" i="10" s="1"/>
  <c r="O226" i="10" s="1"/>
  <c r="L214" i="10"/>
  <c r="M214" i="10" s="1"/>
  <c r="N214" i="10" s="1"/>
  <c r="O214" i="10" s="1"/>
  <c r="L196" i="10"/>
  <c r="L199" i="10"/>
  <c r="L200" i="10"/>
  <c r="L201" i="10"/>
  <c r="L245" i="10"/>
  <c r="M245" i="10" s="1"/>
  <c r="N245" i="10" s="1"/>
  <c r="O245" i="10" s="1"/>
  <c r="L202" i="10"/>
  <c r="P202" i="10" s="1"/>
  <c r="L203" i="10"/>
  <c r="P203" i="10" s="1"/>
  <c r="L204" i="10"/>
  <c r="M204" i="10" s="1"/>
  <c r="N204" i="10" s="1"/>
  <c r="O204" i="10" s="1"/>
  <c r="L212" i="10"/>
  <c r="P212" i="10" s="1"/>
  <c r="L169" i="10"/>
  <c r="M169" i="10" s="1"/>
  <c r="N169" i="10" s="1"/>
  <c r="O169" i="10" s="1"/>
  <c r="L205" i="10"/>
  <c r="L179" i="10"/>
  <c r="M179" i="10" s="1"/>
  <c r="N179" i="10" s="1"/>
  <c r="O179" i="10" s="1"/>
  <c r="L215" i="10"/>
  <c r="M215" i="10" s="1"/>
  <c r="N215" i="10" s="1"/>
  <c r="O215" i="10" s="1"/>
  <c r="L180" i="10"/>
  <c r="M180" i="10" s="1"/>
  <c r="N180" i="10" s="1"/>
  <c r="O180" i="10" s="1"/>
  <c r="L175" i="10"/>
  <c r="L206" i="10"/>
  <c r="L207" i="10"/>
  <c r="L260" i="10"/>
  <c r="L197" i="10"/>
  <c r="M197" i="10" s="1"/>
  <c r="N197" i="10" s="1"/>
  <c r="O197" i="10" s="1"/>
  <c r="L261" i="10"/>
  <c r="P261" i="10" s="1"/>
  <c r="L262" i="10"/>
  <c r="L98" i="10"/>
  <c r="P98" i="10" s="1"/>
  <c r="L96" i="10"/>
  <c r="P96" i="10" s="1"/>
  <c r="L173" i="10"/>
  <c r="M173" i="10" s="1"/>
  <c r="L210" i="10"/>
  <c r="M210" i="10" s="1"/>
  <c r="L138" i="10"/>
  <c r="M138" i="10" s="1"/>
  <c r="N138" i="10" s="1"/>
  <c r="O138" i="10" s="1"/>
  <c r="L246" i="10"/>
  <c r="M246" i="10" s="1"/>
  <c r="N246" i="10" s="1"/>
  <c r="O246" i="10" s="1"/>
  <c r="L263" i="10"/>
  <c r="Y263" i="10" s="1"/>
  <c r="Z263" i="10" s="1"/>
  <c r="L237" i="10"/>
  <c r="L229" i="10"/>
  <c r="L99" i="10"/>
  <c r="P99" i="10" s="1"/>
  <c r="L131" i="10"/>
  <c r="L67" i="10"/>
  <c r="M67" i="10" s="1"/>
  <c r="N67" i="10" s="1"/>
  <c r="O67" i="10" s="1"/>
  <c r="L209" i="10"/>
  <c r="M209" i="10" s="1"/>
  <c r="N209" i="10" s="1"/>
  <c r="O209" i="10" s="1"/>
  <c r="L242" i="10"/>
  <c r="M242" i="10" s="1"/>
  <c r="N242" i="10" s="1"/>
  <c r="O242" i="10" s="1"/>
  <c r="L151" i="10"/>
  <c r="P151" i="10" s="1"/>
  <c r="L152" i="10"/>
  <c r="P152" i="10" s="1"/>
  <c r="L264" i="10"/>
  <c r="P264" i="10" s="1"/>
  <c r="L233" i="10"/>
  <c r="P233" i="10" s="1"/>
  <c r="L188" i="10"/>
  <c r="M188" i="10" s="1"/>
  <c r="N188" i="10" s="1"/>
  <c r="O188" i="10" s="1"/>
  <c r="L184" i="10"/>
  <c r="M184" i="10" s="1"/>
  <c r="N184" i="10" s="1"/>
  <c r="O184" i="10" s="1"/>
  <c r="L168" i="10"/>
  <c r="M168" i="10" s="1"/>
  <c r="N168" i="10" s="1"/>
  <c r="O168" i="10" s="1"/>
  <c r="L186" i="10"/>
  <c r="L181" i="10"/>
  <c r="L111" i="10"/>
  <c r="L158" i="10"/>
  <c r="L104" i="10"/>
  <c r="M104" i="10" s="1"/>
  <c r="N104" i="10" s="1"/>
  <c r="O104" i="10" s="1"/>
  <c r="L265" i="10"/>
  <c r="P265" i="10" s="1"/>
  <c r="L266" i="10"/>
  <c r="P266" i="10" s="1"/>
  <c r="L171" i="10"/>
  <c r="P171" i="10" s="1"/>
  <c r="L238" i="10"/>
  <c r="M238" i="10" s="1"/>
  <c r="N238" i="10" s="1"/>
  <c r="O238" i="10" s="1"/>
  <c r="L221" i="10"/>
  <c r="M221" i="10" s="1"/>
  <c r="N221" i="10" s="1"/>
  <c r="O221" i="10" s="1"/>
  <c r="L208" i="10"/>
  <c r="M208" i="10" s="1"/>
  <c r="N208" i="10" s="1"/>
  <c r="O208" i="10" s="1"/>
  <c r="L267" i="10"/>
  <c r="L235" i="10"/>
  <c r="M235" i="10" s="1"/>
  <c r="N235" i="10" s="1"/>
  <c r="O235" i="10" s="1"/>
  <c r="L268" i="10"/>
  <c r="M268" i="10" s="1"/>
  <c r="N268" i="10" s="1"/>
  <c r="O268" i="10" s="1"/>
  <c r="L269" i="10"/>
  <c r="L270" i="10"/>
  <c r="L271" i="10"/>
  <c r="L68" i="10"/>
  <c r="M68" i="10" s="1"/>
  <c r="N68" i="10" s="1"/>
  <c r="O68" i="10" s="1"/>
  <c r="L69" i="10"/>
  <c r="M69" i="10" s="1"/>
  <c r="N69" i="10" s="1"/>
  <c r="O69" i="10" s="1"/>
  <c r="L234" i="10"/>
  <c r="M234" i="10" s="1"/>
  <c r="N234" i="10" s="1"/>
  <c r="O234" i="10" s="1"/>
  <c r="L70" i="10"/>
  <c r="M70" i="10" s="1"/>
  <c r="N70" i="10" s="1"/>
  <c r="O70" i="10" s="1"/>
  <c r="L71" i="10"/>
  <c r="M71" i="10" s="1"/>
  <c r="N71" i="10" s="1"/>
  <c r="O71" i="10" s="1"/>
  <c r="L72" i="10"/>
  <c r="M72" i="10" s="1"/>
  <c r="N72" i="10" s="1"/>
  <c r="O72" i="10" s="1"/>
  <c r="L73" i="10"/>
  <c r="M73" i="10" s="1"/>
  <c r="N73" i="10" s="1"/>
  <c r="O73" i="10" s="1"/>
  <c r="L74" i="10"/>
  <c r="M74" i="10" s="1"/>
  <c r="N74" i="10" s="1"/>
  <c r="O74" i="10" s="1"/>
  <c r="L75" i="10"/>
  <c r="P75" i="10" s="1"/>
  <c r="L76" i="10"/>
  <c r="M76" i="10" s="1"/>
  <c r="N76" i="10" s="1"/>
  <c r="O76" i="10" s="1"/>
  <c r="L77" i="10"/>
  <c r="P77" i="10" s="1"/>
  <c r="L78" i="10"/>
  <c r="L79" i="10"/>
  <c r="L80" i="10"/>
  <c r="P80" i="10" s="1"/>
  <c r="L81" i="10"/>
  <c r="L82" i="10"/>
  <c r="M82" i="10" s="1"/>
  <c r="N82" i="10" s="1"/>
  <c r="O82" i="10" s="1"/>
  <c r="L272" i="10"/>
  <c r="M272" i="10" s="1"/>
  <c r="N272" i="10" s="1"/>
  <c r="O272" i="10" s="1"/>
  <c r="L83" i="10"/>
  <c r="M83" i="10" s="1"/>
  <c r="N83" i="10" s="1"/>
  <c r="O83" i="10" s="1"/>
  <c r="L273" i="10"/>
  <c r="P273" i="10" s="1"/>
  <c r="L84" i="10"/>
  <c r="P84" i="10" s="1"/>
  <c r="L274" i="10"/>
  <c r="P274" i="10" s="1"/>
  <c r="M143" i="10"/>
  <c r="M141" i="10"/>
  <c r="N141" i="10" s="1"/>
  <c r="O141" i="10" s="1"/>
  <c r="M93" i="10"/>
  <c r="N93" i="10" s="1"/>
  <c r="O93" i="10" s="1"/>
  <c r="M140" i="10"/>
  <c r="N140" i="10" s="1"/>
  <c r="O140" i="10" s="1"/>
  <c r="M217" i="10"/>
  <c r="N217" i="10" s="1"/>
  <c r="O217" i="10" s="1"/>
  <c r="M6" i="10"/>
  <c r="N6" i="10" s="1"/>
  <c r="O6" i="10" s="1"/>
  <c r="M187" i="10"/>
  <c r="N187" i="10" s="1"/>
  <c r="O187" i="10" s="1"/>
  <c r="M11" i="10"/>
  <c r="N11" i="10" s="1"/>
  <c r="O11" i="10" s="1"/>
  <c r="M220" i="10"/>
  <c r="N220" i="10" s="1"/>
  <c r="O220" i="10" s="1"/>
  <c r="M224" i="10"/>
  <c r="N224" i="10" s="1"/>
  <c r="O224" i="10" s="1"/>
  <c r="M133" i="10"/>
  <c r="M16" i="10"/>
  <c r="N16" i="10" s="1"/>
  <c r="O16" i="10" s="1"/>
  <c r="M19" i="10"/>
  <c r="N19" i="10" s="1"/>
  <c r="O19" i="10" s="1"/>
  <c r="M24" i="10"/>
  <c r="N24" i="10" s="1"/>
  <c r="O24" i="10" s="1"/>
  <c r="M247" i="10"/>
  <c r="N247" i="10" s="1"/>
  <c r="O247" i="10" s="1"/>
  <c r="M26" i="10"/>
  <c r="N26" i="10" s="1"/>
  <c r="O26" i="10" s="1"/>
  <c r="M27" i="10"/>
  <c r="N27" i="10" s="1"/>
  <c r="O27" i="10" s="1"/>
  <c r="M85" i="10"/>
  <c r="N85" i="10" s="1"/>
  <c r="O85" i="10" s="1"/>
  <c r="M198" i="10"/>
  <c r="N198" i="10" s="1"/>
  <c r="O198" i="10" s="1"/>
  <c r="M129" i="10"/>
  <c r="N129" i="10" s="1"/>
  <c r="O129" i="10" s="1"/>
  <c r="M145" i="10"/>
  <c r="N145" i="10" s="1"/>
  <c r="O145" i="10" s="1"/>
  <c r="M121" i="10"/>
  <c r="N121" i="10" s="1"/>
  <c r="O121" i="10" s="1"/>
  <c r="M249" i="10"/>
  <c r="N249" i="10" s="1"/>
  <c r="O249" i="10" s="1"/>
  <c r="M38" i="10"/>
  <c r="N38" i="10" s="1"/>
  <c r="O38" i="10" s="1"/>
  <c r="M40" i="10"/>
  <c r="N40" i="10" s="1"/>
  <c r="O40" i="10" s="1"/>
  <c r="M41" i="10"/>
  <c r="N41" i="10" s="1"/>
  <c r="O41" i="10" s="1"/>
  <c r="M88" i="10"/>
  <c r="N88" i="10" s="1"/>
  <c r="O88" i="10" s="1"/>
  <c r="M163" i="10"/>
  <c r="N163" i="10" s="1"/>
  <c r="O163" i="10" s="1"/>
  <c r="M47" i="10"/>
  <c r="N47" i="10" s="1"/>
  <c r="O47" i="10" s="1"/>
  <c r="M105" i="10"/>
  <c r="N105" i="10" s="1"/>
  <c r="O105" i="10" s="1"/>
  <c r="M239" i="10"/>
  <c r="N239" i="10" s="1"/>
  <c r="O239" i="10" s="1"/>
  <c r="M137" i="10"/>
  <c r="N137" i="10" s="1"/>
  <c r="O137" i="10" s="1"/>
  <c r="M116" i="10"/>
  <c r="N116" i="10" s="1"/>
  <c r="M53" i="10"/>
  <c r="N53" i="10" s="1"/>
  <c r="O53" i="10" s="1"/>
  <c r="M54" i="10"/>
  <c r="N54" i="10" s="1"/>
  <c r="O54" i="10" s="1"/>
  <c r="M125" i="10"/>
  <c r="N125" i="10" s="1"/>
  <c r="O125" i="10" s="1"/>
  <c r="M127" i="10"/>
  <c r="M87" i="10"/>
  <c r="M122" i="10"/>
  <c r="N122" i="10" s="1"/>
  <c r="O122" i="10" s="1"/>
  <c r="M250" i="10"/>
  <c r="N250" i="10" s="1"/>
  <c r="O250" i="10" s="1"/>
  <c r="M243" i="10"/>
  <c r="N243" i="10" s="1"/>
  <c r="O243" i="10" s="1"/>
  <c r="M240" i="10"/>
  <c r="N240" i="10" s="1"/>
  <c r="O240" i="10" s="1"/>
  <c r="M91" i="10"/>
  <c r="N91" i="10" s="1"/>
  <c r="O91" i="10" s="1"/>
  <c r="M157" i="10"/>
  <c r="N157" i="10" s="1"/>
  <c r="O157" i="10" s="1"/>
  <c r="M254" i="10"/>
  <c r="N254" i="10" s="1"/>
  <c r="O254" i="10" s="1"/>
  <c r="M256" i="10"/>
  <c r="N256" i="10" s="1"/>
  <c r="O256" i="10" s="1"/>
  <c r="M257" i="10"/>
  <c r="N257" i="10" s="1"/>
  <c r="O257" i="10" s="1"/>
  <c r="M225" i="10"/>
  <c r="N225" i="10" s="1"/>
  <c r="O225" i="10" s="1"/>
  <c r="M101" i="10"/>
  <c r="N101" i="10" s="1"/>
  <c r="O101" i="10" s="1"/>
  <c r="M244" i="10"/>
  <c r="N244" i="10" s="1"/>
  <c r="O244" i="10" s="1"/>
  <c r="M201" i="10"/>
  <c r="N201" i="10" s="1"/>
  <c r="O201" i="10" s="1"/>
  <c r="M205" i="10"/>
  <c r="N205" i="10" s="1"/>
  <c r="O205" i="10" s="1"/>
  <c r="M260" i="10"/>
  <c r="N260" i="10" s="1"/>
  <c r="O260" i="10" s="1"/>
  <c r="M262" i="10"/>
  <c r="N262" i="10" s="1"/>
  <c r="O262" i="10" s="1"/>
  <c r="M98" i="10"/>
  <c r="N98" i="10" s="1"/>
  <c r="O98" i="10" s="1"/>
  <c r="M131" i="10"/>
  <c r="N131" i="10" s="1"/>
  <c r="O131" i="10" s="1"/>
  <c r="M151" i="10"/>
  <c r="N151" i="10" s="1"/>
  <c r="O151" i="10" s="1"/>
  <c r="M233" i="10"/>
  <c r="N233" i="10" s="1"/>
  <c r="O233" i="10" s="1"/>
  <c r="M158" i="10"/>
  <c r="M267" i="10"/>
  <c r="N267" i="10" s="1"/>
  <c r="O267" i="10" s="1"/>
  <c r="M81" i="10"/>
  <c r="N81" i="10" s="1"/>
  <c r="O81" i="10" s="1"/>
  <c r="M273" i="10"/>
  <c r="N273" i="10" s="1"/>
  <c r="O273" i="10" s="1"/>
  <c r="M274" i="10"/>
  <c r="N274" i="10" s="1"/>
  <c r="O274" i="10" s="1"/>
  <c r="N143" i="10"/>
  <c r="O143" i="10" s="1"/>
  <c r="N177" i="10"/>
  <c r="O177" i="10" s="1"/>
  <c r="N5" i="10"/>
  <c r="O5" i="10" s="1"/>
  <c r="N133" i="10"/>
  <c r="O133" i="10" s="1"/>
  <c r="N253" i="10"/>
  <c r="O253" i="10" s="1"/>
  <c r="N127" i="10"/>
  <c r="O127" i="10" s="1"/>
  <c r="N87" i="10"/>
  <c r="O87" i="10" s="1"/>
  <c r="N173" i="10"/>
  <c r="O173" i="10" s="1"/>
  <c r="N210" i="10"/>
  <c r="O210" i="10" s="1"/>
  <c r="N158" i="10"/>
  <c r="O116" i="10"/>
  <c r="O158" i="10"/>
  <c r="P143" i="10"/>
  <c r="P102" i="10"/>
  <c r="P141" i="10"/>
  <c r="P93" i="10"/>
  <c r="P217" i="10"/>
  <c r="P136" i="10"/>
  <c r="P144" i="10"/>
  <c r="P117" i="10"/>
  <c r="P177" i="10"/>
  <c r="P5" i="10"/>
  <c r="P187" i="10"/>
  <c r="P227" i="10"/>
  <c r="P100" i="10"/>
  <c r="P9" i="10"/>
  <c r="P133" i="10"/>
  <c r="P110" i="10"/>
  <c r="P18" i="10"/>
  <c r="P118" i="10"/>
  <c r="P24" i="10"/>
  <c r="P25" i="10"/>
  <c r="P223" i="10"/>
  <c r="P26" i="10"/>
  <c r="P85" i="10"/>
  <c r="P218" i="10"/>
  <c r="P211" i="10"/>
  <c r="P198" i="10"/>
  <c r="P249" i="10"/>
  <c r="P37" i="10"/>
  <c r="P38" i="10"/>
  <c r="P40" i="10"/>
  <c r="P41" i="10"/>
  <c r="P88" i="10"/>
  <c r="P163" i="10"/>
  <c r="P161" i="10"/>
  <c r="P47" i="10"/>
  <c r="P105" i="10"/>
  <c r="P213" i="10"/>
  <c r="P239" i="10"/>
  <c r="P139" i="10"/>
  <c r="P193" i="10"/>
  <c r="P191" i="10"/>
  <c r="P50" i="10"/>
  <c r="P54" i="10"/>
  <c r="P178" i="10"/>
  <c r="P194" i="10"/>
  <c r="P146" i="10"/>
  <c r="P87" i="10"/>
  <c r="P92" i="10"/>
  <c r="P109" i="10"/>
  <c r="P86" i="10"/>
  <c r="P185" i="10"/>
  <c r="P153" i="10"/>
  <c r="P243" i="10"/>
  <c r="P160" i="10"/>
  <c r="P240" i="10"/>
  <c r="P91" i="10"/>
  <c r="P157" i="10"/>
  <c r="P254" i="10"/>
  <c r="P60" i="10"/>
  <c r="P61" i="10"/>
  <c r="P257" i="10"/>
  <c r="P258" i="10"/>
  <c r="P64" i="10"/>
  <c r="P65" i="10"/>
  <c r="P225" i="10"/>
  <c r="P101" i="10"/>
  <c r="P201" i="10"/>
  <c r="P245" i="10"/>
  <c r="P169" i="10"/>
  <c r="P205" i="10"/>
  <c r="P260" i="10"/>
  <c r="P197" i="10"/>
  <c r="P262" i="10"/>
  <c r="P173" i="10"/>
  <c r="P210" i="10"/>
  <c r="P138" i="10"/>
  <c r="P131" i="10"/>
  <c r="P67" i="10"/>
  <c r="P158" i="10"/>
  <c r="P104" i="10"/>
  <c r="P208" i="10"/>
  <c r="P267" i="10"/>
  <c r="P68" i="10"/>
  <c r="P69" i="10"/>
  <c r="P74" i="10"/>
  <c r="P81" i="10"/>
  <c r="Q143" i="10"/>
  <c r="Q102" i="10"/>
  <c r="S102" i="10" s="1"/>
  <c r="T102" i="10" s="1"/>
  <c r="Q236" i="10"/>
  <c r="S236" i="10" s="1"/>
  <c r="T236" i="10" s="1"/>
  <c r="Q120" i="10"/>
  <c r="Q142" i="10"/>
  <c r="Q108" i="10"/>
  <c r="Q141" i="10"/>
  <c r="S141" i="10" s="1"/>
  <c r="T141" i="10" s="1"/>
  <c r="Q93" i="10"/>
  <c r="Y93" i="10" s="1"/>
  <c r="Z93" i="10" s="1"/>
  <c r="Q140" i="10"/>
  <c r="Q2" i="10"/>
  <c r="Q230" i="10"/>
  <c r="Q3" i="10"/>
  <c r="Q135" i="10"/>
  <c r="Q112" i="10"/>
  <c r="Q217" i="10"/>
  <c r="Q136" i="10"/>
  <c r="Q144" i="10"/>
  <c r="S144" i="10" s="1"/>
  <c r="T144" i="10" s="1"/>
  <c r="Q117" i="10"/>
  <c r="Q4" i="10"/>
  <c r="Q248" i="10"/>
  <c r="Q177" i="10"/>
  <c r="Y177" i="10" s="1"/>
  <c r="Z177" i="10" s="1"/>
  <c r="Q5" i="10"/>
  <c r="V5" i="10" s="1"/>
  <c r="Q6" i="10"/>
  <c r="Q192" i="10"/>
  <c r="Q95" i="10"/>
  <c r="Q7" i="10"/>
  <c r="Q8" i="10"/>
  <c r="Q189" i="10"/>
  <c r="Q187" i="10"/>
  <c r="Q227" i="10"/>
  <c r="Q132" i="10"/>
  <c r="S132" i="10" s="1"/>
  <c r="T132" i="10" s="1"/>
  <c r="Q100" i="10"/>
  <c r="Q9" i="10"/>
  <c r="Q10" i="10"/>
  <c r="Q11" i="10"/>
  <c r="S11" i="10" s="1"/>
  <c r="T11" i="10" s="1"/>
  <c r="Q220" i="10"/>
  <c r="Y220" i="10" s="1"/>
  <c r="Z220" i="10" s="1"/>
  <c r="Q224" i="10"/>
  <c r="Q12" i="10"/>
  <c r="Q251" i="10"/>
  <c r="Q13" i="10"/>
  <c r="Q14" i="10"/>
  <c r="Q15" i="10"/>
  <c r="Q133" i="10"/>
  <c r="Q110" i="10"/>
  <c r="Q89" i="10"/>
  <c r="S89" i="10" s="1"/>
  <c r="T89" i="10" s="1"/>
  <c r="Q16" i="10"/>
  <c r="Q190" i="10"/>
  <c r="Q17" i="10"/>
  <c r="Q18" i="10"/>
  <c r="Y18" i="10" s="1"/>
  <c r="Z18" i="10" s="1"/>
  <c r="Q118" i="10"/>
  <c r="Y118" i="10" s="1"/>
  <c r="Z118" i="10" s="1"/>
  <c r="Q19" i="10"/>
  <c r="Q241" i="10"/>
  <c r="Q20" i="10"/>
  <c r="Q21" i="10"/>
  <c r="Q22" i="10"/>
  <c r="Q23" i="10"/>
  <c r="Q24" i="10"/>
  <c r="Q25" i="10"/>
  <c r="Q247" i="10"/>
  <c r="S247" i="10" s="1"/>
  <c r="T247" i="10" s="1"/>
  <c r="Q223" i="10"/>
  <c r="Q126" i="10"/>
  <c r="Q128" i="10"/>
  <c r="Q253" i="10"/>
  <c r="Z253" i="10" s="1"/>
  <c r="Q26" i="10"/>
  <c r="Y26" i="10" s="1"/>
  <c r="Q27" i="10"/>
  <c r="Q28" i="10"/>
  <c r="Q29" i="10"/>
  <c r="Q30" i="10"/>
  <c r="Q31" i="10"/>
  <c r="Q32" i="10"/>
  <c r="Q85" i="10"/>
  <c r="Q218" i="10"/>
  <c r="Q211" i="10"/>
  <c r="Y211" i="10" s="1"/>
  <c r="Z211" i="10" s="1"/>
  <c r="Q198" i="10"/>
  <c r="Q130" i="10"/>
  <c r="Q103" i="10"/>
  <c r="Q129" i="10"/>
  <c r="S129" i="10" s="1"/>
  <c r="T129" i="10" s="1"/>
  <c r="Q145" i="10"/>
  <c r="Y145" i="10" s="1"/>
  <c r="Z145" i="10" s="1"/>
  <c r="Q121" i="10"/>
  <c r="Q216" i="10"/>
  <c r="Q33" i="10"/>
  <c r="Q34" i="10"/>
  <c r="Q35" i="10"/>
  <c r="Q36" i="10"/>
  <c r="Q249" i="10"/>
  <c r="Q37" i="10"/>
  <c r="Q182" i="10"/>
  <c r="Y182" i="10" s="1"/>
  <c r="Z182" i="10" s="1"/>
  <c r="Q38" i="10"/>
  <c r="Q39" i="10"/>
  <c r="Q134" i="10"/>
  <c r="Q40" i="10"/>
  <c r="Y40" i="10" s="1"/>
  <c r="Z40" i="10" s="1"/>
  <c r="Q41" i="10"/>
  <c r="Q88" i="10"/>
  <c r="Q219" i="10"/>
  <c r="Q119" i="10"/>
  <c r="Q42" i="10"/>
  <c r="Q43" i="10"/>
  <c r="Q44" i="10"/>
  <c r="Q163" i="10"/>
  <c r="Q161" i="10"/>
  <c r="Q45" i="10"/>
  <c r="Q107" i="10"/>
  <c r="Q252" i="10"/>
  <c r="Q46" i="10"/>
  <c r="Q47" i="10"/>
  <c r="Y47" i="10" s="1"/>
  <c r="Z47" i="10" s="1"/>
  <c r="Q105" i="10"/>
  <c r="Y105" i="10" s="1"/>
  <c r="Z105" i="10" s="1"/>
  <c r="Q213" i="10"/>
  <c r="Q48" i="10"/>
  <c r="Q147" i="10"/>
  <c r="Q124" i="10"/>
  <c r="Q49" i="10"/>
  <c r="Q228" i="10"/>
  <c r="Q239" i="10"/>
  <c r="Q139" i="10"/>
  <c r="Q148" i="10"/>
  <c r="Q137" i="10"/>
  <c r="Q116" i="10"/>
  <c r="Q149" i="10"/>
  <c r="Q193" i="10"/>
  <c r="Y193" i="10" s="1"/>
  <c r="Z193" i="10" s="1"/>
  <c r="Q191" i="10"/>
  <c r="Y191" i="10" s="1"/>
  <c r="Z191" i="10" s="1"/>
  <c r="Q50" i="10"/>
  <c r="Q172" i="10"/>
  <c r="Q51" i="10"/>
  <c r="Q52" i="10"/>
  <c r="Q183" i="10"/>
  <c r="Q53" i="10"/>
  <c r="Q54" i="10"/>
  <c r="Q178" i="10"/>
  <c r="Q55" i="10"/>
  <c r="Y55" i="10" s="1"/>
  <c r="Q194" i="10"/>
  <c r="Q156" i="10"/>
  <c r="Q195" i="10"/>
  <c r="Q125" i="10"/>
  <c r="S125" i="10" s="1"/>
  <c r="T125" i="10" s="1"/>
  <c r="Q127" i="10"/>
  <c r="Y127" i="10" s="1"/>
  <c r="Z127" i="10" s="1"/>
  <c r="Q146" i="10"/>
  <c r="Q162" i="10"/>
  <c r="Q155" i="10"/>
  <c r="Q56" i="10"/>
  <c r="Q97" i="10"/>
  <c r="Q57" i="10"/>
  <c r="Q87" i="10"/>
  <c r="Q92" i="10"/>
  <c r="S92" i="10" s="1"/>
  <c r="T92" i="10" s="1"/>
  <c r="Q159" i="10"/>
  <c r="Q122" i="10"/>
  <c r="Q250" i="10"/>
  <c r="Q109" i="10"/>
  <c r="Q86" i="10"/>
  <c r="Y86" i="10" s="1"/>
  <c r="Z86" i="10" s="1"/>
  <c r="Q185" i="10"/>
  <c r="Q153" i="10"/>
  <c r="Q170" i="10"/>
  <c r="Q123" i="10"/>
  <c r="Q115" i="10"/>
  <c r="Q58" i="10"/>
  <c r="Q150" i="10"/>
  <c r="Q243" i="10"/>
  <c r="Q160" i="10"/>
  <c r="Q113" i="10"/>
  <c r="Y113" i="10" s="1"/>
  <c r="Z113" i="10" s="1"/>
  <c r="Q240" i="10"/>
  <c r="Q174" i="10"/>
  <c r="Q231" i="10"/>
  <c r="Q232" i="10"/>
  <c r="S232" i="10" s="1"/>
  <c r="T232" i="10" s="1"/>
  <c r="Q91" i="10"/>
  <c r="S91" i="10" s="1"/>
  <c r="T91" i="10" s="1"/>
  <c r="Q157" i="10"/>
  <c r="Q114" i="10"/>
  <c r="Q164" i="10"/>
  <c r="Q90" i="10"/>
  <c r="Q176" i="10"/>
  <c r="Q222" i="10"/>
  <c r="Q254" i="10"/>
  <c r="Q154" i="10"/>
  <c r="Q59" i="10"/>
  <c r="V59" i="10" s="1"/>
  <c r="Q60" i="10"/>
  <c r="Q61" i="10"/>
  <c r="Q255" i="10"/>
  <c r="Q256" i="10"/>
  <c r="Y256" i="10" s="1"/>
  <c r="Z256" i="10" s="1"/>
  <c r="Q94" i="10"/>
  <c r="Q257" i="10"/>
  <c r="Q62" i="10"/>
  <c r="Q63" i="10"/>
  <c r="Q165" i="10"/>
  <c r="Q166" i="10"/>
  <c r="Q167" i="10"/>
  <c r="S167" i="10" s="1"/>
  <c r="T167" i="10" s="1"/>
  <c r="Q258" i="10"/>
  <c r="Q64" i="10"/>
  <c r="Q106" i="10"/>
  <c r="Y106" i="10" s="1"/>
  <c r="Q65" i="10"/>
  <c r="Q66" i="10"/>
  <c r="Q259" i="10"/>
  <c r="Q225" i="10"/>
  <c r="Y225" i="10" s="1"/>
  <c r="Z225" i="10" s="1"/>
  <c r="Q101" i="10"/>
  <c r="Y101" i="10" s="1"/>
  <c r="Z101" i="10" s="1"/>
  <c r="Q244" i="10"/>
  <c r="Q226" i="10"/>
  <c r="Q214" i="10"/>
  <c r="Q196" i="10"/>
  <c r="Q199" i="10"/>
  <c r="Q200" i="10"/>
  <c r="Q201" i="10"/>
  <c r="Q245" i="10"/>
  <c r="Q202" i="10"/>
  <c r="Y202" i="10" s="1"/>
  <c r="Z202" i="10" s="1"/>
  <c r="Q203" i="10"/>
  <c r="Q204" i="10"/>
  <c r="Q212" i="10"/>
  <c r="Q169" i="10"/>
  <c r="Y169" i="10" s="1"/>
  <c r="Z169" i="10" s="1"/>
  <c r="Q205" i="10"/>
  <c r="Y205" i="10" s="1"/>
  <c r="Q179" i="10"/>
  <c r="Q215" i="10"/>
  <c r="Q180" i="10"/>
  <c r="Q175" i="10"/>
  <c r="Q206" i="10"/>
  <c r="Q207" i="10"/>
  <c r="Q260" i="10"/>
  <c r="Q197" i="10"/>
  <c r="Q261" i="10"/>
  <c r="Y261" i="10" s="1"/>
  <c r="Z261" i="10" s="1"/>
  <c r="Q262" i="10"/>
  <c r="Y262" i="10" s="1"/>
  <c r="Z262" i="10" s="1"/>
  <c r="Q98" i="10"/>
  <c r="Q96" i="10"/>
  <c r="Q173" i="10"/>
  <c r="Y173" i="10" s="1"/>
  <c r="Z173" i="10" s="1"/>
  <c r="Q210" i="10"/>
  <c r="Q138" i="10"/>
  <c r="Q246" i="10"/>
  <c r="Q263" i="10"/>
  <c r="Q237" i="10"/>
  <c r="Q229" i="10"/>
  <c r="Q99" i="10"/>
  <c r="Q131" i="10"/>
  <c r="Q67" i="10"/>
  <c r="Q209" i="10"/>
  <c r="Y209" i="10" s="1"/>
  <c r="Q242" i="10"/>
  <c r="Q151" i="10"/>
  <c r="Q152" i="10"/>
  <c r="Q264" i="10"/>
  <c r="Y264" i="10" s="1"/>
  <c r="Z264" i="10" s="1"/>
  <c r="Q233" i="10"/>
  <c r="Y233" i="10" s="1"/>
  <c r="Z233" i="10" s="1"/>
  <c r="Q188" i="10"/>
  <c r="Q184" i="10"/>
  <c r="Q168" i="10"/>
  <c r="Q186" i="10"/>
  <c r="Q181" i="10"/>
  <c r="Q111" i="10"/>
  <c r="S111" i="10" s="1"/>
  <c r="T111" i="10" s="1"/>
  <c r="Q158" i="10"/>
  <c r="Q104" i="10"/>
  <c r="Q265" i="10"/>
  <c r="Y265" i="10" s="1"/>
  <c r="Q266" i="10"/>
  <c r="Q171" i="10"/>
  <c r="Q238" i="10"/>
  <c r="Q221" i="10"/>
  <c r="Y221" i="10" s="1"/>
  <c r="Z221" i="10" s="1"/>
  <c r="Q208" i="10"/>
  <c r="Y208" i="10" s="1"/>
  <c r="Z208" i="10" s="1"/>
  <c r="Q267" i="10"/>
  <c r="Q235" i="10"/>
  <c r="Q268" i="10"/>
  <c r="Q269" i="10"/>
  <c r="Q270" i="10"/>
  <c r="Q271" i="10"/>
  <c r="Y271" i="10" s="1"/>
  <c r="Z271" i="10" s="1"/>
  <c r="Q68" i="10"/>
  <c r="Q69" i="10"/>
  <c r="Q234" i="10"/>
  <c r="S234" i="10" s="1"/>
  <c r="T234" i="10" s="1"/>
  <c r="Q70" i="10"/>
  <c r="Q71" i="10"/>
  <c r="Q72" i="10"/>
  <c r="Q73" i="10"/>
  <c r="Y73" i="10" s="1"/>
  <c r="Z73" i="10" s="1"/>
  <c r="Q74" i="10"/>
  <c r="Y74" i="10" s="1"/>
  <c r="Q75" i="10"/>
  <c r="Q76" i="10"/>
  <c r="Q77" i="10"/>
  <c r="Q78" i="10"/>
  <c r="Q79" i="10"/>
  <c r="Q80" i="10"/>
  <c r="Y80" i="10" s="1"/>
  <c r="Z80" i="10" s="1"/>
  <c r="Q81" i="10"/>
  <c r="Q82" i="10"/>
  <c r="Q272" i="10"/>
  <c r="S272" i="10" s="1"/>
  <c r="T272" i="10" s="1"/>
  <c r="Q83" i="10"/>
  <c r="Q273" i="10"/>
  <c r="Q84" i="10"/>
  <c r="Q274" i="10"/>
  <c r="Y274" i="10" s="1"/>
  <c r="Z274" i="10" s="1"/>
  <c r="R143" i="10"/>
  <c r="S143" i="10" s="1"/>
  <c r="T143" i="10" s="1"/>
  <c r="R102" i="10"/>
  <c r="R236" i="10"/>
  <c r="R120" i="10"/>
  <c r="R142" i="10"/>
  <c r="R108" i="10"/>
  <c r="R141" i="10"/>
  <c r="R93" i="10"/>
  <c r="R140" i="10"/>
  <c r="S140" i="10" s="1"/>
  <c r="T140" i="10" s="1"/>
  <c r="R2" i="10"/>
  <c r="S2" i="10" s="1"/>
  <c r="R230" i="10"/>
  <c r="S230" i="10" s="1"/>
  <c r="R3" i="10"/>
  <c r="R135" i="10"/>
  <c r="S135" i="10" s="1"/>
  <c r="R112" i="10"/>
  <c r="R217" i="10"/>
  <c r="S217" i="10" s="1"/>
  <c r="T217" i="10" s="1"/>
  <c r="R136" i="10"/>
  <c r="R144" i="10"/>
  <c r="R117" i="10"/>
  <c r="R4" i="10"/>
  <c r="R248" i="10"/>
  <c r="R177" i="10"/>
  <c r="R5" i="10"/>
  <c r="R6" i="10"/>
  <c r="S6" i="10" s="1"/>
  <c r="T6" i="10" s="1"/>
  <c r="R192" i="10"/>
  <c r="S192" i="10" s="1"/>
  <c r="R95" i="10"/>
  <c r="S95" i="10" s="1"/>
  <c r="R7" i="10"/>
  <c r="R8" i="10"/>
  <c r="S8" i="10" s="1"/>
  <c r="R189" i="10"/>
  <c r="S189" i="10" s="1"/>
  <c r="R187" i="10"/>
  <c r="S187" i="10" s="1"/>
  <c r="T187" i="10" s="1"/>
  <c r="R227" i="10"/>
  <c r="R132" i="10"/>
  <c r="R100" i="10"/>
  <c r="R9" i="10"/>
  <c r="R10" i="10"/>
  <c r="R11" i="10"/>
  <c r="R220" i="10"/>
  <c r="R224" i="10"/>
  <c r="S224" i="10" s="1"/>
  <c r="T224" i="10" s="1"/>
  <c r="R12" i="10"/>
  <c r="S12" i="10" s="1"/>
  <c r="R251" i="10"/>
  <c r="S251" i="10" s="1"/>
  <c r="R13" i="10"/>
  <c r="R14" i="10"/>
  <c r="S14" i="10" s="1"/>
  <c r="R15" i="10"/>
  <c r="S15" i="10" s="1"/>
  <c r="R133" i="10"/>
  <c r="S133" i="10" s="1"/>
  <c r="T133" i="10" s="1"/>
  <c r="R110" i="10"/>
  <c r="R89" i="10"/>
  <c r="R16" i="10"/>
  <c r="R190" i="10"/>
  <c r="R17" i="10"/>
  <c r="R18" i="10"/>
  <c r="R118" i="10"/>
  <c r="R19" i="10"/>
  <c r="S19" i="10" s="1"/>
  <c r="T19" i="10" s="1"/>
  <c r="R241" i="10"/>
  <c r="S241" i="10" s="1"/>
  <c r="R20" i="10"/>
  <c r="S20" i="10" s="1"/>
  <c r="R21" i="10"/>
  <c r="R22" i="10"/>
  <c r="S22" i="10" s="1"/>
  <c r="R23" i="10"/>
  <c r="S23" i="10" s="1"/>
  <c r="R24" i="10"/>
  <c r="S24" i="10" s="1"/>
  <c r="T24" i="10" s="1"/>
  <c r="R25" i="10"/>
  <c r="R247" i="10"/>
  <c r="R223" i="10"/>
  <c r="R126" i="10"/>
  <c r="R128" i="10"/>
  <c r="R253" i="10"/>
  <c r="R26" i="10"/>
  <c r="R27" i="10"/>
  <c r="S27" i="10" s="1"/>
  <c r="T27" i="10" s="1"/>
  <c r="R28" i="10"/>
  <c r="S28" i="10" s="1"/>
  <c r="R29" i="10"/>
  <c r="S29" i="10" s="1"/>
  <c r="R30" i="10"/>
  <c r="R31" i="10"/>
  <c r="S31" i="10" s="1"/>
  <c r="R32" i="10"/>
  <c r="S32" i="10" s="1"/>
  <c r="R85" i="10"/>
  <c r="S85" i="10" s="1"/>
  <c r="T85" i="10" s="1"/>
  <c r="R218" i="10"/>
  <c r="R211" i="10"/>
  <c r="R198" i="10"/>
  <c r="R130" i="10"/>
  <c r="R103" i="10"/>
  <c r="R129" i="10"/>
  <c r="R145" i="10"/>
  <c r="R121" i="10"/>
  <c r="R216" i="10"/>
  <c r="S216" i="10" s="1"/>
  <c r="R33" i="10"/>
  <c r="S33" i="10" s="1"/>
  <c r="R34" i="10"/>
  <c r="R35" i="10"/>
  <c r="S35" i="10" s="1"/>
  <c r="R36" i="10"/>
  <c r="S36" i="10" s="1"/>
  <c r="R249" i="10"/>
  <c r="S249" i="10" s="1"/>
  <c r="T249" i="10" s="1"/>
  <c r="R37" i="10"/>
  <c r="R182" i="10"/>
  <c r="R38" i="10"/>
  <c r="R39" i="10"/>
  <c r="R134" i="10"/>
  <c r="R40" i="10"/>
  <c r="R41" i="10"/>
  <c r="R88" i="10"/>
  <c r="S88" i="10" s="1"/>
  <c r="T88" i="10" s="1"/>
  <c r="R219" i="10"/>
  <c r="S219" i="10" s="1"/>
  <c r="R119" i="10"/>
  <c r="S119" i="10" s="1"/>
  <c r="R42" i="10"/>
  <c r="R43" i="10"/>
  <c r="S43" i="10" s="1"/>
  <c r="R44" i="10"/>
  <c r="S44" i="10" s="1"/>
  <c r="R163" i="10"/>
  <c r="S163" i="10" s="1"/>
  <c r="T163" i="10" s="1"/>
  <c r="R161" i="10"/>
  <c r="R45" i="10"/>
  <c r="R107" i="10"/>
  <c r="R252" i="10"/>
  <c r="R46" i="10"/>
  <c r="R47" i="10"/>
  <c r="R105" i="10"/>
  <c r="R213" i="10"/>
  <c r="R48" i="10"/>
  <c r="S48" i="10" s="1"/>
  <c r="R147" i="10"/>
  <c r="S147" i="10" s="1"/>
  <c r="R124" i="10"/>
  <c r="R49" i="10"/>
  <c r="S49" i="10" s="1"/>
  <c r="R228" i="10"/>
  <c r="S228" i="10" s="1"/>
  <c r="T228" i="10" s="1"/>
  <c r="R239" i="10"/>
  <c r="S239" i="10" s="1"/>
  <c r="T239" i="10" s="1"/>
  <c r="R139" i="10"/>
  <c r="R148" i="10"/>
  <c r="R137" i="10"/>
  <c r="R116" i="10"/>
  <c r="R149" i="10"/>
  <c r="R193" i="10"/>
  <c r="R191" i="10"/>
  <c r="R50" i="10"/>
  <c r="S50" i="10" s="1"/>
  <c r="T50" i="10" s="1"/>
  <c r="R172" i="10"/>
  <c r="S172" i="10" s="1"/>
  <c r="R51" i="10"/>
  <c r="S51" i="10" s="1"/>
  <c r="R52" i="10"/>
  <c r="R183" i="10"/>
  <c r="S183" i="10" s="1"/>
  <c r="R53" i="10"/>
  <c r="S53" i="10" s="1"/>
  <c r="R54" i="10"/>
  <c r="S54" i="10" s="1"/>
  <c r="T54" i="10" s="1"/>
  <c r="R178" i="10"/>
  <c r="R55" i="10"/>
  <c r="R194" i="10"/>
  <c r="R156" i="10"/>
  <c r="R195" i="10"/>
  <c r="S195" i="10" s="1"/>
  <c r="T195" i="10" s="1"/>
  <c r="R125" i="10"/>
  <c r="R127" i="10"/>
  <c r="R146" i="10"/>
  <c r="S146" i="10" s="1"/>
  <c r="T146" i="10" s="1"/>
  <c r="R162" i="10"/>
  <c r="S162" i="10" s="1"/>
  <c r="R155" i="10"/>
  <c r="S155" i="10" s="1"/>
  <c r="R56" i="10"/>
  <c r="R97" i="10"/>
  <c r="S97" i="10" s="1"/>
  <c r="R57" i="10"/>
  <c r="S57" i="10" s="1"/>
  <c r="R87" i="10"/>
  <c r="S87" i="10" s="1"/>
  <c r="T87" i="10" s="1"/>
  <c r="R92" i="10"/>
  <c r="R159" i="10"/>
  <c r="R122" i="10"/>
  <c r="R250" i="10"/>
  <c r="R109" i="10"/>
  <c r="R86" i="10"/>
  <c r="R185" i="10"/>
  <c r="R153" i="10"/>
  <c r="R170" i="10"/>
  <c r="S170" i="10" s="1"/>
  <c r="R123" i="10"/>
  <c r="S123" i="10" s="1"/>
  <c r="R115" i="10"/>
  <c r="R58" i="10"/>
  <c r="S58" i="10" s="1"/>
  <c r="R150" i="10"/>
  <c r="S150" i="10" s="1"/>
  <c r="R243" i="10"/>
  <c r="S243" i="10" s="1"/>
  <c r="T243" i="10" s="1"/>
  <c r="R160" i="10"/>
  <c r="R113" i="10"/>
  <c r="R240" i="10"/>
  <c r="R174" i="10"/>
  <c r="R231" i="10"/>
  <c r="R232" i="10"/>
  <c r="R91" i="10"/>
  <c r="R157" i="10"/>
  <c r="R114" i="10"/>
  <c r="S114" i="10" s="1"/>
  <c r="R164" i="10"/>
  <c r="S164" i="10" s="1"/>
  <c r="R90" i="10"/>
  <c r="R176" i="10"/>
  <c r="S176" i="10" s="1"/>
  <c r="R222" i="10"/>
  <c r="S222" i="10" s="1"/>
  <c r="R254" i="10"/>
  <c r="S254" i="10" s="1"/>
  <c r="T254" i="10" s="1"/>
  <c r="R154" i="10"/>
  <c r="R59" i="10"/>
  <c r="R60" i="10"/>
  <c r="R61" i="10"/>
  <c r="R255" i="10"/>
  <c r="R256" i="10"/>
  <c r="R94" i="10"/>
  <c r="R257" i="10"/>
  <c r="S257" i="10" s="1"/>
  <c r="T257" i="10" s="1"/>
  <c r="R62" i="10"/>
  <c r="S62" i="10" s="1"/>
  <c r="R63" i="10"/>
  <c r="S63" i="10" s="1"/>
  <c r="R165" i="10"/>
  <c r="R166" i="10"/>
  <c r="S166" i="10" s="1"/>
  <c r="R167" i="10"/>
  <c r="R258" i="10"/>
  <c r="S258" i="10" s="1"/>
  <c r="T258" i="10" s="1"/>
  <c r="R64" i="10"/>
  <c r="R106" i="10"/>
  <c r="R65" i="10"/>
  <c r="R66" i="10"/>
  <c r="R259" i="10"/>
  <c r="S259" i="10" s="1"/>
  <c r="T259" i="10" s="1"/>
  <c r="R225" i="10"/>
  <c r="R101" i="10"/>
  <c r="R244" i="10"/>
  <c r="R226" i="10"/>
  <c r="S226" i="10" s="1"/>
  <c r="R214" i="10"/>
  <c r="S214" i="10" s="1"/>
  <c r="R196" i="10"/>
  <c r="R199" i="10"/>
  <c r="S199" i="10" s="1"/>
  <c r="R200" i="10"/>
  <c r="S200" i="10" s="1"/>
  <c r="T200" i="10" s="1"/>
  <c r="R201" i="10"/>
  <c r="S201" i="10" s="1"/>
  <c r="T201" i="10" s="1"/>
  <c r="R245" i="10"/>
  <c r="R202" i="10"/>
  <c r="R203" i="10"/>
  <c r="R204" i="10"/>
  <c r="R212" i="10"/>
  <c r="R169" i="10"/>
  <c r="R205" i="10"/>
  <c r="R179" i="10"/>
  <c r="R215" i="10"/>
  <c r="S215" i="10" s="1"/>
  <c r="R180" i="10"/>
  <c r="S180" i="10" s="1"/>
  <c r="R175" i="10"/>
  <c r="R206" i="10"/>
  <c r="S206" i="10" s="1"/>
  <c r="R207" i="10"/>
  <c r="S207" i="10" s="1"/>
  <c r="R260" i="10"/>
  <c r="S260" i="10" s="1"/>
  <c r="T260" i="10" s="1"/>
  <c r="R197" i="10"/>
  <c r="R261" i="10"/>
  <c r="R262" i="10"/>
  <c r="R98" i="10"/>
  <c r="R96" i="10"/>
  <c r="R173" i="10"/>
  <c r="R210" i="10"/>
  <c r="R138" i="10"/>
  <c r="S138" i="10" s="1"/>
  <c r="T138" i="10" s="1"/>
  <c r="R246" i="10"/>
  <c r="S246" i="10" s="1"/>
  <c r="R263" i="10"/>
  <c r="S263" i="10" s="1"/>
  <c r="R237" i="10"/>
  <c r="R229" i="10"/>
  <c r="S229" i="10" s="1"/>
  <c r="R99" i="10"/>
  <c r="S99" i="10" s="1"/>
  <c r="R131" i="10"/>
  <c r="S131" i="10" s="1"/>
  <c r="T131" i="10" s="1"/>
  <c r="R67" i="10"/>
  <c r="R209" i="10"/>
  <c r="R242" i="10"/>
  <c r="R151" i="10"/>
  <c r="R152" i="10"/>
  <c r="R264" i="10"/>
  <c r="R233" i="10"/>
  <c r="R188" i="10"/>
  <c r="S188" i="10" s="1"/>
  <c r="T188" i="10" s="1"/>
  <c r="R184" i="10"/>
  <c r="S184" i="10" s="1"/>
  <c r="R168" i="10"/>
  <c r="S168" i="10" s="1"/>
  <c r="R186" i="10"/>
  <c r="R181" i="10"/>
  <c r="S181" i="10" s="1"/>
  <c r="R111" i="10"/>
  <c r="R158" i="10"/>
  <c r="S158" i="10" s="1"/>
  <c r="T158" i="10" s="1"/>
  <c r="R104" i="10"/>
  <c r="R265" i="10"/>
  <c r="R266" i="10"/>
  <c r="R171" i="10"/>
  <c r="R238" i="10"/>
  <c r="R221" i="10"/>
  <c r="R208" i="10"/>
  <c r="R267" i="10"/>
  <c r="S267" i="10" s="1"/>
  <c r="T267" i="10" s="1"/>
  <c r="R235" i="10"/>
  <c r="S235" i="10" s="1"/>
  <c r="R268" i="10"/>
  <c r="S268" i="10" s="1"/>
  <c r="R269" i="10"/>
  <c r="R270" i="10"/>
  <c r="S270" i="10" s="1"/>
  <c r="R271" i="10"/>
  <c r="S271" i="10" s="1"/>
  <c r="R68" i="10"/>
  <c r="S68" i="10" s="1"/>
  <c r="T68" i="10" s="1"/>
  <c r="R69" i="10"/>
  <c r="R234" i="10"/>
  <c r="R70" i="10"/>
  <c r="R71" i="10"/>
  <c r="R72" i="10"/>
  <c r="R73" i="10"/>
  <c r="R74" i="10"/>
  <c r="R75" i="10"/>
  <c r="S75" i="10" s="1"/>
  <c r="T75" i="10" s="1"/>
  <c r="R76" i="10"/>
  <c r="S76" i="10" s="1"/>
  <c r="R77" i="10"/>
  <c r="S77" i="10" s="1"/>
  <c r="R78" i="10"/>
  <c r="R79" i="10"/>
  <c r="S79" i="10" s="1"/>
  <c r="R80" i="10"/>
  <c r="S80" i="10" s="1"/>
  <c r="R81" i="10"/>
  <c r="S81" i="10" s="1"/>
  <c r="T81" i="10" s="1"/>
  <c r="R82" i="10"/>
  <c r="R272" i="10"/>
  <c r="R83" i="10"/>
  <c r="R273" i="10"/>
  <c r="R84" i="10"/>
  <c r="R274" i="10"/>
  <c r="S142" i="10"/>
  <c r="T142" i="10" s="1"/>
  <c r="S108" i="10"/>
  <c r="T108" i="10" s="1"/>
  <c r="S112" i="10"/>
  <c r="T112" i="10" s="1"/>
  <c r="S136" i="10"/>
  <c r="T136" i="10" s="1"/>
  <c r="S227" i="10"/>
  <c r="T227" i="10" s="1"/>
  <c r="S10" i="10"/>
  <c r="S110" i="10"/>
  <c r="T110" i="10" s="1"/>
  <c r="S25" i="10"/>
  <c r="T25" i="10" s="1"/>
  <c r="S253" i="10"/>
  <c r="T253" i="10" s="1"/>
  <c r="S218" i="10"/>
  <c r="T218" i="10" s="1"/>
  <c r="S130" i="10"/>
  <c r="T130" i="10" s="1"/>
  <c r="S121" i="10"/>
  <c r="T121" i="10" s="1"/>
  <c r="S37" i="10"/>
  <c r="S161" i="10"/>
  <c r="T161" i="10" s="1"/>
  <c r="S47" i="10"/>
  <c r="T47" i="10" s="1"/>
  <c r="S213" i="10"/>
  <c r="T213" i="10" s="1"/>
  <c r="S139" i="10"/>
  <c r="T139" i="10" s="1"/>
  <c r="S178" i="10"/>
  <c r="T178" i="10" s="1"/>
  <c r="S86" i="10"/>
  <c r="T86" i="10" s="1"/>
  <c r="S153" i="10"/>
  <c r="T153" i="10" s="1"/>
  <c r="S160" i="10"/>
  <c r="T160" i="10" s="1"/>
  <c r="S231" i="10"/>
  <c r="T231" i="10" s="1"/>
  <c r="S157" i="10"/>
  <c r="T157" i="10" s="1"/>
  <c r="S154" i="10"/>
  <c r="S244" i="10"/>
  <c r="T244" i="10" s="1"/>
  <c r="S179" i="10"/>
  <c r="T179" i="10" s="1"/>
  <c r="T37" i="10"/>
  <c r="T154" i="10"/>
  <c r="U143" i="10"/>
  <c r="V143" i="10" s="1"/>
  <c r="U102" i="10"/>
  <c r="V102" i="10" s="1"/>
  <c r="U236" i="10"/>
  <c r="U120" i="10"/>
  <c r="V120" i="10" s="1"/>
  <c r="U142" i="10"/>
  <c r="U108" i="10"/>
  <c r="U141" i="10"/>
  <c r="V141" i="10" s="1"/>
  <c r="P122" i="34" s="1"/>
  <c r="R122" i="34" s="1"/>
  <c r="U93" i="10"/>
  <c r="U140" i="10"/>
  <c r="V140" i="10" s="1"/>
  <c r="U2" i="10"/>
  <c r="U230" i="10"/>
  <c r="U3" i="10"/>
  <c r="U135" i="10"/>
  <c r="V135" i="10" s="1"/>
  <c r="P91" i="34" s="1"/>
  <c r="U112" i="10"/>
  <c r="V112" i="10" s="1"/>
  <c r="P67" i="34" s="1"/>
  <c r="R67" i="34" s="1"/>
  <c r="U217" i="10"/>
  <c r="V217" i="10" s="1"/>
  <c r="U136" i="10"/>
  <c r="V136" i="10" s="1"/>
  <c r="U144" i="10"/>
  <c r="U117" i="10"/>
  <c r="V117" i="10" s="1"/>
  <c r="U4" i="10"/>
  <c r="U248" i="10"/>
  <c r="V248" i="10" s="1"/>
  <c r="U177" i="10"/>
  <c r="V177" i="10" s="1"/>
  <c r="U5" i="10"/>
  <c r="U6" i="10"/>
  <c r="V6" i="10" s="1"/>
  <c r="U192" i="10"/>
  <c r="V192" i="10" s="1"/>
  <c r="U95" i="10"/>
  <c r="U7" i="10"/>
  <c r="U8" i="10"/>
  <c r="V8" i="10" s="1"/>
  <c r="U189" i="10"/>
  <c r="V189" i="10" s="1"/>
  <c r="U187" i="10"/>
  <c r="V187" i="10" s="1"/>
  <c r="U227" i="10"/>
  <c r="V227" i="10" s="1"/>
  <c r="U132" i="10"/>
  <c r="U100" i="10"/>
  <c r="U9" i="10"/>
  <c r="U10" i="10"/>
  <c r="U11" i="10"/>
  <c r="V11" i="10" s="1"/>
  <c r="U220" i="10"/>
  <c r="U224" i="10"/>
  <c r="V224" i="10" s="1"/>
  <c r="U12" i="10"/>
  <c r="V12" i="10" s="1"/>
  <c r="U251" i="10"/>
  <c r="U13" i="10"/>
  <c r="U14" i="10"/>
  <c r="V14" i="10" s="1"/>
  <c r="U15" i="10"/>
  <c r="V15" i="10" s="1"/>
  <c r="U133" i="10"/>
  <c r="V133" i="10" s="1"/>
  <c r="U110" i="10"/>
  <c r="V110" i="10" s="1"/>
  <c r="U89" i="10"/>
  <c r="U16" i="10"/>
  <c r="V16" i="10" s="1"/>
  <c r="U190" i="10"/>
  <c r="U17" i="10"/>
  <c r="V17" i="10" s="1"/>
  <c r="U18" i="10"/>
  <c r="V18" i="10" s="1"/>
  <c r="U118" i="10"/>
  <c r="U19" i="10"/>
  <c r="V19" i="10" s="1"/>
  <c r="U241" i="10"/>
  <c r="V241" i="10" s="1"/>
  <c r="U20" i="10"/>
  <c r="U21" i="10"/>
  <c r="U22" i="10"/>
  <c r="V22" i="10" s="1"/>
  <c r="U23" i="10"/>
  <c r="V23" i="10" s="1"/>
  <c r="U24" i="10"/>
  <c r="U25" i="10"/>
  <c r="V25" i="10" s="1"/>
  <c r="U247" i="10"/>
  <c r="U223" i="10"/>
  <c r="V223" i="10" s="1"/>
  <c r="U126" i="10"/>
  <c r="U128" i="10"/>
  <c r="U253" i="10"/>
  <c r="V253" i="10" s="1"/>
  <c r="U26" i="10"/>
  <c r="U27" i="10"/>
  <c r="V27" i="10" s="1"/>
  <c r="U28" i="10"/>
  <c r="V28" i="10" s="1"/>
  <c r="U29" i="10"/>
  <c r="V29" i="10" s="1"/>
  <c r="U30" i="10"/>
  <c r="U31" i="10"/>
  <c r="V31" i="10" s="1"/>
  <c r="U32" i="10"/>
  <c r="V32" i="10" s="1"/>
  <c r="U85" i="10"/>
  <c r="V85" i="10" s="1"/>
  <c r="U218" i="10"/>
  <c r="V218" i="10" s="1"/>
  <c r="U211" i="10"/>
  <c r="U198" i="10"/>
  <c r="U130" i="10"/>
  <c r="U103" i="10"/>
  <c r="U129" i="10"/>
  <c r="V129" i="10" s="1"/>
  <c r="U145" i="10"/>
  <c r="U121" i="10"/>
  <c r="V121" i="10" s="1"/>
  <c r="P30" i="34" s="1"/>
  <c r="R30" i="34" s="1"/>
  <c r="U216" i="10"/>
  <c r="V216" i="10" s="1"/>
  <c r="U33" i="10"/>
  <c r="V33" i="10" s="1"/>
  <c r="U34" i="10"/>
  <c r="V34" i="10" s="1"/>
  <c r="U35" i="10"/>
  <c r="V35" i="10" s="1"/>
  <c r="U36" i="10"/>
  <c r="V36" i="10" s="1"/>
  <c r="U249" i="10"/>
  <c r="V249" i="10" s="1"/>
  <c r="U37" i="10"/>
  <c r="V37" i="10" s="1"/>
  <c r="U182" i="10"/>
  <c r="U38" i="10"/>
  <c r="V38" i="10" s="1"/>
  <c r="U39" i="10"/>
  <c r="V39" i="10" s="1"/>
  <c r="U134" i="10"/>
  <c r="U40" i="10"/>
  <c r="V40" i="10" s="1"/>
  <c r="U41" i="10"/>
  <c r="U88" i="10"/>
  <c r="V88" i="10" s="1"/>
  <c r="U219" i="10"/>
  <c r="V219" i="10" s="1"/>
  <c r="U119" i="10"/>
  <c r="V119" i="10" s="1"/>
  <c r="U42" i="10"/>
  <c r="U43" i="10"/>
  <c r="V43" i="10" s="1"/>
  <c r="U44" i="10"/>
  <c r="V44" i="10" s="1"/>
  <c r="U163" i="10"/>
  <c r="V163" i="10" s="1"/>
  <c r="W163" i="10" s="1"/>
  <c r="U161" i="10"/>
  <c r="V161" i="10" s="1"/>
  <c r="U45" i="10"/>
  <c r="U107" i="10"/>
  <c r="V107" i="10" s="1"/>
  <c r="U252" i="10"/>
  <c r="U46" i="10"/>
  <c r="U47" i="10"/>
  <c r="V47" i="10" s="1"/>
  <c r="U105" i="10"/>
  <c r="U213" i="10"/>
  <c r="V213" i="10" s="1"/>
  <c r="U48" i="10"/>
  <c r="V48" i="10" s="1"/>
  <c r="U147" i="10"/>
  <c r="V147" i="10" s="1"/>
  <c r="U124" i="10"/>
  <c r="U49" i="10"/>
  <c r="V49" i="10" s="1"/>
  <c r="U228" i="10"/>
  <c r="V228" i="10" s="1"/>
  <c r="U239" i="10"/>
  <c r="V239" i="10" s="1"/>
  <c r="W239" i="10" s="1"/>
  <c r="U139" i="10"/>
  <c r="V139" i="10" s="1"/>
  <c r="U148" i="10"/>
  <c r="U137" i="10"/>
  <c r="V137" i="10" s="1"/>
  <c r="U116" i="10"/>
  <c r="V116" i="10" s="1"/>
  <c r="U149" i="10"/>
  <c r="U193" i="10"/>
  <c r="V193" i="10" s="1"/>
  <c r="U191" i="10"/>
  <c r="U50" i="10"/>
  <c r="V50" i="10" s="1"/>
  <c r="U172" i="10"/>
  <c r="U51" i="10"/>
  <c r="V51" i="10" s="1"/>
  <c r="U52" i="10"/>
  <c r="U183" i="10"/>
  <c r="V183" i="10" s="1"/>
  <c r="U53" i="10"/>
  <c r="V53" i="10" s="1"/>
  <c r="U54" i="10"/>
  <c r="V54" i="10" s="1"/>
  <c r="W54" i="10" s="1"/>
  <c r="X54" i="10" s="1"/>
  <c r="U178" i="10"/>
  <c r="V178" i="10" s="1"/>
  <c r="U55" i="10"/>
  <c r="U194" i="10"/>
  <c r="U156" i="10"/>
  <c r="U195" i="10"/>
  <c r="U125" i="10"/>
  <c r="V125" i="10" s="1"/>
  <c r="P11" i="34" s="1"/>
  <c r="R11" i="34" s="1"/>
  <c r="U127" i="10"/>
  <c r="U146" i="10"/>
  <c r="V146" i="10" s="1"/>
  <c r="U162" i="10"/>
  <c r="V162" i="10" s="1"/>
  <c r="U155" i="10"/>
  <c r="V155" i="10" s="1"/>
  <c r="P105" i="34" s="1"/>
  <c r="U56" i="10"/>
  <c r="U97" i="10"/>
  <c r="V97" i="10" s="1"/>
  <c r="U57" i="10"/>
  <c r="V57" i="10" s="1"/>
  <c r="U87" i="10"/>
  <c r="V87" i="10" s="1"/>
  <c r="U92" i="10"/>
  <c r="V92" i="10" s="1"/>
  <c r="U159" i="10"/>
  <c r="U122" i="10"/>
  <c r="V122" i="10" s="1"/>
  <c r="U250" i="10"/>
  <c r="U109" i="10"/>
  <c r="V109" i="10" s="1"/>
  <c r="U86" i="10"/>
  <c r="V86" i="10" s="1"/>
  <c r="U185" i="10"/>
  <c r="U153" i="10"/>
  <c r="V153" i="10" s="1"/>
  <c r="U170" i="10"/>
  <c r="V170" i="10" s="1"/>
  <c r="U123" i="10"/>
  <c r="V123" i="10" s="1"/>
  <c r="U115" i="10"/>
  <c r="V115" i="10" s="1"/>
  <c r="U58" i="10"/>
  <c r="V58" i="10" s="1"/>
  <c r="U150" i="10"/>
  <c r="V150" i="10" s="1"/>
  <c r="U243" i="10"/>
  <c r="V243" i="10" s="1"/>
  <c r="U160" i="10"/>
  <c r="V160" i="10" s="1"/>
  <c r="U113" i="10"/>
  <c r="U240" i="10"/>
  <c r="U174" i="10"/>
  <c r="U231" i="10"/>
  <c r="U232" i="10"/>
  <c r="V232" i="10" s="1"/>
  <c r="U91" i="10"/>
  <c r="U157" i="10"/>
  <c r="V157" i="10" s="1"/>
  <c r="U114" i="10"/>
  <c r="V114" i="10" s="1"/>
  <c r="U164" i="10"/>
  <c r="V164" i="10" s="1"/>
  <c r="U90" i="10"/>
  <c r="V90" i="10" s="1"/>
  <c r="U176" i="10"/>
  <c r="V176" i="10" s="1"/>
  <c r="U222" i="10"/>
  <c r="V222" i="10" s="1"/>
  <c r="U254" i="10"/>
  <c r="V254" i="10" s="1"/>
  <c r="U154" i="10"/>
  <c r="V154" i="10" s="1"/>
  <c r="U59" i="10"/>
  <c r="U60" i="10"/>
  <c r="U61" i="10"/>
  <c r="U255" i="10"/>
  <c r="U256" i="10"/>
  <c r="V256" i="10" s="1"/>
  <c r="U94" i="10"/>
  <c r="U257" i="10"/>
  <c r="V257" i="10" s="1"/>
  <c r="U62" i="10"/>
  <c r="V62" i="10" s="1"/>
  <c r="U63" i="10"/>
  <c r="V63" i="10" s="1"/>
  <c r="U165" i="10"/>
  <c r="V165" i="10" s="1"/>
  <c r="U166" i="10"/>
  <c r="V166" i="10" s="1"/>
  <c r="U167" i="10"/>
  <c r="U258" i="10"/>
  <c r="V258" i="10" s="1"/>
  <c r="U64" i="10"/>
  <c r="V64" i="10" s="1"/>
  <c r="U106" i="10"/>
  <c r="U65" i="10"/>
  <c r="V65" i="10" s="1"/>
  <c r="U66" i="10"/>
  <c r="U259" i="10"/>
  <c r="U225" i="10"/>
  <c r="V225" i="10" s="1"/>
  <c r="U101" i="10"/>
  <c r="U244" i="10"/>
  <c r="V244" i="10" s="1"/>
  <c r="U226" i="10"/>
  <c r="V226" i="10" s="1"/>
  <c r="U214" i="10"/>
  <c r="V214" i="10" s="1"/>
  <c r="U196" i="10"/>
  <c r="V196" i="10" s="1"/>
  <c r="U199" i="10"/>
  <c r="V199" i="10" s="1"/>
  <c r="U200" i="10"/>
  <c r="U201" i="10"/>
  <c r="V201" i="10" s="1"/>
  <c r="U245" i="10"/>
  <c r="V245" i="10" s="1"/>
  <c r="U202" i="10"/>
  <c r="U203" i="10"/>
  <c r="V203" i="10" s="1"/>
  <c r="U204" i="10"/>
  <c r="U212" i="10"/>
  <c r="U169" i="10"/>
  <c r="V169" i="10" s="1"/>
  <c r="U205" i="10"/>
  <c r="U179" i="10"/>
  <c r="V179" i="10" s="1"/>
  <c r="U215" i="10"/>
  <c r="V215" i="10" s="1"/>
  <c r="U180" i="10"/>
  <c r="V180" i="10" s="1"/>
  <c r="U175" i="10"/>
  <c r="V175" i="10" s="1"/>
  <c r="U206" i="10"/>
  <c r="V206" i="10" s="1"/>
  <c r="U207" i="10"/>
  <c r="U260" i="10"/>
  <c r="V260" i="10" s="1"/>
  <c r="U197" i="10"/>
  <c r="V197" i="10" s="1"/>
  <c r="U261" i="10"/>
  <c r="U262" i="10"/>
  <c r="U98" i="10"/>
  <c r="U96" i="10"/>
  <c r="U173" i="10"/>
  <c r="V173" i="10" s="1"/>
  <c r="U210" i="10"/>
  <c r="U138" i="10"/>
  <c r="V138" i="10" s="1"/>
  <c r="U246" i="10"/>
  <c r="V246" i="10" s="1"/>
  <c r="U263" i="10"/>
  <c r="V263" i="10" s="1"/>
  <c r="U237" i="10"/>
  <c r="V237" i="10" s="1"/>
  <c r="U229" i="10"/>
  <c r="V229" i="10" s="1"/>
  <c r="U99" i="10"/>
  <c r="U131" i="10"/>
  <c r="V131" i="10" s="1"/>
  <c r="U67" i="10"/>
  <c r="V67" i="10" s="1"/>
  <c r="U209" i="10"/>
  <c r="U242" i="10"/>
  <c r="V242" i="10" s="1"/>
  <c r="U151" i="10"/>
  <c r="U152" i="10"/>
  <c r="U264" i="10"/>
  <c r="V264" i="10" s="1"/>
  <c r="U233" i="10"/>
  <c r="U188" i="10"/>
  <c r="V188" i="10" s="1"/>
  <c r="U184" i="10"/>
  <c r="V184" i="10" s="1"/>
  <c r="U168" i="10"/>
  <c r="V168" i="10" s="1"/>
  <c r="U186" i="10"/>
  <c r="V186" i="10" s="1"/>
  <c r="U181" i="10"/>
  <c r="V181" i="10" s="1"/>
  <c r="U111" i="10"/>
  <c r="U158" i="10"/>
  <c r="V158" i="10" s="1"/>
  <c r="U104" i="10"/>
  <c r="V104" i="10" s="1"/>
  <c r="U265" i="10"/>
  <c r="U266" i="10"/>
  <c r="U171" i="10"/>
  <c r="U238" i="10"/>
  <c r="U221" i="10"/>
  <c r="V221" i="10" s="1"/>
  <c r="U208" i="10"/>
  <c r="U267" i="10"/>
  <c r="V267" i="10" s="1"/>
  <c r="U235" i="10"/>
  <c r="V235" i="10" s="1"/>
  <c r="U268" i="10"/>
  <c r="V268" i="10" s="1"/>
  <c r="U269" i="10"/>
  <c r="V269" i="10" s="1"/>
  <c r="U270" i="10"/>
  <c r="V270" i="10" s="1"/>
  <c r="U271" i="10"/>
  <c r="U68" i="10"/>
  <c r="V68" i="10" s="1"/>
  <c r="U69" i="10"/>
  <c r="V69" i="10" s="1"/>
  <c r="U234" i="10"/>
  <c r="U70" i="10"/>
  <c r="U71" i="10"/>
  <c r="U72" i="10"/>
  <c r="U73" i="10"/>
  <c r="V73" i="10" s="1"/>
  <c r="U74" i="10"/>
  <c r="U75" i="10"/>
  <c r="V75" i="10" s="1"/>
  <c r="U76" i="10"/>
  <c r="V76" i="10" s="1"/>
  <c r="U77" i="10"/>
  <c r="V77" i="10" s="1"/>
  <c r="U78" i="10"/>
  <c r="V78" i="10" s="1"/>
  <c r="U79" i="10"/>
  <c r="V79" i="10" s="1"/>
  <c r="U80" i="10"/>
  <c r="U81" i="10"/>
  <c r="V81" i="10" s="1"/>
  <c r="U82" i="10"/>
  <c r="V82" i="10" s="1"/>
  <c r="U272" i="10"/>
  <c r="U83" i="10"/>
  <c r="V83" i="10" s="1"/>
  <c r="U273" i="10"/>
  <c r="U84" i="10"/>
  <c r="U274" i="10"/>
  <c r="V274" i="10" s="1"/>
  <c r="V2" i="10"/>
  <c r="V230" i="10"/>
  <c r="V3" i="10"/>
  <c r="V4" i="10"/>
  <c r="V95" i="10"/>
  <c r="V7" i="10"/>
  <c r="V132" i="10"/>
  <c r="V251" i="10"/>
  <c r="V13" i="10"/>
  <c r="V20" i="10"/>
  <c r="V21" i="10"/>
  <c r="V24" i="10"/>
  <c r="V126" i="10"/>
  <c r="V30" i="10"/>
  <c r="V182" i="10"/>
  <c r="V42" i="10"/>
  <c r="V252" i="10"/>
  <c r="V124" i="10"/>
  <c r="V172" i="10"/>
  <c r="V52" i="10"/>
  <c r="V56" i="10"/>
  <c r="V106" i="10"/>
  <c r="V259" i="10"/>
  <c r="Y143" i="10"/>
  <c r="Y102" i="10"/>
  <c r="Z102" i="10" s="1"/>
  <c r="Y120" i="10"/>
  <c r="Z120" i="10" s="1"/>
  <c r="Y140" i="10"/>
  <c r="Z140" i="10" s="1"/>
  <c r="Y217" i="10"/>
  <c r="Y136" i="10"/>
  <c r="Z136" i="10" s="1"/>
  <c r="Y117" i="10"/>
  <c r="Y6" i="10"/>
  <c r="Z6" i="10" s="1"/>
  <c r="Y189" i="10"/>
  <c r="Z189" i="10" s="1"/>
  <c r="Y187" i="10"/>
  <c r="Z187" i="10" s="1"/>
  <c r="Y227" i="10"/>
  <c r="Y132" i="10"/>
  <c r="Z132" i="10" s="1"/>
  <c r="Y100" i="10"/>
  <c r="Z100" i="10" s="1"/>
  <c r="Y9" i="10"/>
  <c r="Y224" i="10"/>
  <c r="Z224" i="10" s="1"/>
  <c r="Y251" i="10"/>
  <c r="Z251" i="10" s="1"/>
  <c r="Y15" i="10"/>
  <c r="Z15" i="10" s="1"/>
  <c r="Y133" i="10"/>
  <c r="Z133" i="10" s="1"/>
  <c r="Y110" i="10"/>
  <c r="Y19" i="10"/>
  <c r="Z19" i="10" s="1"/>
  <c r="Y23" i="10"/>
  <c r="Z23" i="10" s="1"/>
  <c r="Y24" i="10"/>
  <c r="Z24" i="10" s="1"/>
  <c r="Y25" i="10"/>
  <c r="Z25" i="10" s="1"/>
  <c r="Y223" i="10"/>
  <c r="Z223" i="10" s="1"/>
  <c r="Y128" i="10"/>
  <c r="Z128" i="10" s="1"/>
  <c r="Y253" i="10"/>
  <c r="Y27" i="10"/>
  <c r="Z27" i="10" s="1"/>
  <c r="Y32" i="10"/>
  <c r="Z32" i="10" s="1"/>
  <c r="Y85" i="10"/>
  <c r="Z85" i="10" s="1"/>
  <c r="Y218" i="10"/>
  <c r="Z218" i="10" s="1"/>
  <c r="Y121" i="10"/>
  <c r="Z121" i="10" s="1"/>
  <c r="Y36" i="10"/>
  <c r="Z36" i="10" s="1"/>
  <c r="Y249" i="10"/>
  <c r="Z249" i="10" s="1"/>
  <c r="Y37" i="10"/>
  <c r="W37" i="10" s="1"/>
  <c r="X37" i="10" s="1"/>
  <c r="Y38" i="10"/>
  <c r="Y88" i="10"/>
  <c r="Z88" i="10" s="1"/>
  <c r="Y163" i="10"/>
  <c r="Z163" i="10" s="1"/>
  <c r="Y161" i="10"/>
  <c r="Z161" i="10" s="1"/>
  <c r="Y107" i="10"/>
  <c r="Z107" i="10" s="1"/>
  <c r="Y252" i="10"/>
  <c r="Y213" i="10"/>
  <c r="Z213" i="10" s="1"/>
  <c r="Y228" i="10"/>
  <c r="Z228" i="10" s="1"/>
  <c r="Y239" i="10"/>
  <c r="Z239" i="10" s="1"/>
  <c r="Y139" i="10"/>
  <c r="Z139" i="10" s="1"/>
  <c r="Y50" i="10"/>
  <c r="Z50" i="10" s="1"/>
  <c r="Y54" i="10"/>
  <c r="Z54" i="10" s="1"/>
  <c r="Y178" i="10"/>
  <c r="Y194" i="10"/>
  <c r="Z194" i="10" s="1"/>
  <c r="Y146" i="10"/>
  <c r="Z146" i="10" s="1"/>
  <c r="Y57" i="10"/>
  <c r="Z57" i="10" s="1"/>
  <c r="Y87" i="10"/>
  <c r="Z87" i="10" s="1"/>
  <c r="Y92" i="10"/>
  <c r="Y153" i="10"/>
  <c r="Z153" i="10" s="1"/>
  <c r="Y243" i="10"/>
  <c r="Z243" i="10" s="1"/>
  <c r="Y160" i="10"/>
  <c r="Z160" i="10" s="1"/>
  <c r="Y240" i="10"/>
  <c r="Z240" i="10" s="1"/>
  <c r="Y157" i="10"/>
  <c r="Z157" i="10" s="1"/>
  <c r="Y114" i="10"/>
  <c r="Z114" i="10" s="1"/>
  <c r="Y164" i="10"/>
  <c r="Z164" i="10" s="1"/>
  <c r="Y222" i="10"/>
  <c r="Z222" i="10" s="1"/>
  <c r="Y254" i="10"/>
  <c r="Z254" i="10" s="1"/>
  <c r="Y154" i="10"/>
  <c r="Z154" i="10" s="1"/>
  <c r="Y61" i="10"/>
  <c r="Z61" i="10" s="1"/>
  <c r="Y257" i="10"/>
  <c r="Z257" i="10" s="1"/>
  <c r="Y167" i="10"/>
  <c r="Z167" i="10" s="1"/>
  <c r="Y258" i="10"/>
  <c r="Z258" i="10" s="1"/>
  <c r="Y64" i="10"/>
  <c r="Z64" i="10" s="1"/>
  <c r="Y244" i="10"/>
  <c r="Z244" i="10" s="1"/>
  <c r="Y201" i="10"/>
  <c r="Z201" i="10" s="1"/>
  <c r="Y245" i="10"/>
  <c r="Z245" i="10" s="1"/>
  <c r="Y203" i="10"/>
  <c r="Y179" i="10"/>
  <c r="Z179" i="10" s="1"/>
  <c r="Y207" i="10"/>
  <c r="Z207" i="10" s="1"/>
  <c r="Y260" i="10"/>
  <c r="Z260" i="10" s="1"/>
  <c r="Y197" i="10"/>
  <c r="Y138" i="10"/>
  <c r="Z138" i="10" s="1"/>
  <c r="Y99" i="10"/>
  <c r="Y131" i="10"/>
  <c r="Z131" i="10" s="1"/>
  <c r="Y67" i="10"/>
  <c r="Z67" i="10" s="1"/>
  <c r="Y242" i="10"/>
  <c r="Z242" i="10" s="1"/>
  <c r="Y151" i="10"/>
  <c r="Z151" i="10" s="1"/>
  <c r="Y188" i="10"/>
  <c r="Z188" i="10" s="1"/>
  <c r="Y158" i="10"/>
  <c r="Z158" i="10" s="1"/>
  <c r="Y104" i="10"/>
  <c r="Z104" i="10" s="1"/>
  <c r="Y267" i="10"/>
  <c r="Z267" i="10" s="1"/>
  <c r="Y235" i="10"/>
  <c r="Z235" i="10" s="1"/>
  <c r="Y268" i="10"/>
  <c r="Z268" i="10" s="1"/>
  <c r="Y68" i="10"/>
  <c r="Y69" i="10"/>
  <c r="Z69" i="10" s="1"/>
  <c r="Y75" i="10"/>
  <c r="Z75" i="10" s="1"/>
  <c r="Y81" i="10"/>
  <c r="Z81" i="10" s="1"/>
  <c r="Y82" i="10"/>
  <c r="Z82" i="10" s="1"/>
  <c r="Y83" i="10"/>
  <c r="Y273" i="10"/>
  <c r="Z273" i="10" s="1"/>
  <c r="Z217" i="10"/>
  <c r="Z110" i="10"/>
  <c r="Z92" i="10"/>
  <c r="Z197" i="10"/>
  <c r="Z83" i="10"/>
  <c r="AB143" i="10"/>
  <c r="AC143" i="10" s="1"/>
  <c r="AB102" i="10"/>
  <c r="AC102" i="10" s="1"/>
  <c r="AB236" i="10"/>
  <c r="AB120" i="10"/>
  <c r="AB142" i="10"/>
  <c r="AB108" i="10"/>
  <c r="AC108" i="10" s="1"/>
  <c r="AB141" i="10"/>
  <c r="AC141" i="10" s="1"/>
  <c r="AB93" i="10"/>
  <c r="AB140" i="10"/>
  <c r="AB2" i="10"/>
  <c r="AC2" i="10" s="1"/>
  <c r="AB230" i="10"/>
  <c r="AC230" i="10" s="1"/>
  <c r="AB3" i="10"/>
  <c r="AB135" i="10"/>
  <c r="AB112" i="10"/>
  <c r="AB217" i="10"/>
  <c r="AC217" i="10" s="1"/>
  <c r="AB136" i="10"/>
  <c r="AC136" i="10" s="1"/>
  <c r="AB144" i="10"/>
  <c r="AB117" i="10"/>
  <c r="AB4" i="10"/>
  <c r="AB248" i="10"/>
  <c r="AB177" i="10"/>
  <c r="AC177" i="10" s="1"/>
  <c r="AB5" i="10"/>
  <c r="AB6" i="10"/>
  <c r="AB192" i="10"/>
  <c r="AC192" i="10" s="1"/>
  <c r="AB95" i="10"/>
  <c r="AC95" i="10" s="1"/>
  <c r="AB7" i="10"/>
  <c r="AB8" i="10"/>
  <c r="AB189" i="10"/>
  <c r="AC189" i="10" s="1"/>
  <c r="AB187" i="10"/>
  <c r="AC187" i="10" s="1"/>
  <c r="AB227" i="10"/>
  <c r="AC227" i="10" s="1"/>
  <c r="AB132" i="10"/>
  <c r="AB100" i="10"/>
  <c r="AB9" i="10"/>
  <c r="AB10" i="10"/>
  <c r="AB11" i="10"/>
  <c r="AC11" i="10" s="1"/>
  <c r="AB220" i="10"/>
  <c r="AC220" i="10" s="1"/>
  <c r="AB224" i="10"/>
  <c r="AB12" i="10"/>
  <c r="AC12" i="10" s="1"/>
  <c r="AB251" i="10"/>
  <c r="AC251" i="10" s="1"/>
  <c r="AB13" i="10"/>
  <c r="AB14" i="10"/>
  <c r="AB15" i="10"/>
  <c r="AC15" i="10" s="1"/>
  <c r="AB133" i="10"/>
  <c r="AC133" i="10" s="1"/>
  <c r="AB110" i="10"/>
  <c r="AC110" i="10" s="1"/>
  <c r="AB89" i="10"/>
  <c r="AB16" i="10"/>
  <c r="AB190" i="10"/>
  <c r="AB17" i="10"/>
  <c r="AC17" i="10" s="1"/>
  <c r="AB18" i="10"/>
  <c r="AC18" i="10" s="1"/>
  <c r="AB118" i="10"/>
  <c r="AC118" i="10" s="1"/>
  <c r="AB19" i="10"/>
  <c r="AB241" i="10"/>
  <c r="AC241" i="10" s="1"/>
  <c r="AB20" i="10"/>
  <c r="AC20" i="10" s="1"/>
  <c r="AB21" i="10"/>
  <c r="AB22" i="10"/>
  <c r="AB23" i="10"/>
  <c r="AC23" i="10" s="1"/>
  <c r="AB24" i="10"/>
  <c r="AC24" i="10" s="1"/>
  <c r="AB25" i="10"/>
  <c r="AC25" i="10" s="1"/>
  <c r="AB247" i="10"/>
  <c r="AB223" i="10"/>
  <c r="AB126" i="10"/>
  <c r="AB128" i="10"/>
  <c r="AC128" i="10" s="1"/>
  <c r="AB253" i="10"/>
  <c r="AC253" i="10" s="1"/>
  <c r="AB26" i="10"/>
  <c r="AB27" i="10"/>
  <c r="AB28" i="10"/>
  <c r="AC28" i="10" s="1"/>
  <c r="AB29" i="10"/>
  <c r="AC29" i="10" s="1"/>
  <c r="AB30" i="10"/>
  <c r="AB31" i="10"/>
  <c r="AB32" i="10"/>
  <c r="AC32" i="10" s="1"/>
  <c r="AB85" i="10"/>
  <c r="AC85" i="10" s="1"/>
  <c r="AB218" i="10"/>
  <c r="AC218" i="10" s="1"/>
  <c r="AB211" i="10"/>
  <c r="AB198" i="10"/>
  <c r="AB130" i="10"/>
  <c r="AB103" i="10"/>
  <c r="AC103" i="10" s="1"/>
  <c r="AB129" i="10"/>
  <c r="AC129" i="10" s="1"/>
  <c r="AB145" i="10"/>
  <c r="AC145" i="10" s="1"/>
  <c r="AB121" i="10"/>
  <c r="AB216" i="10"/>
  <c r="AC216" i="10" s="1"/>
  <c r="AB33" i="10"/>
  <c r="AC33" i="10" s="1"/>
  <c r="AB34" i="10"/>
  <c r="AB35" i="10"/>
  <c r="AB36" i="10"/>
  <c r="AC36" i="10" s="1"/>
  <c r="AB249" i="10"/>
  <c r="AC249" i="10" s="1"/>
  <c r="AB37" i="10"/>
  <c r="AC37" i="10" s="1"/>
  <c r="AB182" i="10"/>
  <c r="AB38" i="10"/>
  <c r="AB39" i="10"/>
  <c r="AB134" i="10"/>
  <c r="AC134" i="10" s="1"/>
  <c r="AB40" i="10"/>
  <c r="AC40" i="10" s="1"/>
  <c r="AB41" i="10"/>
  <c r="AC41" i="10" s="1"/>
  <c r="AB88" i="10"/>
  <c r="AB219" i="10"/>
  <c r="AC219" i="10" s="1"/>
  <c r="AB119" i="10"/>
  <c r="AC119" i="10" s="1"/>
  <c r="AB42" i="10"/>
  <c r="AB43" i="10"/>
  <c r="AB44" i="10"/>
  <c r="AC44" i="10" s="1"/>
  <c r="AB163" i="10"/>
  <c r="AC163" i="10" s="1"/>
  <c r="AB161" i="10"/>
  <c r="AC161" i="10" s="1"/>
  <c r="AB45" i="10"/>
  <c r="AB107" i="10"/>
  <c r="AB252" i="10"/>
  <c r="AB46" i="10"/>
  <c r="AC46" i="10" s="1"/>
  <c r="AB47" i="10"/>
  <c r="AC47" i="10" s="1"/>
  <c r="AB105" i="10"/>
  <c r="AC105" i="10" s="1"/>
  <c r="AB213" i="10"/>
  <c r="AB48" i="10"/>
  <c r="AC48" i="10" s="1"/>
  <c r="AB147" i="10"/>
  <c r="AC147" i="10" s="1"/>
  <c r="AB124" i="10"/>
  <c r="AB49" i="10"/>
  <c r="AB228" i="10"/>
  <c r="AC228" i="10" s="1"/>
  <c r="AB239" i="10"/>
  <c r="AC239" i="10" s="1"/>
  <c r="AB139" i="10"/>
  <c r="AC139" i="10" s="1"/>
  <c r="AB148" i="10"/>
  <c r="AB137" i="10"/>
  <c r="AB116" i="10"/>
  <c r="AB149" i="10"/>
  <c r="AB193" i="10"/>
  <c r="AC193" i="10" s="1"/>
  <c r="AB191" i="10"/>
  <c r="AB50" i="10"/>
  <c r="AB172" i="10"/>
  <c r="AC172" i="10" s="1"/>
  <c r="AB51" i="10"/>
  <c r="AC51" i="10" s="1"/>
  <c r="AB52" i="10"/>
  <c r="AB183" i="10"/>
  <c r="AB53" i="10"/>
  <c r="AC53" i="10" s="1"/>
  <c r="AB54" i="10"/>
  <c r="AC54" i="10" s="1"/>
  <c r="AB178" i="10"/>
  <c r="AC178" i="10" s="1"/>
  <c r="AB55" i="10"/>
  <c r="AB194" i="10"/>
  <c r="AB156" i="10"/>
  <c r="AB195" i="10"/>
  <c r="AB125" i="10"/>
  <c r="AC125" i="10" s="1"/>
  <c r="AB127" i="10"/>
  <c r="AC127" i="10" s="1"/>
  <c r="AB146" i="10"/>
  <c r="AB162" i="10"/>
  <c r="AC162" i="10" s="1"/>
  <c r="AB155" i="10"/>
  <c r="AC155" i="10" s="1"/>
  <c r="AB56" i="10"/>
  <c r="AB97" i="10"/>
  <c r="AB57" i="10"/>
  <c r="AB87" i="10"/>
  <c r="AC87" i="10" s="1"/>
  <c r="AB92" i="10"/>
  <c r="AC92" i="10" s="1"/>
  <c r="AB159" i="10"/>
  <c r="AB122" i="10"/>
  <c r="AB250" i="10"/>
  <c r="AB109" i="10"/>
  <c r="AC109" i="10" s="1"/>
  <c r="AB86" i="10"/>
  <c r="AC86" i="10" s="1"/>
  <c r="AB185" i="10"/>
  <c r="AC185" i="10" s="1"/>
  <c r="AB153" i="10"/>
  <c r="AB170" i="10"/>
  <c r="AC170" i="10" s="1"/>
  <c r="AB123" i="10"/>
  <c r="AC123" i="10" s="1"/>
  <c r="AB115" i="10"/>
  <c r="AB58" i="10"/>
  <c r="AB150" i="10"/>
  <c r="AC150" i="10" s="1"/>
  <c r="AB243" i="10"/>
  <c r="AC243" i="10" s="1"/>
  <c r="AB160" i="10"/>
  <c r="AC160" i="10" s="1"/>
  <c r="AB113" i="10"/>
  <c r="AB240" i="10"/>
  <c r="AB174" i="10"/>
  <c r="AB231" i="10"/>
  <c r="AC231" i="10" s="1"/>
  <c r="AB232" i="10"/>
  <c r="AC232" i="10" s="1"/>
  <c r="AB91" i="10"/>
  <c r="AC91" i="10" s="1"/>
  <c r="AB157" i="10"/>
  <c r="AB114" i="10"/>
  <c r="AC114" i="10" s="1"/>
  <c r="AB164" i="10"/>
  <c r="AC164" i="10" s="1"/>
  <c r="AB90" i="10"/>
  <c r="AB176" i="10"/>
  <c r="AB222" i="10"/>
  <c r="AB254" i="10"/>
  <c r="AC254" i="10" s="1"/>
  <c r="AB154" i="10"/>
  <c r="AC154" i="10" s="1"/>
  <c r="AB59" i="10"/>
  <c r="AB60" i="10"/>
  <c r="AB61" i="10"/>
  <c r="AB255" i="10"/>
  <c r="AC255" i="10" s="1"/>
  <c r="AB256" i="10"/>
  <c r="AC256" i="10" s="1"/>
  <c r="AB94" i="10"/>
  <c r="AC94" i="10" s="1"/>
  <c r="AB257" i="10"/>
  <c r="AB62" i="10"/>
  <c r="AC62" i="10" s="1"/>
  <c r="AB63" i="10"/>
  <c r="AC63" i="10" s="1"/>
  <c r="AB165" i="10"/>
  <c r="AB166" i="10"/>
  <c r="AB167" i="10"/>
  <c r="AC167" i="10" s="1"/>
  <c r="AB258" i="10"/>
  <c r="AC258" i="10" s="1"/>
  <c r="AB64" i="10"/>
  <c r="AB106" i="10"/>
  <c r="AB65" i="10"/>
  <c r="AB66" i="10"/>
  <c r="AB259" i="10"/>
  <c r="AC259" i="10" s="1"/>
  <c r="AB225" i="10"/>
  <c r="AC225" i="10" s="1"/>
  <c r="AB101" i="10"/>
  <c r="AC101" i="10" s="1"/>
  <c r="AB244" i="10"/>
  <c r="AB226" i="10"/>
  <c r="AC226" i="10" s="1"/>
  <c r="AB214" i="10"/>
  <c r="AC214" i="10" s="1"/>
  <c r="AB196" i="10"/>
  <c r="AB199" i="10"/>
  <c r="AB200" i="10"/>
  <c r="AC200" i="10" s="1"/>
  <c r="AB201" i="10"/>
  <c r="AC201" i="10" s="1"/>
  <c r="AB245" i="10"/>
  <c r="AB202" i="10"/>
  <c r="AB203" i="10"/>
  <c r="AB204" i="10"/>
  <c r="AB212" i="10"/>
  <c r="AC212" i="10" s="1"/>
  <c r="AB169" i="10"/>
  <c r="AC169" i="10" s="1"/>
  <c r="AB205" i="10"/>
  <c r="AC205" i="10" s="1"/>
  <c r="AB179" i="10"/>
  <c r="AB215" i="10"/>
  <c r="AC215" i="10" s="1"/>
  <c r="AB180" i="10"/>
  <c r="AB175" i="10"/>
  <c r="AB206" i="10"/>
  <c r="AB207" i="10"/>
  <c r="AC207" i="10" s="1"/>
  <c r="AB260" i="10"/>
  <c r="AC260" i="10" s="1"/>
  <c r="AB197" i="10"/>
  <c r="AC197" i="10" s="1"/>
  <c r="AB261" i="10"/>
  <c r="AC261" i="10" s="1"/>
  <c r="AB262" i="10"/>
  <c r="AC262" i="10" s="1"/>
  <c r="AB98" i="10"/>
  <c r="AC98" i="10" s="1"/>
  <c r="AB96" i="10"/>
  <c r="AC96" i="10" s="1"/>
  <c r="AB173" i="10"/>
  <c r="AC173" i="10" s="1"/>
  <c r="AB210" i="10"/>
  <c r="AB138" i="10"/>
  <c r="AC138" i="10" s="1"/>
  <c r="AB246" i="10"/>
  <c r="AC246" i="10" s="1"/>
  <c r="AB263" i="10"/>
  <c r="AC263" i="10" s="1"/>
  <c r="AB237" i="10"/>
  <c r="AB229" i="10"/>
  <c r="AB99" i="10"/>
  <c r="AC99" i="10" s="1"/>
  <c r="AB131" i="10"/>
  <c r="AC131" i="10" s="1"/>
  <c r="AB67" i="10"/>
  <c r="AC67" i="10" s="1"/>
  <c r="AB209" i="10"/>
  <c r="AB242" i="10"/>
  <c r="AC242" i="10" s="1"/>
  <c r="AB151" i="10"/>
  <c r="AC151" i="10" s="1"/>
  <c r="AB152" i="10"/>
  <c r="AC152" i="10" s="1"/>
  <c r="AB264" i="10"/>
  <c r="AC264" i="10" s="1"/>
  <c r="AB233" i="10"/>
  <c r="AC233" i="10" s="1"/>
  <c r="AB188" i="10"/>
  <c r="AC188" i="10" s="1"/>
  <c r="AB184" i="10"/>
  <c r="AC184" i="10" s="1"/>
  <c r="AB168" i="10"/>
  <c r="AC168" i="10" s="1"/>
  <c r="AB186" i="10"/>
  <c r="AB181" i="10"/>
  <c r="AB111" i="10"/>
  <c r="AC111" i="10" s="1"/>
  <c r="AB158" i="10"/>
  <c r="AC158" i="10" s="1"/>
  <c r="AB104" i="10"/>
  <c r="AC104" i="10" s="1"/>
  <c r="AB265" i="10"/>
  <c r="AC265" i="10" s="1"/>
  <c r="AB266" i="10"/>
  <c r="AC266" i="10" s="1"/>
  <c r="AB171" i="10"/>
  <c r="AC171" i="10" s="1"/>
  <c r="AB238" i="10"/>
  <c r="AC238" i="10" s="1"/>
  <c r="AB221" i="10"/>
  <c r="AC221" i="10" s="1"/>
  <c r="AB208" i="10"/>
  <c r="AC208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B75" i="10"/>
  <c r="AC75" i="10" s="1"/>
  <c r="AB76" i="10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236" i="10"/>
  <c r="AC120" i="10"/>
  <c r="AC142" i="10"/>
  <c r="AC93" i="10"/>
  <c r="AC140" i="10"/>
  <c r="AC3" i="10"/>
  <c r="AC135" i="10"/>
  <c r="AC112" i="10"/>
  <c r="AC144" i="10"/>
  <c r="AC117" i="10"/>
  <c r="AC4" i="10"/>
  <c r="AC248" i="10"/>
  <c r="AC5" i="10"/>
  <c r="AC6" i="10"/>
  <c r="AC7" i="10"/>
  <c r="AC8" i="10"/>
  <c r="AC132" i="10"/>
  <c r="AC100" i="10"/>
  <c r="AC9" i="10"/>
  <c r="AC10" i="10"/>
  <c r="AC224" i="10"/>
  <c r="AC13" i="10"/>
  <c r="AC14" i="10"/>
  <c r="AC89" i="10"/>
  <c r="AC16" i="10"/>
  <c r="AC190" i="10"/>
  <c r="AC19" i="10"/>
  <c r="AC21" i="10"/>
  <c r="AC22" i="10"/>
  <c r="AC247" i="10"/>
  <c r="AC223" i="10"/>
  <c r="AC126" i="10"/>
  <c r="AC26" i="10"/>
  <c r="AC27" i="10"/>
  <c r="AC30" i="10"/>
  <c r="AC31" i="10"/>
  <c r="AC211" i="10"/>
  <c r="AC198" i="10"/>
  <c r="AC130" i="10"/>
  <c r="AC121" i="10"/>
  <c r="AC34" i="10"/>
  <c r="AC35" i="10"/>
  <c r="AC182" i="10"/>
  <c r="AC38" i="10"/>
  <c r="AC39" i="10"/>
  <c r="AC88" i="10"/>
  <c r="AC42" i="10"/>
  <c r="AC43" i="10"/>
  <c r="AC45" i="10"/>
  <c r="AC107" i="10"/>
  <c r="AC252" i="10"/>
  <c r="AC213" i="10"/>
  <c r="AC124" i="10"/>
  <c r="AC49" i="10"/>
  <c r="AC148" i="10"/>
  <c r="AC137" i="10"/>
  <c r="AC116" i="10"/>
  <c r="AC149" i="10"/>
  <c r="AC191" i="10"/>
  <c r="AC50" i="10"/>
  <c r="AC52" i="10"/>
  <c r="AC183" i="10"/>
  <c r="AC55" i="10"/>
  <c r="AC194" i="10"/>
  <c r="AC156" i="10"/>
  <c r="AC195" i="10"/>
  <c r="AC146" i="10"/>
  <c r="AC56" i="10"/>
  <c r="AC97" i="10"/>
  <c r="AC57" i="10"/>
  <c r="AC159" i="10"/>
  <c r="AC122" i="10"/>
  <c r="AC250" i="10"/>
  <c r="AC153" i="10"/>
  <c r="AC115" i="10"/>
  <c r="AC58" i="10"/>
  <c r="AC113" i="10"/>
  <c r="AC240" i="10"/>
  <c r="AC174" i="10"/>
  <c r="AC157" i="10"/>
  <c r="AC90" i="10"/>
  <c r="AC176" i="10"/>
  <c r="AC222" i="10"/>
  <c r="AC59" i="10"/>
  <c r="AC60" i="10"/>
  <c r="AC61" i="10"/>
  <c r="AC257" i="10"/>
  <c r="AC165" i="10"/>
  <c r="AC166" i="10"/>
  <c r="AC64" i="10"/>
  <c r="AC106" i="10"/>
  <c r="AC65" i="10"/>
  <c r="AC66" i="10"/>
  <c r="AC244" i="10"/>
  <c r="AC196" i="10"/>
  <c r="AC199" i="10"/>
  <c r="AC245" i="10"/>
  <c r="AC202" i="10"/>
  <c r="AC203" i="10"/>
  <c r="AC204" i="10"/>
  <c r="AC179" i="10"/>
  <c r="AC180" i="10"/>
  <c r="AC175" i="10"/>
  <c r="AC206" i="10"/>
  <c r="AC210" i="10"/>
  <c r="AC237" i="10"/>
  <c r="AC229" i="10"/>
  <c r="AC209" i="10"/>
  <c r="AC186" i="10"/>
  <c r="AC181" i="10"/>
  <c r="AC74" i="10"/>
  <c r="AC76" i="10"/>
  <c r="P263" i="10" l="1"/>
  <c r="Y144" i="10"/>
  <c r="V236" i="10"/>
  <c r="V233" i="10"/>
  <c r="S173" i="10"/>
  <c r="T173" i="10" s="1"/>
  <c r="S177" i="10"/>
  <c r="T177" i="10" s="1"/>
  <c r="S82" i="10"/>
  <c r="T82" i="10" s="1"/>
  <c r="S69" i="10"/>
  <c r="T69" i="10" s="1"/>
  <c r="S104" i="10"/>
  <c r="T104" i="10" s="1"/>
  <c r="S67" i="10"/>
  <c r="T67" i="10" s="1"/>
  <c r="S197" i="10"/>
  <c r="T197" i="10" s="1"/>
  <c r="S245" i="10"/>
  <c r="T245" i="10" s="1"/>
  <c r="S64" i="10"/>
  <c r="T64" i="10" s="1"/>
  <c r="P204" i="10"/>
  <c r="P255" i="10"/>
  <c r="P119" i="10"/>
  <c r="P17" i="10"/>
  <c r="M152" i="10"/>
  <c r="N152" i="10" s="1"/>
  <c r="O152" i="10" s="1"/>
  <c r="M156" i="10"/>
  <c r="N156" i="10" s="1"/>
  <c r="O156" i="10" s="1"/>
  <c r="M46" i="10"/>
  <c r="N46" i="10" s="1"/>
  <c r="O46" i="10" s="1"/>
  <c r="M251" i="10"/>
  <c r="N251" i="10" s="1"/>
  <c r="O251" i="10" s="1"/>
  <c r="P106" i="34"/>
  <c r="N48" i="34"/>
  <c r="O48" i="34" s="1"/>
  <c r="M98" i="34"/>
  <c r="M62" i="34"/>
  <c r="L75" i="34"/>
  <c r="K147" i="34"/>
  <c r="M147" i="34" s="1"/>
  <c r="K105" i="34"/>
  <c r="M105" i="34" s="1"/>
  <c r="K63" i="34"/>
  <c r="K21" i="34"/>
  <c r="K7" i="34"/>
  <c r="M7" i="34" s="1"/>
  <c r="L103" i="34"/>
  <c r="AC2379" i="20"/>
  <c r="AC2117" i="20"/>
  <c r="AC1327" i="20"/>
  <c r="AC129" i="20"/>
  <c r="AC1864" i="20"/>
  <c r="P268" i="10"/>
  <c r="M29" i="10"/>
  <c r="N29" i="10" s="1"/>
  <c r="O29" i="10" s="1"/>
  <c r="P22" i="34"/>
  <c r="K89" i="34"/>
  <c r="N89" i="34" s="1"/>
  <c r="O89" i="34" s="1"/>
  <c r="Y155" i="10"/>
  <c r="Z155" i="10" s="1"/>
  <c r="Y147" i="10"/>
  <c r="Z147" i="10" s="1"/>
  <c r="Y11" i="10"/>
  <c r="Z11" i="10" s="1"/>
  <c r="Y230" i="10"/>
  <c r="Z230" i="10" s="1"/>
  <c r="Y84" i="10"/>
  <c r="Z84" i="10" s="1"/>
  <c r="Y238" i="10"/>
  <c r="Y212" i="10"/>
  <c r="Z212" i="10" s="1"/>
  <c r="Y259" i="10"/>
  <c r="Z259" i="10" s="1"/>
  <c r="Y195" i="10"/>
  <c r="Z195" i="10" s="1"/>
  <c r="Y103" i="10"/>
  <c r="Z103" i="10" s="1"/>
  <c r="Y10" i="10"/>
  <c r="Y108" i="10"/>
  <c r="Z108" i="10" s="1"/>
  <c r="P214" i="10"/>
  <c r="P59" i="10"/>
  <c r="M77" i="10"/>
  <c r="N77" i="10" s="1"/>
  <c r="O77" i="10" s="1"/>
  <c r="M263" i="10"/>
  <c r="N263" i="10" s="1"/>
  <c r="O263" i="10" s="1"/>
  <c r="M123" i="10"/>
  <c r="N123" i="10" s="1"/>
  <c r="O123" i="10" s="1"/>
  <c r="M51" i="10"/>
  <c r="N51" i="10" s="1"/>
  <c r="O51" i="10" s="1"/>
  <c r="M108" i="10"/>
  <c r="N108" i="10" s="1"/>
  <c r="O108" i="10" s="1"/>
  <c r="M90" i="34"/>
  <c r="L6" i="34"/>
  <c r="K130" i="34"/>
  <c r="K88" i="34"/>
  <c r="K46" i="34"/>
  <c r="N46" i="34" s="1"/>
  <c r="O46" i="34" s="1"/>
  <c r="K4" i="34"/>
  <c r="M4" i="34" s="1"/>
  <c r="L142" i="34"/>
  <c r="L100" i="34"/>
  <c r="L44" i="34"/>
  <c r="AC2357" i="20"/>
  <c r="AC2213" i="20"/>
  <c r="AC2091" i="20"/>
  <c r="AC1832" i="20"/>
  <c r="AC1692" i="20"/>
  <c r="AC685" i="20"/>
  <c r="L34" i="34"/>
  <c r="K47" i="34"/>
  <c r="Y91" i="10"/>
  <c r="Y33" i="10"/>
  <c r="Z33" i="10" s="1"/>
  <c r="Y247" i="10"/>
  <c r="Z247" i="10" s="1"/>
  <c r="S93" i="10"/>
  <c r="T93" i="10" s="1"/>
  <c r="Y250" i="10"/>
  <c r="Z250" i="10" s="1"/>
  <c r="Y156" i="10"/>
  <c r="Z156" i="10" s="1"/>
  <c r="P154" i="10"/>
  <c r="P134" i="10"/>
  <c r="P29" i="10"/>
  <c r="P230" i="10"/>
  <c r="M75" i="10"/>
  <c r="N75" i="10" s="1"/>
  <c r="O75" i="10" s="1"/>
  <c r="M10" i="10"/>
  <c r="N10" i="10" s="1"/>
  <c r="O10" i="10" s="1"/>
  <c r="N6" i="34"/>
  <c r="O6" i="34" s="1"/>
  <c r="K157" i="34"/>
  <c r="M157" i="34" s="1"/>
  <c r="K143" i="34"/>
  <c r="M143" i="34" s="1"/>
  <c r="K129" i="34"/>
  <c r="K115" i="34"/>
  <c r="N115" i="34" s="1"/>
  <c r="O115" i="34" s="1"/>
  <c r="Q115" i="34" s="1"/>
  <c r="K101" i="34"/>
  <c r="K87" i="34"/>
  <c r="M87" i="34" s="1"/>
  <c r="K73" i="34"/>
  <c r="M73" i="34" s="1"/>
  <c r="K59" i="34"/>
  <c r="M59" i="34" s="1"/>
  <c r="K45" i="34"/>
  <c r="M45" i="34" s="1"/>
  <c r="K31" i="34"/>
  <c r="K17" i="34"/>
  <c r="K3" i="34"/>
  <c r="M3" i="34" s="1"/>
  <c r="L84" i="34"/>
  <c r="L28" i="34"/>
  <c r="L99" i="34"/>
  <c r="L29" i="34"/>
  <c r="AC2419" i="20"/>
  <c r="AC2190" i="20"/>
  <c r="AC2065" i="20"/>
  <c r="AC1831" i="20"/>
  <c r="AC1509" i="20"/>
  <c r="AC1274" i="20"/>
  <c r="K5" i="34"/>
  <c r="L5" i="34" s="1"/>
  <c r="L45" i="34"/>
  <c r="Y232" i="10"/>
  <c r="Z232" i="10" s="1"/>
  <c r="Y125" i="10"/>
  <c r="Z125" i="10" s="1"/>
  <c r="Y216" i="10"/>
  <c r="Z216" i="10" s="1"/>
  <c r="Y141" i="10"/>
  <c r="Z141" i="10" s="1"/>
  <c r="V272" i="10"/>
  <c r="S18" i="10"/>
  <c r="T18" i="10" s="1"/>
  <c r="T77" i="10"/>
  <c r="T268" i="10"/>
  <c r="T168" i="10"/>
  <c r="T263" i="10"/>
  <c r="T180" i="10"/>
  <c r="T214" i="10"/>
  <c r="T63" i="10"/>
  <c r="T164" i="10"/>
  <c r="T123" i="10"/>
  <c r="T155" i="10"/>
  <c r="T51" i="10"/>
  <c r="T147" i="10"/>
  <c r="T119" i="10"/>
  <c r="T33" i="10"/>
  <c r="T29" i="10"/>
  <c r="T20" i="10"/>
  <c r="T251" i="10"/>
  <c r="T95" i="10"/>
  <c r="T230" i="10"/>
  <c r="S198" i="10"/>
  <c r="T198" i="10" s="1"/>
  <c r="S120" i="10"/>
  <c r="T120" i="10" s="1"/>
  <c r="P238" i="10"/>
  <c r="P155" i="10"/>
  <c r="P39" i="10"/>
  <c r="M96" i="10"/>
  <c r="N96" i="10" s="1"/>
  <c r="O96" i="10" s="1"/>
  <c r="M63" i="10"/>
  <c r="N63" i="10" s="1"/>
  <c r="O63" i="10" s="1"/>
  <c r="M109" i="10"/>
  <c r="N109" i="10" s="1"/>
  <c r="O109" i="10" s="1"/>
  <c r="M149" i="10"/>
  <c r="N149" i="10" s="1"/>
  <c r="O149" i="10" s="1"/>
  <c r="K156" i="34"/>
  <c r="M156" i="34" s="1"/>
  <c r="K142" i="34"/>
  <c r="M142" i="34" s="1"/>
  <c r="K128" i="34"/>
  <c r="M128" i="34" s="1"/>
  <c r="K114" i="34"/>
  <c r="M114" i="34" s="1"/>
  <c r="K100" i="34"/>
  <c r="M100" i="34" s="1"/>
  <c r="K86" i="34"/>
  <c r="M86" i="34" s="1"/>
  <c r="K72" i="34"/>
  <c r="M72" i="34" s="1"/>
  <c r="K58" i="34"/>
  <c r="M58" i="34" s="1"/>
  <c r="K44" i="34"/>
  <c r="M44" i="34" s="1"/>
  <c r="K30" i="34"/>
  <c r="L30" i="34" s="1"/>
  <c r="K16" i="34"/>
  <c r="M16" i="34" s="1"/>
  <c r="K2" i="34"/>
  <c r="M2" i="34" s="1"/>
  <c r="L154" i="34"/>
  <c r="L140" i="34"/>
  <c r="AC2336" i="20"/>
  <c r="AC2187" i="20"/>
  <c r="AC2040" i="20"/>
  <c r="AC1266" i="20"/>
  <c r="S256" i="10"/>
  <c r="T256" i="10" s="1"/>
  <c r="S127" i="10"/>
  <c r="T127" i="10" s="1"/>
  <c r="S40" i="10"/>
  <c r="T40" i="10" s="1"/>
  <c r="T48" i="10"/>
  <c r="P164" i="10"/>
  <c r="P147" i="10"/>
  <c r="K141" i="34"/>
  <c r="M141" i="34" s="1"/>
  <c r="K127" i="34"/>
  <c r="M127" i="34" s="1"/>
  <c r="K57" i="34"/>
  <c r="M57" i="34" s="1"/>
  <c r="L83" i="34"/>
  <c r="W178" i="10"/>
  <c r="X178" i="10" s="1"/>
  <c r="Y129" i="10"/>
  <c r="Z129" i="10" s="1"/>
  <c r="W227" i="10"/>
  <c r="X227" i="10" s="1"/>
  <c r="Y236" i="10"/>
  <c r="Z236" i="10" s="1"/>
  <c r="W201" i="10"/>
  <c r="P259" i="10"/>
  <c r="P195" i="10"/>
  <c r="M95" i="10"/>
  <c r="N95" i="10" s="1"/>
  <c r="O95" i="10" s="1"/>
  <c r="M118" i="34"/>
  <c r="K126" i="34"/>
  <c r="M126" i="34" s="1"/>
  <c r="L146" i="34"/>
  <c r="L70" i="34"/>
  <c r="AC953" i="20"/>
  <c r="Y214" i="10"/>
  <c r="Z214" i="10" s="1"/>
  <c r="M119" i="10"/>
  <c r="N119" i="10" s="1"/>
  <c r="O119" i="10" s="1"/>
  <c r="N20" i="34"/>
  <c r="O20" i="34" s="1"/>
  <c r="L90" i="34"/>
  <c r="L73" i="34"/>
  <c r="Y168" i="10"/>
  <c r="Z168" i="10" s="1"/>
  <c r="Y180" i="10"/>
  <c r="Z180" i="10" s="1"/>
  <c r="Y63" i="10"/>
  <c r="Z63" i="10" s="1"/>
  <c r="Y20" i="10"/>
  <c r="Z20" i="10" s="1"/>
  <c r="V80" i="10"/>
  <c r="V271" i="10"/>
  <c r="V111" i="10"/>
  <c r="V99" i="10"/>
  <c r="W99" i="10" s="1"/>
  <c r="AA99" i="10" s="1"/>
  <c r="V207" i="10"/>
  <c r="V200" i="10"/>
  <c r="V167" i="10"/>
  <c r="P168" i="10"/>
  <c r="P66" i="10"/>
  <c r="M148" i="10"/>
  <c r="N148" i="10" s="1"/>
  <c r="O148" i="10" s="1"/>
  <c r="M33" i="10"/>
  <c r="N33" i="10" s="1"/>
  <c r="O33" i="10" s="1"/>
  <c r="M20" i="10"/>
  <c r="N20" i="10" s="1"/>
  <c r="O20" i="10" s="1"/>
  <c r="M146" i="34"/>
  <c r="K125" i="34"/>
  <c r="M125" i="34" s="1"/>
  <c r="K111" i="34"/>
  <c r="M111" i="34" s="1"/>
  <c r="K83" i="34"/>
  <c r="M83" i="34" s="1"/>
  <c r="K41" i="34"/>
  <c r="M41" i="34" s="1"/>
  <c r="K27" i="34"/>
  <c r="M27" i="34" s="1"/>
  <c r="L62" i="34"/>
  <c r="L14" i="34"/>
  <c r="AC2401" i="20"/>
  <c r="AC1760" i="20"/>
  <c r="AC1625" i="20"/>
  <c r="AC947" i="20"/>
  <c r="Y77" i="10"/>
  <c r="Z77" i="10" s="1"/>
  <c r="Y215" i="10"/>
  <c r="Z215" i="10" s="1"/>
  <c r="Y51" i="10"/>
  <c r="Z51" i="10" s="1"/>
  <c r="V144" i="10"/>
  <c r="S74" i="10"/>
  <c r="T74" i="10" s="1"/>
  <c r="S274" i="10"/>
  <c r="T274" i="10" s="1"/>
  <c r="S73" i="10"/>
  <c r="T73" i="10" s="1"/>
  <c r="S221" i="10"/>
  <c r="T221" i="10" s="1"/>
  <c r="S264" i="10"/>
  <c r="T264" i="10" s="1"/>
  <c r="S169" i="10"/>
  <c r="T169" i="10" s="1"/>
  <c r="S225" i="10"/>
  <c r="T225" i="10" s="1"/>
  <c r="P184" i="10"/>
  <c r="P180" i="10"/>
  <c r="P36" i="10"/>
  <c r="P142" i="10"/>
  <c r="M171" i="10"/>
  <c r="N171" i="10" s="1"/>
  <c r="O171" i="10" s="1"/>
  <c r="M155" i="10"/>
  <c r="N155" i="10" s="1"/>
  <c r="O155" i="10" s="1"/>
  <c r="M248" i="10"/>
  <c r="N248" i="10" s="1"/>
  <c r="O248" i="10" s="1"/>
  <c r="K110" i="34"/>
  <c r="M110" i="34" s="1"/>
  <c r="K82" i="34"/>
  <c r="M82" i="34" s="1"/>
  <c r="K40" i="34"/>
  <c r="M40" i="34" s="1"/>
  <c r="K26" i="34"/>
  <c r="M26" i="34" s="1"/>
  <c r="K12" i="34"/>
  <c r="M12" i="34" s="1"/>
  <c r="L136" i="34"/>
  <c r="L94" i="34"/>
  <c r="L80" i="34"/>
  <c r="L24" i="34"/>
  <c r="AC2398" i="20"/>
  <c r="AC2167" i="20"/>
  <c r="AC1986" i="20"/>
  <c r="AC1623" i="20"/>
  <c r="Y123" i="10"/>
  <c r="Z123" i="10" s="1"/>
  <c r="Y172" i="10"/>
  <c r="Z172" i="10" s="1"/>
  <c r="Y95" i="10"/>
  <c r="W95" i="10" s="1"/>
  <c r="T10" i="10"/>
  <c r="P188" i="10"/>
  <c r="P179" i="10"/>
  <c r="M266" i="10"/>
  <c r="N266" i="10" s="1"/>
  <c r="O266" i="10" s="1"/>
  <c r="M4" i="10"/>
  <c r="N4" i="10" s="1"/>
  <c r="O4" i="10" s="1"/>
  <c r="N104" i="34"/>
  <c r="O104" i="34" s="1"/>
  <c r="K151" i="34"/>
  <c r="M151" i="34" s="1"/>
  <c r="K137" i="34"/>
  <c r="M137" i="34" s="1"/>
  <c r="K123" i="34"/>
  <c r="M123" i="34" s="1"/>
  <c r="K109" i="34"/>
  <c r="M109" i="34" s="1"/>
  <c r="K95" i="34"/>
  <c r="M95" i="34" s="1"/>
  <c r="K67" i="34"/>
  <c r="M67" i="34" s="1"/>
  <c r="K53" i="34"/>
  <c r="M53" i="34" s="1"/>
  <c r="K39" i="34"/>
  <c r="M39" i="34" s="1"/>
  <c r="K25" i="34"/>
  <c r="M25" i="34" s="1"/>
  <c r="K11" i="34"/>
  <c r="M11" i="34" s="1"/>
  <c r="L56" i="34"/>
  <c r="AC1916" i="20"/>
  <c r="AC1724" i="20"/>
  <c r="AC1217" i="20"/>
  <c r="AC498" i="20"/>
  <c r="L31" i="34"/>
  <c r="Y89" i="10"/>
  <c r="Z89" i="10" s="1"/>
  <c r="P252" i="10"/>
  <c r="P121" i="10"/>
  <c r="M212" i="10"/>
  <c r="N212" i="10" s="1"/>
  <c r="O212" i="10" s="1"/>
  <c r="M190" i="10"/>
  <c r="N190" i="10" s="1"/>
  <c r="O190" i="10" s="1"/>
  <c r="M70" i="34"/>
  <c r="M42" i="34"/>
  <c r="K150" i="34"/>
  <c r="M150" i="34" s="1"/>
  <c r="K122" i="34"/>
  <c r="M122" i="34" s="1"/>
  <c r="K108" i="34"/>
  <c r="M108" i="34" s="1"/>
  <c r="K94" i="34"/>
  <c r="M94" i="34" s="1"/>
  <c r="K80" i="34"/>
  <c r="M80" i="34" s="1"/>
  <c r="K66" i="34"/>
  <c r="M66" i="34" s="1"/>
  <c r="K52" i="34"/>
  <c r="M52" i="34" s="1"/>
  <c r="K38" i="34"/>
  <c r="M38" i="34" s="1"/>
  <c r="K24" i="34"/>
  <c r="M24" i="34" s="1"/>
  <c r="K10" i="34"/>
  <c r="M10" i="34" s="1"/>
  <c r="AC2275" i="20"/>
  <c r="AC2142" i="20"/>
  <c r="AC1723" i="20"/>
  <c r="AC1586" i="20"/>
  <c r="AC478" i="20"/>
  <c r="W154" i="10"/>
  <c r="X154" i="10" s="1"/>
  <c r="V89" i="10"/>
  <c r="S193" i="10"/>
  <c r="T193" i="10" s="1"/>
  <c r="P103" i="10"/>
  <c r="P120" i="34"/>
  <c r="R120" i="34" s="1"/>
  <c r="N99" i="34"/>
  <c r="O99" i="34" s="1"/>
  <c r="M103" i="34"/>
  <c r="L132" i="34"/>
  <c r="K135" i="34"/>
  <c r="M135" i="34" s="1"/>
  <c r="K107" i="34"/>
  <c r="M107" i="34" s="1"/>
  <c r="K93" i="34"/>
  <c r="M93" i="34" s="1"/>
  <c r="K79" i="34"/>
  <c r="M79" i="34" s="1"/>
  <c r="K37" i="34"/>
  <c r="M37" i="34" s="1"/>
  <c r="K9" i="34"/>
  <c r="M9" i="34" s="1"/>
  <c r="L7" i="34"/>
  <c r="N133" i="34"/>
  <c r="O133" i="34" s="1"/>
  <c r="L77" i="34"/>
  <c r="AC2141" i="20"/>
  <c r="AC1383" i="20"/>
  <c r="AC799" i="20"/>
  <c r="AC320" i="20"/>
  <c r="P70" i="10"/>
  <c r="P242" i="10"/>
  <c r="P172" i="10"/>
  <c r="P130" i="10"/>
  <c r="P119" i="34"/>
  <c r="M34" i="34"/>
  <c r="K148" i="34"/>
  <c r="M148" i="34" s="1"/>
  <c r="K106" i="34"/>
  <c r="M106" i="34" s="1"/>
  <c r="K78" i="34"/>
  <c r="M78" i="34" s="1"/>
  <c r="K64" i="34"/>
  <c r="M64" i="34" s="1"/>
  <c r="K50" i="34"/>
  <c r="M50" i="34" s="1"/>
  <c r="K36" i="34"/>
  <c r="M36" i="34" s="1"/>
  <c r="K8" i="34"/>
  <c r="M8" i="34" s="1"/>
  <c r="L104" i="34"/>
  <c r="N132" i="34"/>
  <c r="O132" i="34" s="1"/>
  <c r="L118" i="34"/>
  <c r="AC1890" i="20"/>
  <c r="AC1157" i="20"/>
  <c r="AC787" i="20"/>
  <c r="AC319" i="20"/>
  <c r="N35" i="42"/>
  <c r="N77" i="42"/>
  <c r="N7" i="42"/>
  <c r="N63" i="42"/>
  <c r="N105" i="42"/>
  <c r="N49" i="42"/>
  <c r="N91" i="42"/>
  <c r="N119" i="42"/>
  <c r="N21" i="42"/>
  <c r="P434" i="39"/>
  <c r="P392" i="39"/>
  <c r="P350" i="39"/>
  <c r="P294" i="39"/>
  <c r="P266" i="39"/>
  <c r="P210" i="39"/>
  <c r="P182" i="39"/>
  <c r="P140" i="39"/>
  <c r="P192" i="39"/>
  <c r="P390" i="39"/>
  <c r="P194" i="39"/>
  <c r="P461" i="39"/>
  <c r="P447" i="39"/>
  <c r="P433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27" i="39"/>
  <c r="P13" i="39"/>
  <c r="P378" i="39"/>
  <c r="P322" i="39"/>
  <c r="P56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P389" i="39"/>
  <c r="P193" i="39"/>
  <c r="P460" i="39"/>
  <c r="P432" i="39"/>
  <c r="P404" i="39"/>
  <c r="P376" i="39"/>
  <c r="P348" i="39"/>
  <c r="P320" i="39"/>
  <c r="P292" i="39"/>
  <c r="P264" i="39"/>
  <c r="P236" i="39"/>
  <c r="P208" i="39"/>
  <c r="P180" i="39"/>
  <c r="P152" i="39"/>
  <c r="P124" i="39"/>
  <c r="P110" i="39"/>
  <c r="P96" i="39"/>
  <c r="P82" i="39"/>
  <c r="P54" i="39"/>
  <c r="P26" i="39"/>
  <c r="P12" i="39"/>
  <c r="P221" i="39"/>
  <c r="P448" i="39"/>
  <c r="P406" i="39"/>
  <c r="P364" i="39"/>
  <c r="P308" i="39"/>
  <c r="P280" i="39"/>
  <c r="P224" i="39"/>
  <c r="P196" i="39"/>
  <c r="P154" i="39"/>
  <c r="P28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P362" i="39"/>
  <c r="P166" i="39"/>
  <c r="P459" i="39"/>
  <c r="P431" i="39"/>
  <c r="P403" i="39"/>
  <c r="P375" i="39"/>
  <c r="P347" i="39"/>
  <c r="P319" i="39"/>
  <c r="P291" i="39"/>
  <c r="P263" i="39"/>
  <c r="P235" i="39"/>
  <c r="P207" i="39"/>
  <c r="P179" i="39"/>
  <c r="P151" i="39"/>
  <c r="P123" i="39"/>
  <c r="P109" i="39"/>
  <c r="P81" i="39"/>
  <c r="P53" i="39"/>
  <c r="P25" i="39"/>
  <c r="P2" i="39"/>
  <c r="P462" i="39"/>
  <c r="P420" i="39"/>
  <c r="P336" i="39"/>
  <c r="P42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P361" i="39"/>
  <c r="P165" i="39"/>
  <c r="P458" i="39"/>
  <c r="P430" i="39"/>
  <c r="P402" i="39"/>
  <c r="P374" i="39"/>
  <c r="P346" i="39"/>
  <c r="P318" i="39"/>
  <c r="P290" i="39"/>
  <c r="P262" i="39"/>
  <c r="P234" i="39"/>
  <c r="P206" i="39"/>
  <c r="P178" i="39"/>
  <c r="P150" i="39"/>
  <c r="P334" i="39"/>
  <c r="P138" i="39"/>
  <c r="P43" i="39"/>
  <c r="P168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333" i="39"/>
  <c r="P137" i="39"/>
  <c r="P84" i="39"/>
  <c r="P306" i="39"/>
  <c r="P108" i="39"/>
  <c r="P126" i="39"/>
  <c r="U436" i="39"/>
  <c r="U338" i="39"/>
  <c r="U240" i="39"/>
  <c r="U142" i="39"/>
  <c r="U44" i="39"/>
  <c r="U466" i="39"/>
  <c r="U452" i="39"/>
  <c r="U424" i="39"/>
  <c r="U410" i="39"/>
  <c r="U396" i="39"/>
  <c r="U382" i="39"/>
  <c r="U368" i="39"/>
  <c r="U354" i="39"/>
  <c r="U326" i="39"/>
  <c r="U312" i="39"/>
  <c r="U298" i="39"/>
  <c r="U284" i="39"/>
  <c r="U270" i="39"/>
  <c r="U256" i="39"/>
  <c r="U228" i="39"/>
  <c r="U214" i="39"/>
  <c r="U200" i="39"/>
  <c r="U186" i="39"/>
  <c r="U172" i="39"/>
  <c r="U158" i="39"/>
  <c r="U130" i="39"/>
  <c r="U116" i="39"/>
  <c r="U102" i="39"/>
  <c r="U88" i="39"/>
  <c r="U74" i="39"/>
  <c r="U60" i="39"/>
  <c r="U32" i="39"/>
  <c r="U18" i="39"/>
  <c r="U4" i="39"/>
  <c r="P305" i="39"/>
  <c r="P100" i="39"/>
  <c r="P112" i="39"/>
  <c r="U465" i="39"/>
  <c r="U451" i="39"/>
  <c r="U423" i="39"/>
  <c r="U409" i="39"/>
  <c r="U395" i="39"/>
  <c r="U381" i="39"/>
  <c r="U367" i="39"/>
  <c r="U353" i="39"/>
  <c r="U325" i="39"/>
  <c r="U311" i="39"/>
  <c r="U297" i="39"/>
  <c r="U283" i="39"/>
  <c r="U269" i="39"/>
  <c r="U255" i="39"/>
  <c r="U227" i="39"/>
  <c r="U213" i="39"/>
  <c r="U199" i="39"/>
  <c r="U185" i="39"/>
  <c r="U171" i="39"/>
  <c r="U157" i="39"/>
  <c r="U129" i="39"/>
  <c r="U115" i="39"/>
  <c r="U101" i="39"/>
  <c r="U87" i="39"/>
  <c r="U73" i="39"/>
  <c r="U59" i="39"/>
  <c r="U31" i="39"/>
  <c r="U17" i="39"/>
  <c r="U3" i="39"/>
  <c r="P278" i="39"/>
  <c r="P98" i="39"/>
  <c r="P277" i="39"/>
  <c r="P238" i="39"/>
  <c r="P446" i="39"/>
  <c r="P250" i="39"/>
  <c r="P41" i="39"/>
  <c r="P252" i="39"/>
  <c r="P445" i="39"/>
  <c r="P249" i="39"/>
  <c r="P416" i="39"/>
  <c r="P360" i="39"/>
  <c r="P39" i="39"/>
  <c r="P184" i="39"/>
  <c r="P164" i="39"/>
  <c r="P464" i="39"/>
  <c r="P408" i="39"/>
  <c r="P352" i="39"/>
  <c r="P296" i="39"/>
  <c r="P240" i="39"/>
  <c r="P127" i="39"/>
  <c r="P68" i="39"/>
  <c r="P435" i="39"/>
  <c r="P351" i="39"/>
  <c r="P295" i="39"/>
  <c r="P239" i="39"/>
  <c r="P29" i="39"/>
  <c r="P220" i="39"/>
  <c r="P436" i="39"/>
  <c r="P380" i="39"/>
  <c r="P324" i="39"/>
  <c r="P268" i="39"/>
  <c r="P212" i="39"/>
  <c r="P156" i="39"/>
  <c r="P30" i="39"/>
  <c r="P463" i="39"/>
  <c r="P407" i="39"/>
  <c r="P379" i="39"/>
  <c r="P323" i="39"/>
  <c r="P267" i="39"/>
  <c r="P211" i="39"/>
  <c r="P183" i="39"/>
  <c r="P155" i="39"/>
  <c r="P67" i="39"/>
  <c r="P58" i="39"/>
  <c r="P136" i="39"/>
  <c r="P122" i="39"/>
  <c r="P94" i="39"/>
  <c r="P80" i="39"/>
  <c r="P66" i="39"/>
  <c r="P52" i="39"/>
  <c r="P38" i="39"/>
  <c r="P24" i="39"/>
  <c r="P10" i="39"/>
  <c r="P388" i="39"/>
  <c r="P332" i="39"/>
  <c r="P99" i="39"/>
  <c r="P471" i="39"/>
  <c r="P93" i="39"/>
  <c r="P86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304" i="39"/>
  <c r="P415" i="39"/>
  <c r="P331" i="39"/>
  <c r="P247" i="39"/>
  <c r="P149" i="39"/>
  <c r="P51" i="39"/>
  <c r="P114" i="39"/>
  <c r="P85" i="39"/>
  <c r="P469" i="39"/>
  <c r="P455" i="39"/>
  <c r="P441" i="39"/>
  <c r="P413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4" i="39"/>
  <c r="P276" i="39"/>
  <c r="P373" i="39"/>
  <c r="P289" i="39"/>
  <c r="P205" i="39"/>
  <c r="P135" i="39"/>
  <c r="P65" i="39"/>
  <c r="P399" i="39"/>
  <c r="P113" i="39"/>
  <c r="P16" i="39"/>
  <c r="P443" i="39"/>
  <c r="P359" i="39"/>
  <c r="P275" i="39"/>
  <c r="P191" i="39"/>
  <c r="P107" i="39"/>
  <c r="P79" i="39"/>
  <c r="P427" i="39"/>
  <c r="P450" i="39"/>
  <c r="P422" i="39"/>
  <c r="P394" i="39"/>
  <c r="P366" i="39"/>
  <c r="P338" i="39"/>
  <c r="P310" i="39"/>
  <c r="P282" i="39"/>
  <c r="P254" i="39"/>
  <c r="P226" i="39"/>
  <c r="P198" i="39"/>
  <c r="P170" i="39"/>
  <c r="P142" i="39"/>
  <c r="P15" i="39"/>
  <c r="P128" i="39"/>
  <c r="P95" i="39"/>
  <c r="P457" i="39"/>
  <c r="P387" i="39"/>
  <c r="P303" i="39"/>
  <c r="P219" i="39"/>
  <c r="P121" i="39"/>
  <c r="P37" i="39"/>
  <c r="P449" i="39"/>
  <c r="P421" i="39"/>
  <c r="P393" i="39"/>
  <c r="P365" i="39"/>
  <c r="P337" i="39"/>
  <c r="P309" i="39"/>
  <c r="P281" i="39"/>
  <c r="P253" i="39"/>
  <c r="P225" i="39"/>
  <c r="P197" i="39"/>
  <c r="P169" i="39"/>
  <c r="P141" i="39"/>
  <c r="P44" i="39"/>
  <c r="P14" i="39"/>
  <c r="P248" i="39"/>
  <c r="P57" i="39"/>
  <c r="P401" i="39"/>
  <c r="P317" i="39"/>
  <c r="P233" i="39"/>
  <c r="P163" i="39"/>
  <c r="P23" i="39"/>
  <c r="P444" i="39"/>
  <c r="P429" i="39"/>
  <c r="P345" i="39"/>
  <c r="P261" i="39"/>
  <c r="P177" i="39"/>
  <c r="P9" i="39"/>
  <c r="U467" i="39"/>
  <c r="U453" i="39"/>
  <c r="U439" i="39"/>
  <c r="U425" i="39"/>
  <c r="U411" i="39"/>
  <c r="U397" i="39"/>
  <c r="U383" i="39"/>
  <c r="U369" i="39"/>
  <c r="U355" i="39"/>
  <c r="U341" i="39"/>
  <c r="U327" i="39"/>
  <c r="U313" i="39"/>
  <c r="U299" i="39"/>
  <c r="U285" i="39"/>
  <c r="U271" i="39"/>
  <c r="U257" i="39"/>
  <c r="U243" i="39"/>
  <c r="U229" i="39"/>
  <c r="U215" i="39"/>
  <c r="U201" i="39"/>
  <c r="U187" i="39"/>
  <c r="U173" i="39"/>
  <c r="U159" i="39"/>
  <c r="U145" i="39"/>
  <c r="U131" i="39"/>
  <c r="U117" i="39"/>
  <c r="U103" i="39"/>
  <c r="U89" i="39"/>
  <c r="U75" i="39"/>
  <c r="U61" i="39"/>
  <c r="U47" i="39"/>
  <c r="U33" i="39"/>
  <c r="U19" i="39"/>
  <c r="U5" i="39"/>
  <c r="P72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136" i="34"/>
  <c r="R136" i="34" s="1"/>
  <c r="P156" i="34"/>
  <c r="P24" i="34"/>
  <c r="R24" i="34" s="1"/>
  <c r="P108" i="34"/>
  <c r="R108" i="34" s="1"/>
  <c r="P124" i="34"/>
  <c r="P44" i="34"/>
  <c r="R44" i="34" s="1"/>
  <c r="P3" i="34"/>
  <c r="R3" i="34" s="1"/>
  <c r="P60" i="34"/>
  <c r="R60" i="34" s="1"/>
  <c r="P144" i="34"/>
  <c r="R144" i="34" s="1"/>
  <c r="P34" i="34"/>
  <c r="P76" i="34"/>
  <c r="R76" i="34" s="1"/>
  <c r="P92" i="34"/>
  <c r="P155" i="34"/>
  <c r="P135" i="34"/>
  <c r="R135" i="34" s="1"/>
  <c r="P95" i="34"/>
  <c r="R95" i="34" s="1"/>
  <c r="P27" i="34"/>
  <c r="R27" i="34" s="1"/>
  <c r="P111" i="34"/>
  <c r="R111" i="34" s="1"/>
  <c r="P127" i="34"/>
  <c r="P47" i="34"/>
  <c r="P9" i="34"/>
  <c r="R9" i="34" s="1"/>
  <c r="P37" i="34"/>
  <c r="R37" i="34" s="1"/>
  <c r="P79" i="34"/>
  <c r="R79" i="34" s="1"/>
  <c r="W236" i="10"/>
  <c r="AA236" i="10" s="1"/>
  <c r="P4" i="34"/>
  <c r="R4" i="34" s="1"/>
  <c r="W244" i="10"/>
  <c r="W157" i="10"/>
  <c r="AA157" i="10" s="1"/>
  <c r="W129" i="10"/>
  <c r="AA129" i="10" s="1"/>
  <c r="P41" i="34"/>
  <c r="R41" i="34" s="1"/>
  <c r="P57" i="34"/>
  <c r="R57" i="34" s="1"/>
  <c r="P141" i="34"/>
  <c r="R141" i="34" s="1"/>
  <c r="P31" i="34"/>
  <c r="R31" i="34" s="1"/>
  <c r="P73" i="34"/>
  <c r="R73" i="34" s="1"/>
  <c r="P5" i="34"/>
  <c r="R5" i="34" s="1"/>
  <c r="P89" i="34"/>
  <c r="R89" i="34" s="1"/>
  <c r="P121" i="34"/>
  <c r="R121" i="34" s="1"/>
  <c r="Z227" i="10"/>
  <c r="W73" i="10"/>
  <c r="AA73" i="10" s="1"/>
  <c r="N16" i="34"/>
  <c r="O16" i="34" s="1"/>
  <c r="J156" i="34"/>
  <c r="N128" i="34"/>
  <c r="O128" i="34" s="1"/>
  <c r="J128" i="34"/>
  <c r="L128" i="34" s="1"/>
  <c r="N114" i="34"/>
  <c r="O114" i="34" s="1"/>
  <c r="J114" i="34"/>
  <c r="L114" i="34" s="1"/>
  <c r="J86" i="34"/>
  <c r="L86" i="34" s="1"/>
  <c r="N86" i="34"/>
  <c r="O86" i="34" s="1"/>
  <c r="J72" i="34"/>
  <c r="L72" i="34" s="1"/>
  <c r="N72" i="34"/>
  <c r="O72" i="34" s="1"/>
  <c r="J58" i="34"/>
  <c r="AC1224" i="20"/>
  <c r="P66" i="34"/>
  <c r="R66" i="34" s="1"/>
  <c r="P150" i="34"/>
  <c r="R150" i="34" s="1"/>
  <c r="P12" i="34"/>
  <c r="P82" i="34"/>
  <c r="R82" i="34" s="1"/>
  <c r="P98" i="34"/>
  <c r="R98" i="34" s="1"/>
  <c r="P2" i="34"/>
  <c r="R2" i="34" s="1"/>
  <c r="P114" i="34"/>
  <c r="R114" i="34" s="1"/>
  <c r="P130" i="34"/>
  <c r="R130" i="34" s="1"/>
  <c r="J155" i="34"/>
  <c r="N155" i="34"/>
  <c r="O155" i="34" s="1"/>
  <c r="N141" i="34"/>
  <c r="O141" i="34" s="1"/>
  <c r="J141" i="34"/>
  <c r="L141" i="34" s="1"/>
  <c r="J127" i="34"/>
  <c r="N113" i="34"/>
  <c r="O113" i="34" s="1"/>
  <c r="J113" i="34"/>
  <c r="L113" i="34" s="1"/>
  <c r="J85" i="34"/>
  <c r="L85" i="34" s="1"/>
  <c r="N85" i="34"/>
  <c r="O85" i="34" s="1"/>
  <c r="J71" i="34"/>
  <c r="L71" i="34" s="1"/>
  <c r="N71" i="34"/>
  <c r="O71" i="34" s="1"/>
  <c r="N57" i="34"/>
  <c r="O57" i="34" s="1"/>
  <c r="Q57" i="34" s="1"/>
  <c r="J57" i="34"/>
  <c r="N43" i="34"/>
  <c r="O43" i="34" s="1"/>
  <c r="J43" i="34"/>
  <c r="L43" i="34" s="1"/>
  <c r="J15" i="34"/>
  <c r="L15" i="34" s="1"/>
  <c r="N15" i="34"/>
  <c r="O15" i="34" s="1"/>
  <c r="P63" i="34"/>
  <c r="W67" i="10"/>
  <c r="X67" i="10" s="1"/>
  <c r="P53" i="34"/>
  <c r="P69" i="34"/>
  <c r="R69" i="34" s="1"/>
  <c r="P153" i="34"/>
  <c r="R153" i="34" s="1"/>
  <c r="P85" i="34"/>
  <c r="R85" i="34" s="1"/>
  <c r="P101" i="34"/>
  <c r="R101" i="34" s="1"/>
  <c r="P117" i="34"/>
  <c r="R117" i="34" s="1"/>
  <c r="P80" i="34"/>
  <c r="R80" i="34" s="1"/>
  <c r="P96" i="34"/>
  <c r="P112" i="34"/>
  <c r="P128" i="34"/>
  <c r="R128" i="34" s="1"/>
  <c r="P48" i="34"/>
  <c r="R48" i="34" s="1"/>
  <c r="S78" i="10"/>
  <c r="S269" i="10"/>
  <c r="S186" i="10"/>
  <c r="S237" i="10"/>
  <c r="S175" i="10"/>
  <c r="S196" i="10"/>
  <c r="S165" i="10"/>
  <c r="T165" i="10" s="1"/>
  <c r="P148" i="34"/>
  <c r="R148" i="34" s="1"/>
  <c r="P50" i="34"/>
  <c r="W158" i="10"/>
  <c r="AA158" i="10" s="1"/>
  <c r="Y65" i="10"/>
  <c r="Z65" i="10" s="1"/>
  <c r="S65" i="10"/>
  <c r="T65" i="10" s="1"/>
  <c r="AC844" i="20"/>
  <c r="AC1201" i="20"/>
  <c r="AC1057" i="20"/>
  <c r="AC2044" i="20"/>
  <c r="AC2364" i="20"/>
  <c r="AC1445" i="20"/>
  <c r="AC1782" i="20"/>
  <c r="AC779" i="20"/>
  <c r="AC2072" i="20"/>
  <c r="AC2268" i="20"/>
  <c r="AC1690" i="20"/>
  <c r="AC820" i="20"/>
  <c r="AC1332" i="20"/>
  <c r="AC1352" i="20"/>
  <c r="AC1977" i="20"/>
  <c r="AC2129" i="20"/>
  <c r="AC1114" i="20"/>
  <c r="AC754" i="20"/>
  <c r="AC796" i="20"/>
  <c r="AC2147" i="20"/>
  <c r="AC1897" i="20"/>
  <c r="AC1531" i="20"/>
  <c r="AC653" i="20"/>
  <c r="AC681" i="20"/>
  <c r="AC1210" i="20"/>
  <c r="AC2053" i="20"/>
  <c r="AC1430" i="20"/>
  <c r="AC1792" i="20"/>
  <c r="AC717" i="20"/>
  <c r="AC1949" i="20"/>
  <c r="AC2351" i="20"/>
  <c r="AC1066" i="20"/>
  <c r="AC1205" i="20"/>
  <c r="AC692" i="20"/>
  <c r="AC515" i="20"/>
  <c r="AC1061" i="20"/>
  <c r="AC850" i="20"/>
  <c r="AC1425" i="20"/>
  <c r="AC2346" i="20"/>
  <c r="AC1944" i="20"/>
  <c r="AC2048" i="20"/>
  <c r="AC1789" i="20"/>
  <c r="AC930" i="20"/>
  <c r="AC1092" i="20"/>
  <c r="AC2265" i="20"/>
  <c r="AC1883" i="20"/>
  <c r="AC1581" i="20"/>
  <c r="AC744" i="20"/>
  <c r="AC868" i="20"/>
  <c r="AC944" i="20"/>
  <c r="AC974" i="20"/>
  <c r="AC1107" i="20"/>
  <c r="AC651" i="20"/>
  <c r="AC1330" i="20"/>
  <c r="AC1354" i="20"/>
  <c r="AC1917" i="20"/>
  <c r="AC2248" i="20"/>
  <c r="AC890" i="20"/>
  <c r="AC1464" i="20"/>
  <c r="AC1918" i="20"/>
  <c r="AC1739" i="20"/>
  <c r="AC1503" i="20"/>
  <c r="AC806" i="20"/>
  <c r="AC2342" i="20"/>
  <c r="AC2126" i="20"/>
  <c r="AC1045" i="20"/>
  <c r="AC1901" i="20"/>
  <c r="AC2026" i="20"/>
  <c r="AC2202" i="20"/>
  <c r="AC2288" i="20"/>
  <c r="AC1980" i="20"/>
  <c r="AC2162" i="20"/>
  <c r="AC1622" i="20"/>
  <c r="AC2115" i="20"/>
  <c r="AC1278" i="20"/>
  <c r="AC405" i="20"/>
  <c r="AC508" i="20"/>
  <c r="AC1289" i="20"/>
  <c r="AC730" i="20"/>
  <c r="AC1630" i="20"/>
  <c r="AC764" i="20"/>
  <c r="AC1141" i="20"/>
  <c r="AC1029" i="20"/>
  <c r="AC1384" i="20"/>
  <c r="AC2280" i="20"/>
  <c r="AC1861" i="20"/>
  <c r="AC510" i="20"/>
  <c r="AC563" i="20"/>
  <c r="AC2412" i="20"/>
  <c r="AC302" i="20"/>
  <c r="AC1421" i="20"/>
  <c r="AC1371" i="20"/>
  <c r="AC1448" i="20"/>
  <c r="AC1325" i="20"/>
  <c r="AC1453" i="20"/>
  <c r="AC189" i="20"/>
  <c r="AC340" i="20"/>
  <c r="AC191" i="20"/>
  <c r="AC505" i="20"/>
  <c r="AC645" i="20"/>
  <c r="AC290" i="20"/>
  <c r="AC877" i="20"/>
  <c r="AC247" i="20"/>
  <c r="AC65" i="20"/>
  <c r="AC156" i="20"/>
  <c r="AC32" i="20"/>
  <c r="AC672" i="20"/>
  <c r="AC1602" i="20"/>
  <c r="AC1183" i="20"/>
  <c r="AC923" i="20"/>
  <c r="AC2385" i="20"/>
  <c r="AC1830" i="20"/>
  <c r="AC2000" i="20"/>
  <c r="AC134" i="20"/>
  <c r="AC15" i="20"/>
  <c r="AC585" i="20"/>
  <c r="AC825" i="20"/>
  <c r="AC1651" i="20"/>
  <c r="AC381" i="20"/>
  <c r="AC2387" i="20"/>
  <c r="AC2411" i="20"/>
  <c r="P147" i="34"/>
  <c r="R147" i="34" s="1"/>
  <c r="AC1871" i="20"/>
  <c r="AC1367" i="20"/>
  <c r="AC1184" i="20"/>
  <c r="AC1733" i="20"/>
  <c r="AC1821" i="20"/>
  <c r="AC1267" i="20"/>
  <c r="AC1702" i="20"/>
  <c r="AC2314" i="20"/>
  <c r="AC1535" i="20"/>
  <c r="AC1410" i="20"/>
  <c r="AC1594" i="20"/>
  <c r="AC511" i="20"/>
  <c r="AC2076" i="20"/>
  <c r="AC2243" i="20"/>
  <c r="AC2002" i="20"/>
  <c r="AC816" i="20"/>
  <c r="AC1401" i="20"/>
  <c r="AC869" i="20"/>
  <c r="AC916" i="20"/>
  <c r="AC1021" i="20"/>
  <c r="AC1547" i="20"/>
  <c r="AC1096" i="20"/>
  <c r="AC1665" i="20"/>
  <c r="AC1520" i="20"/>
  <c r="AC1925" i="20"/>
  <c r="AC1677" i="20"/>
  <c r="AC2078" i="20"/>
  <c r="AC1539" i="20"/>
  <c r="AC530" i="20"/>
  <c r="AC1241" i="20"/>
  <c r="AC2403" i="20"/>
  <c r="AC636" i="20"/>
  <c r="AC1524" i="20"/>
  <c r="AC1749" i="20"/>
  <c r="AC2340" i="20"/>
  <c r="AC1395" i="20"/>
  <c r="AC997" i="20"/>
  <c r="AC716" i="20"/>
  <c r="AC682" i="20"/>
  <c r="AC1211" i="20"/>
  <c r="AC853" i="20"/>
  <c r="AC2054" i="20"/>
  <c r="AC1067" i="20"/>
  <c r="AC1793" i="20"/>
  <c r="AC1950" i="20"/>
  <c r="AC2352" i="20"/>
  <c r="AC2347" i="20"/>
  <c r="AC1426" i="20"/>
  <c r="AC1062" i="20"/>
  <c r="AC693" i="20"/>
  <c r="AC1790" i="20"/>
  <c r="AC1206" i="20"/>
  <c r="AC2049" i="20"/>
  <c r="AC1945" i="20"/>
  <c r="AC541" i="20"/>
  <c r="AC851" i="20"/>
  <c r="AC929" i="20"/>
  <c r="AC1091" i="20"/>
  <c r="AC2264" i="20"/>
  <c r="AC1580" i="20"/>
  <c r="AC1882" i="20"/>
  <c r="AC616" i="20"/>
  <c r="AC701" i="20"/>
  <c r="AC945" i="20"/>
  <c r="AC1108" i="20"/>
  <c r="AC1001" i="20"/>
  <c r="AC1347" i="20"/>
  <c r="AC918" i="20"/>
  <c r="AC1619" i="20"/>
  <c r="AC1801" i="20"/>
  <c r="AC1277" i="20"/>
  <c r="AC2203" i="20"/>
  <c r="AC598" i="20"/>
  <c r="AC2329" i="20"/>
  <c r="AC1564" i="20"/>
  <c r="AC2343" i="20"/>
  <c r="AC2021" i="20"/>
  <c r="AC630" i="20"/>
  <c r="AC1275" i="20"/>
  <c r="AC1005" i="20"/>
  <c r="AC1225" i="20"/>
  <c r="AC1376" i="20"/>
  <c r="AC1466" i="20"/>
  <c r="AC1729" i="20"/>
  <c r="AC2179" i="20"/>
  <c r="AC1320" i="20"/>
  <c r="AC2028" i="20"/>
  <c r="AC1599" i="20"/>
  <c r="AC2120" i="20"/>
  <c r="AC908" i="20"/>
  <c r="AC2242" i="20"/>
  <c r="AC2323" i="20"/>
  <c r="AC919" i="20"/>
  <c r="AC301" i="20"/>
  <c r="AC265" i="20"/>
  <c r="AC911" i="20"/>
  <c r="AC828" i="20"/>
  <c r="AC1101" i="20"/>
  <c r="AC1664" i="20"/>
  <c r="AC2083" i="20"/>
  <c r="AC995" i="20"/>
  <c r="AC2219" i="20"/>
  <c r="AC1552" i="20"/>
  <c r="AC1676" i="20"/>
  <c r="AC1405" i="20"/>
  <c r="AC1930" i="20"/>
  <c r="AC388" i="20"/>
  <c r="AC135" i="20"/>
  <c r="AC604" i="20"/>
  <c r="AC627" i="20"/>
  <c r="AC706" i="20"/>
  <c r="AC614" i="20"/>
  <c r="AC61" i="20"/>
  <c r="AC64" i="20"/>
  <c r="AC201" i="20"/>
  <c r="AC31" i="20"/>
  <c r="AC756" i="20"/>
  <c r="AC402" i="20"/>
  <c r="AC226" i="20"/>
  <c r="AC161" i="20"/>
  <c r="AC227" i="20"/>
  <c r="AC839" i="20"/>
  <c r="AC745" i="20"/>
  <c r="AC14" i="20"/>
  <c r="AC548" i="20"/>
  <c r="AC782" i="20"/>
  <c r="AC1592" i="20"/>
  <c r="AC889" i="20"/>
  <c r="AC2294" i="20"/>
  <c r="AC1525" i="20"/>
  <c r="AC999" i="20"/>
  <c r="AC1774" i="20"/>
  <c r="AC1922" i="20"/>
  <c r="AC1970" i="20"/>
  <c r="AC2015" i="20"/>
  <c r="AC1565" i="20"/>
  <c r="AC2266" i="20"/>
  <c r="AC649" i="20"/>
  <c r="AC2312" i="20"/>
  <c r="AC317" i="20"/>
  <c r="AC1752" i="20"/>
  <c r="AC2063" i="20"/>
  <c r="AC1694" i="20"/>
  <c r="P21" i="34"/>
  <c r="W143" i="10"/>
  <c r="P123" i="34"/>
  <c r="R123" i="34" s="1"/>
  <c r="P14" i="34"/>
  <c r="P43" i="34"/>
  <c r="P59" i="34"/>
  <c r="R59" i="34" s="1"/>
  <c r="P143" i="34"/>
  <c r="P33" i="34"/>
  <c r="R33" i="34" s="1"/>
  <c r="P75" i="34"/>
  <c r="R75" i="34" s="1"/>
  <c r="P23" i="34"/>
  <c r="R23" i="34" s="1"/>
  <c r="P107" i="34"/>
  <c r="P133" i="34"/>
  <c r="R133" i="34" s="1"/>
  <c r="AC146" i="20"/>
  <c r="S90" i="10"/>
  <c r="S115" i="10"/>
  <c r="S56" i="10"/>
  <c r="S52" i="10"/>
  <c r="S124" i="10"/>
  <c r="S42" i="10"/>
  <c r="S34" i="10"/>
  <c r="S30" i="10"/>
  <c r="S21" i="10"/>
  <c r="S13" i="10"/>
  <c r="T13" i="10" s="1"/>
  <c r="S7" i="10"/>
  <c r="T7" i="10" s="1"/>
  <c r="S3" i="10"/>
  <c r="AC1019" i="20"/>
  <c r="AC1104" i="20"/>
  <c r="AC811" i="20"/>
  <c r="AC949" i="20"/>
  <c r="AC829" i="20"/>
  <c r="AC1173" i="20"/>
  <c r="AC1705" i="20"/>
  <c r="AC780" i="20"/>
  <c r="AC1689" i="20"/>
  <c r="AC654" i="20"/>
  <c r="AC1349" i="20"/>
  <c r="AC822" i="20"/>
  <c r="AC1510" i="20"/>
  <c r="AC708" i="20"/>
  <c r="AC695" i="20"/>
  <c r="AC1203" i="20"/>
  <c r="AC856" i="20"/>
  <c r="AC1059" i="20"/>
  <c r="AC1447" i="20"/>
  <c r="AC942" i="20"/>
  <c r="AC430" i="20"/>
  <c r="AC899" i="20"/>
  <c r="AC680" i="20"/>
  <c r="AC966" i="20"/>
  <c r="AC1481" i="20"/>
  <c r="AC303" i="20"/>
  <c r="AC1336" i="20"/>
  <c r="AC1337" i="20"/>
  <c r="AC1414" i="20"/>
  <c r="AC785" i="20"/>
  <c r="AC1106" i="20"/>
  <c r="AC1654" i="20"/>
  <c r="AC2241" i="20"/>
  <c r="AC1624" i="20"/>
  <c r="AC190" i="20"/>
  <c r="AC246" i="20"/>
  <c r="AC341" i="20"/>
  <c r="AC192" i="20"/>
  <c r="AC291" i="20"/>
  <c r="AC363" i="20"/>
  <c r="AC686" i="20"/>
  <c r="AC137" i="20"/>
  <c r="AC1163" i="20"/>
  <c r="AC712" i="20"/>
  <c r="AC938" i="20"/>
  <c r="AC1556" i="20"/>
  <c r="AC1710" i="20"/>
  <c r="AC232" i="20"/>
  <c r="AC414" i="20"/>
  <c r="AC385" i="20"/>
  <c r="AC504" i="20"/>
  <c r="AC208" i="20"/>
  <c r="AC550" i="20"/>
  <c r="AC212" i="20"/>
  <c r="AC108" i="20"/>
  <c r="AC621" i="20"/>
  <c r="AC1004" i="20"/>
  <c r="AC1121" i="20"/>
  <c r="AC1135" i="20"/>
  <c r="AC203" i="20"/>
  <c r="AC439" i="20"/>
  <c r="AC1180" i="20"/>
  <c r="AC362" i="20"/>
  <c r="AC967" i="20"/>
  <c r="AC335" i="20"/>
  <c r="AC1469" i="20"/>
  <c r="AC2193" i="20"/>
  <c r="AC903" i="20"/>
  <c r="AC1260" i="20"/>
  <c r="AC373" i="20"/>
  <c r="AC587" i="20"/>
  <c r="AC747" i="20"/>
  <c r="AC1292" i="20"/>
  <c r="AC1397" i="20"/>
  <c r="AC1458" i="20"/>
  <c r="AC538" i="20"/>
  <c r="AC1567" i="20"/>
  <c r="AC80" i="20"/>
  <c r="AC285" i="20"/>
  <c r="AC2118" i="20"/>
  <c r="AC1636" i="20"/>
  <c r="AC150" i="20"/>
  <c r="AC1152" i="20"/>
  <c r="AC1989" i="20"/>
  <c r="AC47" i="20"/>
  <c r="AC170" i="20"/>
  <c r="AC1345" i="20"/>
  <c r="AC464" i="20"/>
  <c r="AC2137" i="20"/>
  <c r="AC1933" i="20"/>
  <c r="AC2204" i="20"/>
  <c r="AC483" i="20"/>
  <c r="AC2073" i="20"/>
  <c r="AC1010" i="20"/>
  <c r="AC2331" i="20"/>
  <c r="AC33" i="20"/>
  <c r="AC841" i="20"/>
  <c r="AC1056" i="20"/>
  <c r="AC1200" i="20"/>
  <c r="AC675" i="20"/>
  <c r="AC1444" i="20"/>
  <c r="AC1683" i="20"/>
  <c r="AC2301" i="20"/>
  <c r="AC375" i="20"/>
  <c r="AC160" i="20"/>
  <c r="AC17" i="20"/>
  <c r="AC452" i="20"/>
  <c r="AC661" i="20"/>
  <c r="AC500" i="20"/>
  <c r="AC557" i="20"/>
  <c r="AC425" i="20"/>
  <c r="AC1472" i="20"/>
  <c r="AC1249" i="20"/>
  <c r="AC1872" i="20"/>
  <c r="AC1340" i="20"/>
  <c r="AC1628" i="20"/>
  <c r="AC2295" i="20"/>
  <c r="AC2415" i="20"/>
  <c r="AC1341" i="20"/>
  <c r="AC1982" i="20"/>
  <c r="AC1039" i="20"/>
  <c r="AC2019" i="20"/>
  <c r="AC102" i="20"/>
  <c r="AC144" i="20"/>
  <c r="AC86" i="20"/>
  <c r="AC480" i="20"/>
  <c r="AC436" i="20"/>
  <c r="AC167" i="20"/>
  <c r="AC328" i="20"/>
  <c r="AC374" i="20"/>
  <c r="AC734" i="20"/>
  <c r="AC1300" i="20"/>
  <c r="AC1854" i="20"/>
  <c r="AC1316" i="20"/>
  <c r="AC1759" i="20"/>
  <c r="AC789" i="20"/>
  <c r="AC1170" i="20"/>
  <c r="AC408" i="20"/>
  <c r="AC506" i="20"/>
  <c r="AC1214" i="20"/>
  <c r="AC834" i="20"/>
  <c r="AC2" i="20"/>
  <c r="AC219" i="20"/>
  <c r="P51" i="34"/>
  <c r="AC2402" i="20"/>
  <c r="AC2318" i="20"/>
  <c r="AC2297" i="20"/>
  <c r="AC2276" i="20"/>
  <c r="AC2257" i="20"/>
  <c r="AC2236" i="20"/>
  <c r="AC2169" i="20"/>
  <c r="AC2145" i="20"/>
  <c r="AC2121" i="20"/>
  <c r="AC2066" i="20"/>
  <c r="AC2016" i="20"/>
  <c r="AC1988" i="20"/>
  <c r="AC1942" i="20"/>
  <c r="AC1919" i="20"/>
  <c r="AC1891" i="20"/>
  <c r="AC1762" i="20"/>
  <c r="AC1725" i="20"/>
  <c r="AC1695" i="20"/>
  <c r="AC1663" i="20"/>
  <c r="AC1626" i="20"/>
  <c r="AC1593" i="20"/>
  <c r="AC1551" i="20"/>
  <c r="AC1477" i="20"/>
  <c r="AC1432" i="20"/>
  <c r="AC1386" i="20"/>
  <c r="AC1328" i="20"/>
  <c r="AC1162" i="20"/>
  <c r="AC1022" i="20"/>
  <c r="AC957" i="20"/>
  <c r="AC879" i="20"/>
  <c r="AC804" i="20"/>
  <c r="AC503" i="20"/>
  <c r="AC343" i="20"/>
  <c r="AC1499" i="20"/>
  <c r="AC781" i="20"/>
  <c r="AC1617" i="20"/>
  <c r="AC1276" i="20"/>
  <c r="AC1128" i="20"/>
  <c r="AC2023" i="20"/>
  <c r="AC1343" i="20"/>
  <c r="AC939" i="20"/>
  <c r="AC1016" i="20"/>
  <c r="AC915" i="20"/>
  <c r="AC991" i="20"/>
  <c r="AC1548" i="20"/>
  <c r="AC1400" i="20"/>
  <c r="AC870" i="20"/>
  <c r="AC1908" i="20"/>
  <c r="AC2079" i="20"/>
  <c r="AC948" i="20"/>
  <c r="AC1511" i="20"/>
  <c r="AC823" i="20"/>
  <c r="AC1530" i="20"/>
  <c r="AC1350" i="20"/>
  <c r="AC1898" i="20"/>
  <c r="AC1165" i="20"/>
  <c r="AC1644" i="20"/>
  <c r="AC950" i="20"/>
  <c r="AC1558" i="20"/>
  <c r="AC1273" i="20"/>
  <c r="AC2109" i="20"/>
  <c r="AC688" i="20"/>
  <c r="AC1046" i="20"/>
  <c r="AC1222" i="20"/>
  <c r="AC1914" i="20"/>
  <c r="AC518" i="20"/>
  <c r="AC694" i="20"/>
  <c r="AC1427" i="20"/>
  <c r="AC1063" i="20"/>
  <c r="AC1791" i="20"/>
  <c r="AC928" i="20"/>
  <c r="AC2263" i="20"/>
  <c r="AC1579" i="20"/>
  <c r="AC117" i="20"/>
  <c r="AC6" i="20"/>
  <c r="AC316" i="20"/>
  <c r="AC82" i="20"/>
  <c r="AC224" i="20"/>
  <c r="AC241" i="20"/>
  <c r="AC299" i="20"/>
  <c r="AC169" i="20"/>
  <c r="AC184" i="20"/>
  <c r="AC349" i="20"/>
  <c r="AC296" i="20"/>
  <c r="AC959" i="20"/>
  <c r="AC1094" i="20"/>
  <c r="AC1122" i="20"/>
  <c r="AC393" i="20"/>
  <c r="AC1843" i="20"/>
  <c r="AC1365" i="20"/>
  <c r="AC1536" i="20"/>
  <c r="AC186" i="20"/>
  <c r="AC1023" i="20"/>
  <c r="AC2319" i="20"/>
  <c r="AC1363" i="20"/>
  <c r="AC1589" i="20"/>
  <c r="AC2008" i="20"/>
  <c r="AC1374" i="20"/>
  <c r="AC13" i="20"/>
  <c r="AC239" i="20"/>
  <c r="P104" i="34"/>
  <c r="R104" i="34" s="1"/>
  <c r="P90" i="34"/>
  <c r="R90" i="34" s="1"/>
  <c r="P20" i="34"/>
  <c r="AC2313" i="20"/>
  <c r="AC2292" i="20"/>
  <c r="AC2252" i="20"/>
  <c r="AC2230" i="20"/>
  <c r="AC2212" i="20"/>
  <c r="AC2186" i="20"/>
  <c r="AC2139" i="20"/>
  <c r="AC2087" i="20"/>
  <c r="AC2035" i="20"/>
  <c r="AC2009" i="20"/>
  <c r="AC1981" i="20"/>
  <c r="AC1935" i="20"/>
  <c r="AC1912" i="20"/>
  <c r="AC1886" i="20"/>
  <c r="AC1823" i="20"/>
  <c r="AC1691" i="20"/>
  <c r="AC1656" i="20"/>
  <c r="AC1582" i="20"/>
  <c r="AC1508" i="20"/>
  <c r="AC1465" i="20"/>
  <c r="AC1420" i="20"/>
  <c r="AC1208" i="20"/>
  <c r="AC1154" i="20"/>
  <c r="AC1076" i="20"/>
  <c r="AC1013" i="20"/>
  <c r="AC946" i="20"/>
  <c r="AC861" i="20"/>
  <c r="AC669" i="20"/>
  <c r="AC449" i="20"/>
  <c r="AC547" i="20"/>
  <c r="AC832" i="20"/>
  <c r="AC914" i="20"/>
  <c r="AC871" i="20"/>
  <c r="AC1927" i="20"/>
  <c r="AC992" i="20"/>
  <c r="AC1679" i="20"/>
  <c r="AC1549" i="20"/>
  <c r="AC1907" i="20"/>
  <c r="AC1402" i="20"/>
  <c r="AC1098" i="20"/>
  <c r="AC1521" i="20"/>
  <c r="AC1540" i="20"/>
  <c r="AC687" i="20"/>
  <c r="AC711" i="20"/>
  <c r="AC1557" i="20"/>
  <c r="AC1815" i="20"/>
  <c r="AC1913" i="20"/>
  <c r="AC1164" i="20"/>
  <c r="AC1221" i="20"/>
  <c r="AC1272" i="20"/>
  <c r="AC1722" i="20"/>
  <c r="AC578" i="20"/>
  <c r="AC590" i="20"/>
  <c r="AC1255" i="20"/>
  <c r="AC1588" i="20"/>
  <c r="AC1810" i="20"/>
  <c r="AC568" i="20"/>
  <c r="AC924" i="20"/>
  <c r="AC1824" i="20"/>
  <c r="AC1514" i="20"/>
  <c r="AC1576" i="20"/>
  <c r="AC391" i="20"/>
  <c r="AC389" i="20"/>
  <c r="AC1773" i="20"/>
  <c r="AC1366" i="20"/>
  <c r="AC699" i="20"/>
  <c r="AC907" i="20"/>
  <c r="AC618" i="20"/>
  <c r="AC325" i="20"/>
  <c r="AC495" i="20"/>
  <c r="AC1391" i="20"/>
  <c r="AC293" i="20"/>
  <c r="AC2277" i="20"/>
  <c r="AC403" i="20"/>
  <c r="AC437" i="20"/>
  <c r="AC1215" i="20"/>
  <c r="AC1488" i="20"/>
  <c r="AC1716" i="20"/>
  <c r="AC287" i="20"/>
  <c r="AC1755" i="20"/>
  <c r="AC262" i="20"/>
  <c r="AC306" i="20"/>
  <c r="AC331" i="20"/>
  <c r="AC179" i="20"/>
  <c r="AC987" i="20"/>
  <c r="AC584" i="20"/>
  <c r="AC197" i="20"/>
  <c r="AC1863" i="20"/>
  <c r="AC242" i="20"/>
  <c r="AC298" i="20"/>
  <c r="AC442" i="20"/>
  <c r="AC802" i="20"/>
  <c r="AC213" i="20"/>
  <c r="AC133" i="20"/>
  <c r="AC1261" i="20"/>
  <c r="AC531" i="20"/>
  <c r="AC475" i="20"/>
  <c r="AC594" i="20"/>
  <c r="AC1742" i="20"/>
  <c r="AC253" i="20"/>
  <c r="AC1151" i="20"/>
  <c r="AC1377" i="20"/>
  <c r="AC1467" i="20"/>
  <c r="AC1364" i="20"/>
  <c r="AC1043" i="20"/>
  <c r="AC128" i="20"/>
  <c r="AC865" i="20"/>
  <c r="AC1412" i="20"/>
  <c r="AC1279" i="20"/>
  <c r="AC2098" i="20"/>
  <c r="AC1767" i="20"/>
  <c r="AC1804" i="20"/>
  <c r="AC2250" i="20"/>
  <c r="AC738" i="20"/>
  <c r="AC351" i="20"/>
  <c r="AC1596" i="20"/>
  <c r="AC422" i="20"/>
  <c r="AC1474" i="20"/>
  <c r="AC1494" i="20"/>
  <c r="AC2392" i="20"/>
  <c r="AC2200" i="20"/>
  <c r="AC89" i="20"/>
  <c r="AC101" i="20"/>
  <c r="AC58" i="20"/>
  <c r="AC200" i="20"/>
  <c r="AC29" i="20"/>
  <c r="AC1216" i="20"/>
  <c r="AC1312" i="20"/>
  <c r="AC2149" i="20"/>
  <c r="AC489" i="20"/>
  <c r="AC12" i="20"/>
  <c r="AC1962" i="20"/>
  <c r="P131" i="34"/>
  <c r="R131" i="34" s="1"/>
  <c r="P103" i="34"/>
  <c r="R103" i="34" s="1"/>
  <c r="P19" i="34"/>
  <c r="AC2334" i="20"/>
  <c r="AC2290" i="20"/>
  <c r="AC2272" i="20"/>
  <c r="AC2251" i="20"/>
  <c r="AC2229" i="20"/>
  <c r="AC2210" i="20"/>
  <c r="AC2184" i="20"/>
  <c r="AC2138" i="20"/>
  <c r="AC2112" i="20"/>
  <c r="AC2086" i="20"/>
  <c r="AC2061" i="20"/>
  <c r="AC2033" i="20"/>
  <c r="AC2006" i="20"/>
  <c r="AC1911" i="20"/>
  <c r="AC1858" i="20"/>
  <c r="AC1788" i="20"/>
  <c r="AC1751" i="20"/>
  <c r="AC1655" i="20"/>
  <c r="AC1505" i="20"/>
  <c r="AC1370" i="20"/>
  <c r="AC1310" i="20"/>
  <c r="AC1207" i="20"/>
  <c r="AC1148" i="20"/>
  <c r="AC1090" i="20"/>
  <c r="AC1074" i="20"/>
  <c r="AC943" i="20"/>
  <c r="AC308" i="20"/>
  <c r="AC93" i="20"/>
  <c r="AC546" i="20"/>
  <c r="AC833" i="20"/>
  <c r="AC872" i="20"/>
  <c r="AC913" i="20"/>
  <c r="AC1541" i="20"/>
  <c r="AC2081" i="20"/>
  <c r="AC813" i="20"/>
  <c r="AC993" i="20"/>
  <c r="AC1680" i="20"/>
  <c r="AC2159" i="20"/>
  <c r="AC1668" i="20"/>
  <c r="AC1403" i="20"/>
  <c r="AC1785" i="20"/>
  <c r="AC2038" i="20"/>
  <c r="AC1434" i="20"/>
  <c r="AC671" i="20"/>
  <c r="AC1018" i="20"/>
  <c r="AC1714" i="20"/>
  <c r="AC1103" i="20"/>
  <c r="AC937" i="20"/>
  <c r="AC1237" i="20"/>
  <c r="AC602" i="20"/>
  <c r="AC502" i="20"/>
  <c r="AC386" i="20"/>
  <c r="AC662" i="20"/>
  <c r="AC878" i="20"/>
  <c r="AC1038" i="20"/>
  <c r="AC767" i="20"/>
  <c r="AC2095" i="20"/>
  <c r="AC559" i="20"/>
  <c r="AC1131" i="20"/>
  <c r="AC2233" i="20"/>
  <c r="AC1318" i="20"/>
  <c r="AC1470" i="20"/>
  <c r="AC1825" i="20"/>
  <c r="AC1248" i="20"/>
  <c r="AC344" i="20"/>
  <c r="AC830" i="20"/>
  <c r="AC283" i="20"/>
  <c r="AC451" i="20"/>
  <c r="AC556" i="20"/>
  <c r="AC573" i="20"/>
  <c r="AC377" i="20"/>
  <c r="AC482" i="20"/>
  <c r="AC1362" i="20"/>
  <c r="AC2151" i="20"/>
  <c r="AC1143" i="20"/>
  <c r="AC2384" i="20"/>
  <c r="AC399" i="20"/>
  <c r="AC1568" i="20"/>
  <c r="AC926" i="20"/>
  <c r="AC1032" i="20"/>
  <c r="AC1892" i="20"/>
  <c r="AC1998" i="20"/>
  <c r="AC1985" i="20"/>
  <c r="AC1254" i="20"/>
  <c r="AC2185" i="20"/>
  <c r="AC261" i="20"/>
  <c r="AC1331" i="20"/>
  <c r="AC650" i="20"/>
  <c r="AC2333" i="20"/>
  <c r="AC275" i="20"/>
  <c r="AC817" i="20"/>
  <c r="AC1902" i="20"/>
  <c r="AC1738" i="20"/>
  <c r="AC976" i="20"/>
  <c r="AC2125" i="20"/>
  <c r="AC131" i="20"/>
  <c r="AC533" i="20"/>
  <c r="AC254" i="20"/>
  <c r="AC1597" i="20"/>
  <c r="AC473" i="20"/>
  <c r="AC307" i="20"/>
  <c r="AC593" i="20"/>
  <c r="AC801" i="20"/>
  <c r="AC1150" i="20"/>
  <c r="AC1496" i="20"/>
  <c r="AC737" i="20"/>
  <c r="AC1515" i="20"/>
  <c r="AC1575" i="20"/>
  <c r="AC2249" i="20"/>
  <c r="AC127" i="20"/>
  <c r="AC864" i="20"/>
  <c r="AC1411" i="20"/>
  <c r="AC1231" i="20"/>
  <c r="AC1855" i="20"/>
  <c r="AC1992" i="20"/>
  <c r="AC2113" i="20"/>
  <c r="AC354" i="20"/>
  <c r="AC1042" i="20"/>
  <c r="AC110" i="20"/>
  <c r="AC827" i="20"/>
  <c r="AC416" i="20"/>
  <c r="AC249" i="20"/>
  <c r="AC255" i="20"/>
  <c r="AC56" i="20"/>
  <c r="AC576" i="20"/>
  <c r="AC663" i="20"/>
  <c r="AC965" i="20"/>
  <c r="AC985" i="20"/>
  <c r="AC496" i="20"/>
  <c r="AC237" i="20"/>
  <c r="AC332" i="20"/>
  <c r="AC397" i="20"/>
  <c r="AC1139" i="20"/>
  <c r="AC2059" i="20"/>
  <c r="AC2164" i="20"/>
  <c r="AC1298" i="20"/>
  <c r="AC1385" i="20"/>
  <c r="AC1834" i="20"/>
  <c r="AC387" i="20"/>
  <c r="AC42" i="20"/>
  <c r="AC251" i="20"/>
  <c r="AC1006" i="20"/>
  <c r="AC1123" i="20"/>
  <c r="AC1745" i="20"/>
  <c r="AC2134" i="20"/>
  <c r="AC2060" i="20"/>
  <c r="AC2090" i="20"/>
  <c r="AC1178" i="20"/>
  <c r="AC28" i="20"/>
  <c r="AC732" i="20"/>
  <c r="AC266" i="20"/>
  <c r="AC857" i="20"/>
  <c r="AC2354" i="20"/>
  <c r="AC1212" i="20"/>
  <c r="AC1069" i="20"/>
  <c r="AC1952" i="20"/>
  <c r="AC11" i="20"/>
  <c r="AC193" i="20"/>
  <c r="P88" i="34"/>
  <c r="R88" i="34" s="1"/>
  <c r="P74" i="34"/>
  <c r="R74" i="34" s="1"/>
  <c r="P32" i="34"/>
  <c r="R32" i="34" s="1"/>
  <c r="N157" i="34"/>
  <c r="O157" i="34" s="1"/>
  <c r="N3" i="34"/>
  <c r="O3" i="34" s="1"/>
  <c r="Q3" i="34" s="1"/>
  <c r="N131" i="34"/>
  <c r="O131" i="34" s="1"/>
  <c r="N117" i="34"/>
  <c r="O117" i="34" s="1"/>
  <c r="Q117" i="34" s="1"/>
  <c r="AC2373" i="20"/>
  <c r="AC2332" i="20"/>
  <c r="AC2311" i="20"/>
  <c r="AC2289" i="20"/>
  <c r="AC2270" i="20"/>
  <c r="AC2247" i="20"/>
  <c r="AC2228" i="20"/>
  <c r="AC2208" i="20"/>
  <c r="AC2183" i="20"/>
  <c r="AC2161" i="20"/>
  <c r="AC2136" i="20"/>
  <c r="AC2111" i="20"/>
  <c r="AC2085" i="20"/>
  <c r="AC2057" i="20"/>
  <c r="AC2005" i="20"/>
  <c r="AC1979" i="20"/>
  <c r="AC1958" i="20"/>
  <c r="AC1910" i="20"/>
  <c r="AC1748" i="20"/>
  <c r="AC1712" i="20"/>
  <c r="AC1650" i="20"/>
  <c r="AC1538" i="20"/>
  <c r="AC1504" i="20"/>
  <c r="AC1368" i="20"/>
  <c r="AC1308" i="20"/>
  <c r="AC1259" i="20"/>
  <c r="AC852" i="20"/>
  <c r="AC572" i="20"/>
  <c r="AC444" i="20"/>
  <c r="AC466" i="20"/>
  <c r="AC638" i="20"/>
  <c r="AC1457" i="20"/>
  <c r="AC488" i="20"/>
  <c r="AC1659" i="20"/>
  <c r="AC1799" i="20"/>
  <c r="AC1234" i="20"/>
  <c r="AC1399" i="20"/>
  <c r="AC1003" i="20"/>
  <c r="AC1492" i="20"/>
  <c r="AC1671" i="20"/>
  <c r="AC812" i="20"/>
  <c r="AC912" i="20"/>
  <c r="AC1542" i="20"/>
  <c r="AC977" i="20"/>
  <c r="AC994" i="20"/>
  <c r="AC2158" i="20"/>
  <c r="AC2218" i="20"/>
  <c r="AC1669" i="20"/>
  <c r="AC873" i="20"/>
  <c r="AC1929" i="20"/>
  <c r="AC797" i="20"/>
  <c r="AC1868" i="20"/>
  <c r="AC652" i="20"/>
  <c r="AC821" i="20"/>
  <c r="AC1899" i="20"/>
  <c r="AC1077" i="20"/>
  <c r="AC1532" i="20"/>
  <c r="AC2128" i="20"/>
  <c r="AC1978" i="20"/>
  <c r="AC1113" i="20"/>
  <c r="AC753" i="20"/>
  <c r="AC715" i="20"/>
  <c r="AC1218" i="20"/>
  <c r="AC1160" i="20"/>
  <c r="AC683" i="20"/>
  <c r="AC1719" i="20"/>
  <c r="AC1553" i="20"/>
  <c r="AC1269" i="20"/>
  <c r="AC1706" i="20"/>
  <c r="AC1909" i="20"/>
  <c r="AC2105" i="20"/>
  <c r="AC1020" i="20"/>
  <c r="AC876" i="20"/>
  <c r="AC1105" i="20"/>
  <c r="AC936" i="20"/>
  <c r="AC824" i="20"/>
  <c r="AC1243" i="20"/>
  <c r="AC1954" i="20"/>
  <c r="AC1026" i="20"/>
  <c r="AC586" i="20"/>
  <c r="AC539" i="20"/>
  <c r="AC1186" i="20"/>
  <c r="AC2271" i="20"/>
  <c r="AC2064" i="20"/>
  <c r="AC631" i="20"/>
  <c r="AC606" i="20"/>
  <c r="AC809" i="20"/>
  <c r="AC281" i="20"/>
  <c r="AC1526" i="20"/>
  <c r="AC1770" i="20"/>
  <c r="AC1506" i="20"/>
  <c r="AC2324" i="20"/>
  <c r="AC534" i="20"/>
  <c r="AC1846" i="20"/>
  <c r="AC1968" i="20"/>
  <c r="AC162" i="20"/>
  <c r="AC470" i="20"/>
  <c r="AC432" i="20"/>
  <c r="AC1149" i="20"/>
  <c r="AC1513" i="20"/>
  <c r="AC633" i="20"/>
  <c r="AC955" i="20"/>
  <c r="AC1533" i="20"/>
  <c r="AC484" i="20"/>
  <c r="AC1845" i="20"/>
  <c r="AC445" i="20"/>
  <c r="AC897" i="20"/>
  <c r="AC1703" i="20"/>
  <c r="AC1313" i="20"/>
  <c r="AC1268" i="20"/>
  <c r="AC574" i="20"/>
  <c r="AC100" i="20"/>
  <c r="AC174" i="20"/>
  <c r="AC282" i="20"/>
  <c r="AC493" i="20"/>
  <c r="AC143" i="20"/>
  <c r="AC206" i="20"/>
  <c r="AC181" i="20"/>
  <c r="AC931" i="20"/>
  <c r="AC322" i="20"/>
  <c r="AC1285" i="20"/>
  <c r="AC1633" i="20"/>
  <c r="AC2375" i="20"/>
  <c r="AC404" i="20"/>
  <c r="AC1753" i="20"/>
  <c r="AC998" i="20"/>
  <c r="AC41" i="20"/>
  <c r="AC655" i="20"/>
  <c r="AC795" i="20"/>
  <c r="AC975" i="20"/>
  <c r="AC752" i="20"/>
  <c r="AC867" i="20"/>
  <c r="AC1903" i="20"/>
  <c r="AC1737" i="20"/>
  <c r="AC941" i="20"/>
  <c r="AC229" i="20"/>
  <c r="AC204" i="20"/>
  <c r="AC659" i="20"/>
  <c r="AC788" i="20"/>
  <c r="AC195" i="20"/>
  <c r="AC10" i="20"/>
  <c r="AC412" i="20"/>
  <c r="AC554" i="20"/>
  <c r="AC624" i="20"/>
  <c r="AC289" i="20"/>
  <c r="AC438" i="20"/>
  <c r="AC210" i="20"/>
  <c r="AC321" i="20"/>
  <c r="AC1572" i="20"/>
  <c r="AC608" i="20"/>
  <c r="AC969" i="20"/>
  <c r="AC1605" i="20"/>
  <c r="AC1857" i="20"/>
  <c r="AC2235" i="20"/>
  <c r="AC21" i="20"/>
  <c r="AC1245" i="20"/>
  <c r="AC469" i="20"/>
  <c r="AC904" i="20"/>
  <c r="AC1171" i="20"/>
  <c r="AC1648" i="20"/>
  <c r="AC339" i="20"/>
  <c r="AC1030" i="20"/>
  <c r="AC1290" i="20"/>
  <c r="AC485" i="20"/>
  <c r="AC1758" i="20"/>
  <c r="AC2150" i="20"/>
  <c r="P115" i="34"/>
  <c r="R115" i="34" s="1"/>
  <c r="P87" i="34"/>
  <c r="P17" i="34"/>
  <c r="R17" i="34" s="1"/>
  <c r="N144" i="34"/>
  <c r="O144" i="34" s="1"/>
  <c r="N130" i="34"/>
  <c r="O130" i="34" s="1"/>
  <c r="N116" i="34"/>
  <c r="O116" i="34" s="1"/>
  <c r="N102" i="34"/>
  <c r="O102" i="34" s="1"/>
  <c r="N88" i="34"/>
  <c r="O88" i="34" s="1"/>
  <c r="AC2394" i="20"/>
  <c r="AC2330" i="20"/>
  <c r="AC2308" i="20"/>
  <c r="AC2246" i="20"/>
  <c r="AC2227" i="20"/>
  <c r="AC2206" i="20"/>
  <c r="AC2160" i="20"/>
  <c r="AC2108" i="20"/>
  <c r="AC2082" i="20"/>
  <c r="AC2056" i="20"/>
  <c r="AC2003" i="20"/>
  <c r="AC1906" i="20"/>
  <c r="AC1881" i="20"/>
  <c r="AC1852" i="20"/>
  <c r="AC1818" i="20"/>
  <c r="AC1781" i="20"/>
  <c r="AC1747" i="20"/>
  <c r="AC1711" i="20"/>
  <c r="AC1681" i="20"/>
  <c r="AC1459" i="20"/>
  <c r="AC1416" i="20"/>
  <c r="AC1360" i="20"/>
  <c r="AC1257" i="20"/>
  <c r="AC922" i="20"/>
  <c r="AC775" i="20"/>
  <c r="AC570" i="20"/>
  <c r="AC441" i="20"/>
  <c r="AC860" i="20"/>
  <c r="AC1424" i="20"/>
  <c r="AC1060" i="20"/>
  <c r="AC1797" i="20"/>
  <c r="AC1247" i="20"/>
  <c r="AC1471" i="20"/>
  <c r="AC499" i="20"/>
  <c r="AC1826" i="20"/>
  <c r="AC664" i="20"/>
  <c r="AC553" i="20"/>
  <c r="AC1346" i="20"/>
  <c r="AC1528" i="20"/>
  <c r="AC1334" i="20"/>
  <c r="AC615" i="20"/>
  <c r="AC818" i="20"/>
  <c r="AC2144" i="20"/>
  <c r="AC891" i="20"/>
  <c r="AC597" i="20"/>
  <c r="AC2405" i="20"/>
  <c r="AC702" i="20"/>
  <c r="AC854" i="20"/>
  <c r="AC1213" i="20"/>
  <c r="AC727" i="20"/>
  <c r="AC1070" i="20"/>
  <c r="AC607" i="20"/>
  <c r="AC1396" i="20"/>
  <c r="AC529" i="20"/>
  <c r="AC996" i="20"/>
  <c r="AC863" i="20"/>
  <c r="AC1242" i="20"/>
  <c r="AC1372" i="20"/>
  <c r="AC1660" i="20"/>
  <c r="AC700" i="20"/>
  <c r="AC617" i="20"/>
  <c r="AC1000" i="20"/>
  <c r="AC1451" i="20"/>
  <c r="AC1728" i="20"/>
  <c r="AC2143" i="20"/>
  <c r="AC1634" i="20"/>
  <c r="AC2374" i="20"/>
  <c r="AC1449" i="20"/>
  <c r="AC1653" i="20"/>
  <c r="AC2316" i="20"/>
  <c r="AC1281" i="20"/>
  <c r="AC462" i="20"/>
  <c r="AC491" i="20"/>
  <c r="AC984" i="20"/>
  <c r="AC902" i="20"/>
  <c r="AC837" i="20"/>
  <c r="AC921" i="20"/>
  <c r="AC773" i="20"/>
  <c r="AC1389" i="20"/>
  <c r="AC1265" i="20"/>
  <c r="AC1142" i="20"/>
  <c r="AC2030" i="20"/>
  <c r="AC2181" i="20"/>
  <c r="AC1867" i="20"/>
  <c r="AC370" i="20"/>
  <c r="AC726" i="20"/>
  <c r="AC792" i="20"/>
  <c r="AC542" i="20"/>
  <c r="AC278" i="20"/>
  <c r="AC337" i="20"/>
  <c r="AC791" i="20"/>
  <c r="AC257" i="20"/>
  <c r="AC532" i="20"/>
  <c r="AC421" i="20"/>
  <c r="AC641" i="20"/>
  <c r="AC384" i="20"/>
  <c r="AC394" i="20"/>
  <c r="AC803" i="20"/>
  <c r="AC1743" i="20"/>
  <c r="AC739" i="20"/>
  <c r="AC1044" i="20"/>
  <c r="AC1803" i="20"/>
  <c r="AC1475" i="20"/>
  <c r="AC1460" i="20"/>
  <c r="AC159" i="20"/>
  <c r="AC244" i="20"/>
  <c r="AC733" i="20"/>
  <c r="AC751" i="20"/>
  <c r="AC486" i="20"/>
  <c r="AC216" i="20"/>
  <c r="AC457" i="20"/>
  <c r="AC549" i="20"/>
  <c r="AC1484" i="20"/>
  <c r="AC1731" i="20"/>
  <c r="AC468" i="20"/>
  <c r="AC642" i="20"/>
  <c r="AC958" i="20"/>
  <c r="AC525" i="20"/>
  <c r="AC1856" i="20"/>
  <c r="AC1238" i="20"/>
  <c r="AC1296" i="20"/>
  <c r="AC1967" i="20"/>
  <c r="AC881" i="20"/>
  <c r="AC215" i="20"/>
  <c r="AC288" i="20"/>
  <c r="AC361" i="20"/>
  <c r="AC198" i="20"/>
  <c r="AC459" i="20"/>
  <c r="AC97" i="20"/>
  <c r="AC545" i="20"/>
  <c r="AC838" i="20"/>
  <c r="AC962" i="20"/>
  <c r="AC934" i="20"/>
  <c r="AC1295" i="20"/>
  <c r="AC646" i="20"/>
  <c r="AC103" i="20"/>
  <c r="AC145" i="20"/>
  <c r="AC260" i="20"/>
  <c r="AC54" i="20"/>
  <c r="AC409" i="20"/>
  <c r="AC1317" i="20"/>
  <c r="AC479" i="20"/>
  <c r="AC85" i="20"/>
  <c r="AC327" i="20"/>
  <c r="AC935" i="20"/>
  <c r="AC1284" i="20"/>
  <c r="AC2279" i="20"/>
  <c r="AC280" i="20"/>
  <c r="AC304" i="20"/>
  <c r="AC819" i="20"/>
  <c r="AC1560" i="20"/>
  <c r="AC1109" i="20"/>
  <c r="AC1351" i="20"/>
  <c r="AC2114" i="20"/>
  <c r="AC1620" i="20"/>
  <c r="AC106" i="20"/>
  <c r="AC148" i="20"/>
  <c r="AC83" i="20"/>
  <c r="AC9" i="20"/>
  <c r="AC348" i="20"/>
  <c r="AC1037" i="20"/>
  <c r="AC168" i="20"/>
  <c r="AC175" i="20"/>
  <c r="AC1133" i="20"/>
  <c r="P142" i="34"/>
  <c r="P72" i="34"/>
  <c r="R72" i="34" s="1"/>
  <c r="P58" i="34"/>
  <c r="R58" i="34" s="1"/>
  <c r="P16" i="34"/>
  <c r="R16" i="34" s="1"/>
  <c r="AC2393" i="20"/>
  <c r="AC2350" i="20"/>
  <c r="AC2328" i="20"/>
  <c r="AC2307" i="20"/>
  <c r="AC2287" i="20"/>
  <c r="AC2225" i="20"/>
  <c r="AC2157" i="20"/>
  <c r="AC2132" i="20"/>
  <c r="AC2107" i="20"/>
  <c r="AC2080" i="20"/>
  <c r="AC2055" i="20"/>
  <c r="AC2027" i="20"/>
  <c r="AC1928" i="20"/>
  <c r="AC1905" i="20"/>
  <c r="AC1850" i="20"/>
  <c r="AC1816" i="20"/>
  <c r="AC1779" i="20"/>
  <c r="AC1744" i="20"/>
  <c r="AC1678" i="20"/>
  <c r="AC1643" i="20"/>
  <c r="AC1612" i="20"/>
  <c r="AC1571" i="20"/>
  <c r="AC1498" i="20"/>
  <c r="AC1455" i="20"/>
  <c r="AC1413" i="20"/>
  <c r="AC1253" i="20"/>
  <c r="AC1137" i="20"/>
  <c r="AC1052" i="20"/>
  <c r="AC980" i="20"/>
  <c r="AC846" i="20"/>
  <c r="AC768" i="20"/>
  <c r="AC566" i="20"/>
  <c r="W88" i="10"/>
  <c r="X88" i="10" s="1"/>
  <c r="W121" i="10"/>
  <c r="W224" i="10"/>
  <c r="X224" i="10" s="1"/>
  <c r="S262" i="10"/>
  <c r="T262" i="10" s="1"/>
  <c r="AC1321" i="20"/>
  <c r="AC1993" i="20"/>
  <c r="AC2256" i="20"/>
  <c r="AC1359" i="20"/>
  <c r="AC569" i="20"/>
  <c r="AC1322" i="20"/>
  <c r="AC1068" i="20"/>
  <c r="AC513" i="20"/>
  <c r="AC1126" i="20"/>
  <c r="AC1820" i="20"/>
  <c r="AC1591" i="20"/>
  <c r="AC2400" i="20"/>
  <c r="AC2088" i="20"/>
  <c r="AC1233" i="20"/>
  <c r="AC487" i="20"/>
  <c r="AC1658" i="20"/>
  <c r="AC1002" i="20"/>
  <c r="AC1545" i="20"/>
  <c r="AC1456" i="20"/>
  <c r="AC637" i="20"/>
  <c r="AC467" i="20"/>
  <c r="AC1398" i="20"/>
  <c r="AC1491" i="20"/>
  <c r="AC1670" i="20"/>
  <c r="AC367" i="20"/>
  <c r="AC1361" i="20"/>
  <c r="AC427" i="20"/>
  <c r="AC1028" i="20"/>
  <c r="AC1838" i="20"/>
  <c r="AC300" i="20"/>
  <c r="AC481" i="20"/>
  <c r="AC759" i="20"/>
  <c r="AC364" i="20"/>
  <c r="AC888" i="20"/>
  <c r="AC1033" i="20"/>
  <c r="AC544" i="20"/>
  <c r="AC1144" i="20"/>
  <c r="AC1894" i="20"/>
  <c r="AC252" i="20"/>
  <c r="AC805" i="20"/>
  <c r="AC741" i="20"/>
  <c r="AC1704" i="20"/>
  <c r="AC1348" i="20"/>
  <c r="AC1746" i="20"/>
  <c r="AC355" i="20"/>
  <c r="AC356" i="20"/>
  <c r="AC209" i="20"/>
  <c r="AC233" i="20"/>
  <c r="AC333" i="20"/>
  <c r="AC395" i="20"/>
  <c r="AC98" i="20"/>
  <c r="AC182" i="20"/>
  <c r="AC222" i="20"/>
  <c r="AC96" i="20"/>
  <c r="AC88" i="20"/>
  <c r="AC153" i="20"/>
  <c r="AC53" i="20"/>
  <c r="AC1054" i="20"/>
  <c r="AC677" i="20"/>
  <c r="AC859" i="20"/>
  <c r="AC1686" i="20"/>
  <c r="AC1198" i="20"/>
  <c r="AC25" i="20"/>
  <c r="AC1442" i="20"/>
  <c r="AC981" i="20"/>
  <c r="AC284" i="20"/>
  <c r="AC8" i="20"/>
  <c r="AC218" i="20"/>
  <c r="AC447" i="20"/>
  <c r="AC230" i="20"/>
  <c r="AC1040" i="20"/>
  <c r="AC16" i="20"/>
  <c r="AC376" i="20"/>
  <c r="AC523" i="20"/>
  <c r="AC238" i="20"/>
  <c r="AC424" i="20"/>
  <c r="AC933" i="20"/>
  <c r="AC297" i="20"/>
  <c r="AC880" i="20"/>
  <c r="AC1319" i="20"/>
  <c r="AC1983" i="20"/>
  <c r="AC2417" i="20"/>
  <c r="AC501" i="20"/>
  <c r="AC769" i="20"/>
  <c r="AC1311" i="20"/>
  <c r="AC1627" i="20"/>
  <c r="AC1873" i="20"/>
  <c r="AC2234" i="20"/>
  <c r="AC1618" i="20"/>
  <c r="AC1250" i="20"/>
  <c r="AC245" i="20"/>
  <c r="AC1763" i="20"/>
  <c r="P99" i="34"/>
  <c r="R99" i="34" s="1"/>
  <c r="P71" i="34"/>
  <c r="P29" i="34"/>
  <c r="R29" i="34" s="1"/>
  <c r="N59" i="34"/>
  <c r="O59" i="34" s="1"/>
  <c r="N142" i="34"/>
  <c r="O142" i="34" s="1"/>
  <c r="Q142" i="34" s="1"/>
  <c r="N44" i="34"/>
  <c r="O44" i="34" s="1"/>
  <c r="Q44" i="34" s="1"/>
  <c r="N30" i="34"/>
  <c r="O30" i="34" s="1"/>
  <c r="Q30" i="34" s="1"/>
  <c r="AC2391" i="20"/>
  <c r="AC2349" i="20"/>
  <c r="AC2327" i="20"/>
  <c r="AC2244" i="20"/>
  <c r="AC2177" i="20"/>
  <c r="AC2156" i="20"/>
  <c r="AC2131" i="20"/>
  <c r="AC2106" i="20"/>
  <c r="AC2001" i="20"/>
  <c r="AC1951" i="20"/>
  <c r="AC1926" i="20"/>
  <c r="AC1904" i="20"/>
  <c r="AC1876" i="20"/>
  <c r="AC1849" i="20"/>
  <c r="AC1814" i="20"/>
  <c r="AC1741" i="20"/>
  <c r="AC1708" i="20"/>
  <c r="AC1642" i="20"/>
  <c r="AC1609" i="20"/>
  <c r="AC1570" i="20"/>
  <c r="AC1529" i="20"/>
  <c r="AC1495" i="20"/>
  <c r="AC1408" i="20"/>
  <c r="AC1302" i="20"/>
  <c r="AC1252" i="20"/>
  <c r="AC1130" i="20"/>
  <c r="AC1048" i="20"/>
  <c r="AC979" i="20"/>
  <c r="AC910" i="20"/>
  <c r="AC766" i="20"/>
  <c r="AC411" i="20"/>
  <c r="AC1191" i="20"/>
  <c r="AC786" i="20"/>
  <c r="AC1369" i="20"/>
  <c r="AC1534" i="20"/>
  <c r="AC2014" i="20"/>
  <c r="AC1450" i="20"/>
  <c r="AC1127" i="20"/>
  <c r="AC900" i="20"/>
  <c r="AC1258" i="20"/>
  <c r="AC1500" i="20"/>
  <c r="AC1167" i="20"/>
  <c r="AC509" i="20"/>
  <c r="AC1301" i="20"/>
  <c r="AC1339" i="20"/>
  <c r="AC1169" i="20"/>
  <c r="AC1583" i="20"/>
  <c r="AC657" i="20"/>
  <c r="AC952" i="20"/>
  <c r="AC1008" i="20"/>
  <c r="AC1125" i="20"/>
  <c r="AC1155" i="20"/>
  <c r="AC613" i="20"/>
  <c r="AC1344" i="20"/>
  <c r="AC2133" i="20"/>
  <c r="AC1115" i="20"/>
  <c r="AC2140" i="20"/>
  <c r="AC519" i="20"/>
  <c r="AC1436" i="20"/>
  <c r="AC2039" i="20"/>
  <c r="AC665" i="20"/>
  <c r="AC1783" i="20"/>
  <c r="AC1192" i="20"/>
  <c r="AC1071" i="20"/>
  <c r="AC696" i="20"/>
  <c r="AC707" i="20"/>
  <c r="AC360" i="20"/>
  <c r="AC492" i="20"/>
  <c r="AC274" i="20"/>
  <c r="AC691" i="20"/>
  <c r="AC516" i="20"/>
  <c r="AC1058" i="20"/>
  <c r="AC1941" i="20"/>
  <c r="AC2045" i="20"/>
  <c r="AC849" i="20"/>
  <c r="AC243" i="20"/>
  <c r="AC729" i="20"/>
  <c r="AC420" i="20"/>
  <c r="AC346" i="20"/>
  <c r="AC512" i="20"/>
  <c r="AC353" i="20"/>
  <c r="AC577" i="20"/>
  <c r="AC1647" i="20"/>
  <c r="AC1027" i="20"/>
  <c r="AC1246" i="20"/>
  <c r="AC379" i="20"/>
  <c r="AC2068" i="20"/>
  <c r="AC1287" i="20"/>
  <c r="AC1851" i="20"/>
  <c r="AC157" i="20"/>
  <c r="AC163" i="20"/>
  <c r="AC123" i="20"/>
  <c r="AC810" i="20"/>
  <c r="AC263" i="20"/>
  <c r="AC1230" i="20"/>
  <c r="AC1772" i="20"/>
  <c r="AC755" i="20"/>
  <c r="AC172" i="20"/>
  <c r="AC330" i="20"/>
  <c r="AC141" i="20"/>
  <c r="AC887" i="20"/>
  <c r="AC415" i="20"/>
  <c r="AC1138" i="20"/>
  <c r="AC1610" i="20"/>
  <c r="AC583" i="20"/>
  <c r="AC94" i="20"/>
  <c r="AC543" i="20"/>
  <c r="AC1297" i="20"/>
  <c r="AC1862" i="20"/>
  <c r="AC718" i="20"/>
  <c r="AC71" i="20"/>
  <c r="AC1429" i="20"/>
  <c r="AC960" i="20"/>
  <c r="AC1065" i="20"/>
  <c r="AC679" i="20"/>
  <c r="AC1209" i="20"/>
  <c r="AC2052" i="20"/>
  <c r="AC1948" i="20"/>
  <c r="AC52" i="20"/>
  <c r="AC62" i="20"/>
  <c r="AC24" i="20"/>
  <c r="AC697" i="20"/>
  <c r="AC214" i="20"/>
  <c r="AC477" i="20"/>
  <c r="AC390" i="20"/>
  <c r="AC350" i="20"/>
  <c r="AC458" i="20"/>
  <c r="AC334" i="20"/>
  <c r="AC392" i="20"/>
  <c r="AC579" i="20"/>
  <c r="AC736" i="20"/>
  <c r="AC164" i="20"/>
  <c r="AC1136" i="20"/>
  <c r="AC1041" i="20"/>
  <c r="AC1288" i="20"/>
  <c r="AC2069" i="20"/>
  <c r="AC1844" i="20"/>
  <c r="AC95" i="20"/>
  <c r="AC1423" i="20"/>
  <c r="AC2254" i="20"/>
  <c r="AC905" i="20"/>
  <c r="P140" i="34"/>
  <c r="P56" i="34"/>
  <c r="P42" i="34"/>
  <c r="L155" i="34"/>
  <c r="N29" i="34"/>
  <c r="O29" i="34" s="1"/>
  <c r="AC2409" i="20"/>
  <c r="AC2388" i="20"/>
  <c r="AC2348" i="20"/>
  <c r="AC2326" i="20"/>
  <c r="AC2304" i="20"/>
  <c r="AC2285" i="20"/>
  <c r="AC2262" i="20"/>
  <c r="AC2201" i="20"/>
  <c r="AC2176" i="20"/>
  <c r="AC2154" i="20"/>
  <c r="AC2130" i="20"/>
  <c r="AC2102" i="20"/>
  <c r="AC2077" i="20"/>
  <c r="AC2050" i="20"/>
  <c r="AC2024" i="20"/>
  <c r="AC1996" i="20"/>
  <c r="AC1973" i="20"/>
  <c r="AC1875" i="20"/>
  <c r="AC1848" i="20"/>
  <c r="AC1811" i="20"/>
  <c r="AC1777" i="20"/>
  <c r="AC1707" i="20"/>
  <c r="AC1674" i="20"/>
  <c r="AC1566" i="20"/>
  <c r="AC1523" i="20"/>
  <c r="AC1490" i="20"/>
  <c r="AC1446" i="20"/>
  <c r="AC1355" i="20"/>
  <c r="AC1299" i="20"/>
  <c r="AC1129" i="20"/>
  <c r="AC1047" i="20"/>
  <c r="AC978" i="20"/>
  <c r="AC909" i="20"/>
  <c r="AC558" i="20"/>
  <c r="AC383" i="20"/>
  <c r="AC240" i="20"/>
  <c r="AC7" i="20"/>
  <c r="W256" i="10"/>
  <c r="AC1373" i="20"/>
  <c r="AC895" i="20"/>
  <c r="AC2221" i="20"/>
  <c r="AC1309" i="20"/>
  <c r="AC920" i="20"/>
  <c r="AC2180" i="20"/>
  <c r="AC647" i="20"/>
  <c r="AC2094" i="20"/>
  <c r="AC704" i="20"/>
  <c r="AC656" i="20"/>
  <c r="AC1228" i="20"/>
  <c r="AC612" i="20"/>
  <c r="AC1562" i="20"/>
  <c r="AC1009" i="20"/>
  <c r="AC1932" i="20"/>
  <c r="AC1750" i="20"/>
  <c r="AC1116" i="20"/>
  <c r="AC1584" i="20"/>
  <c r="AC746" i="20"/>
  <c r="AC1784" i="20"/>
  <c r="AC1196" i="20"/>
  <c r="AC1437" i="20"/>
  <c r="AC845" i="20"/>
  <c r="AC1075" i="20"/>
  <c r="AC431" i="20"/>
  <c r="AC446" i="20"/>
  <c r="AC784" i="20"/>
  <c r="AC536" i="20"/>
  <c r="AC628" i="20"/>
  <c r="AC954" i="20"/>
  <c r="AC1156" i="20"/>
  <c r="AC471" i="20"/>
  <c r="AC698" i="20"/>
  <c r="AC2209" i="20"/>
  <c r="AC2074" i="20"/>
  <c r="AC575" i="20"/>
  <c r="AC970" i="20"/>
  <c r="AC472" i="20"/>
  <c r="AC1387" i="20"/>
  <c r="AC352" i="20"/>
  <c r="AC643" i="20"/>
  <c r="AC1603" i="20"/>
  <c r="AC1829" i="20"/>
  <c r="AC2165" i="20"/>
  <c r="AC882" i="20"/>
  <c r="AC2188" i="20"/>
  <c r="AC413" i="20"/>
  <c r="AC1984" i="20"/>
  <c r="AC1049" i="20"/>
  <c r="AC1555" i="20"/>
  <c r="AC713" i="20"/>
  <c r="AC1271" i="20"/>
  <c r="AC1813" i="20"/>
  <c r="AC2305" i="20"/>
  <c r="AC272" i="20"/>
  <c r="AC1220" i="20"/>
  <c r="AC1721" i="20"/>
  <c r="AC1641" i="20"/>
  <c r="AC231" i="20"/>
  <c r="AC763" i="20"/>
  <c r="AC1631" i="20"/>
  <c r="AC588" i="20"/>
  <c r="AC1035" i="20"/>
  <c r="AC2291" i="20"/>
  <c r="AC426" i="20"/>
  <c r="AC70" i="20"/>
  <c r="AC1064" i="20"/>
  <c r="AC842" i="20"/>
  <c r="AC678" i="20"/>
  <c r="AC719" i="20"/>
  <c r="AC961" i="20"/>
  <c r="AC1947" i="20"/>
  <c r="AC1428" i="20"/>
  <c r="AC1780" i="20"/>
  <c r="AC401" i="20"/>
  <c r="AC345" i="20"/>
  <c r="AC315" i="20"/>
  <c r="AC109" i="20"/>
  <c r="AC51" i="20"/>
  <c r="AC620" i="20"/>
  <c r="AC735" i="20"/>
  <c r="AC524" i="20"/>
  <c r="AC580" i="20"/>
  <c r="AC1955" i="20"/>
  <c r="AC2067" i="20"/>
  <c r="AC1140" i="20"/>
  <c r="AC1381" i="20"/>
  <c r="AC440" i="20"/>
  <c r="AC790" i="20"/>
  <c r="AC1294" i="20"/>
  <c r="AC1646" i="20"/>
  <c r="AC925" i="20"/>
  <c r="AC2189" i="20"/>
  <c r="AC1244" i="20"/>
  <c r="AC567" i="20"/>
  <c r="P139" i="34"/>
  <c r="R139" i="34" s="1"/>
  <c r="P83" i="34"/>
  <c r="R83" i="34" s="1"/>
  <c r="P55" i="34"/>
  <c r="R55" i="34" s="1"/>
  <c r="P13" i="34"/>
  <c r="R13" i="34" s="1"/>
  <c r="AC2408" i="20"/>
  <c r="AC2366" i="20"/>
  <c r="AC2345" i="20"/>
  <c r="AC2303" i="20"/>
  <c r="AC2283" i="20"/>
  <c r="AC2261" i="20"/>
  <c r="AC2222" i="20"/>
  <c r="AC2199" i="20"/>
  <c r="AC2175" i="20"/>
  <c r="AC2127" i="20"/>
  <c r="AC1995" i="20"/>
  <c r="AC1874" i="20"/>
  <c r="AC1806" i="20"/>
  <c r="AC1769" i="20"/>
  <c r="AC1735" i="20"/>
  <c r="AC1699" i="20"/>
  <c r="AC1639" i="20"/>
  <c r="AC1604" i="20"/>
  <c r="AC1522" i="20"/>
  <c r="AC1489" i="20"/>
  <c r="AC1404" i="20"/>
  <c r="AC1353" i="20"/>
  <c r="AC1293" i="20"/>
  <c r="AC1124" i="20"/>
  <c r="AC826" i="20"/>
  <c r="AC635" i="20"/>
  <c r="AC382" i="20"/>
  <c r="S210" i="10"/>
  <c r="T210" i="10" s="1"/>
  <c r="S205" i="10"/>
  <c r="T205" i="10" s="1"/>
  <c r="S94" i="10"/>
  <c r="T94" i="10" s="1"/>
  <c r="Z91" i="10"/>
  <c r="S185" i="10"/>
  <c r="T185" i="10" s="1"/>
  <c r="S191" i="10"/>
  <c r="T191" i="10" s="1"/>
  <c r="S41" i="10"/>
  <c r="T41" i="10" s="1"/>
  <c r="S26" i="10"/>
  <c r="T26" i="10" s="1"/>
  <c r="S5" i="10"/>
  <c r="T5" i="10" s="1"/>
  <c r="AC674" i="20"/>
  <c r="AC1055" i="20"/>
  <c r="AC1684" i="20"/>
  <c r="AC2362" i="20"/>
  <c r="AC2011" i="20"/>
  <c r="AC1606" i="20"/>
  <c r="AC762" i="20"/>
  <c r="AC1840" i="20"/>
  <c r="AC527" i="20"/>
  <c r="AC521" i="20"/>
  <c r="AC1072" i="20"/>
  <c r="AC847" i="20"/>
  <c r="AC1786" i="20"/>
  <c r="AC2355" i="20"/>
  <c r="AC1193" i="20"/>
  <c r="AC1937" i="20"/>
  <c r="AC666" i="20"/>
  <c r="AC429" i="20"/>
  <c r="AC1406" i="20"/>
  <c r="AC1379" i="20"/>
  <c r="AC1675" i="20"/>
  <c r="AC1011" i="20"/>
  <c r="AC625" i="20"/>
  <c r="AC1732" i="20"/>
  <c r="AC2399" i="20"/>
  <c r="AC749" i="20"/>
  <c r="AC1879" i="20"/>
  <c r="AC2211" i="20"/>
  <c r="AC329" i="20"/>
  <c r="AC886" i="20"/>
  <c r="AC982" i="20"/>
  <c r="AC271" i="20"/>
  <c r="AC714" i="20"/>
  <c r="AC1219" i="20"/>
  <c r="AC1050" i="20"/>
  <c r="AC1270" i="20"/>
  <c r="AC1812" i="20"/>
  <c r="AC684" i="20"/>
  <c r="AC1161" i="20"/>
  <c r="AC1720" i="20"/>
  <c r="AC1554" i="20"/>
  <c r="AC228" i="20"/>
  <c r="AC225" i="20"/>
  <c r="AC1827" i="20"/>
  <c r="AC1188" i="20"/>
  <c r="AC1479" i="20"/>
  <c r="AC456" i="20"/>
  <c r="AC461" i="20"/>
  <c r="AC140" i="20"/>
  <c r="AC760" i="20"/>
  <c r="AC989" i="20"/>
  <c r="AC234" i="20"/>
  <c r="AC410" i="20"/>
  <c r="AC622" i="20"/>
  <c r="AC990" i="20"/>
  <c r="AC286" i="20"/>
  <c r="AC571" i="20"/>
  <c r="AC748" i="20"/>
  <c r="AC396" i="20"/>
  <c r="AC368" i="20"/>
  <c r="AC973" i="20"/>
  <c r="AC342" i="20"/>
  <c r="AC1766" i="20"/>
  <c r="AC1837" i="20"/>
  <c r="AC2022" i="20"/>
  <c r="AC831" i="20"/>
  <c r="AC1614" i="20"/>
  <c r="AC1145" i="20"/>
  <c r="AC1172" i="20"/>
  <c r="AC1726" i="20"/>
  <c r="AC120" i="20"/>
  <c r="AC176" i="20"/>
  <c r="AC154" i="20"/>
  <c r="AC199" i="20"/>
  <c r="AC220" i="20"/>
  <c r="AC92" i="20"/>
  <c r="AC366" i="20"/>
  <c r="AC1036" i="20"/>
  <c r="AC1382" i="20"/>
  <c r="AC581" i="20"/>
  <c r="AC2390" i="20"/>
  <c r="AC279" i="20"/>
  <c r="AC69" i="20"/>
  <c r="AC1407" i="20"/>
  <c r="AC862" i="20"/>
  <c r="AC1307" i="20"/>
  <c r="AC258" i="20"/>
  <c r="AC2310" i="20"/>
  <c r="AC2370" i="20"/>
  <c r="AC1375" i="20"/>
  <c r="AC2155" i="20"/>
  <c r="AC50" i="20"/>
  <c r="AC105" i="20"/>
  <c r="AC256" i="20"/>
  <c r="AC36" i="20"/>
  <c r="AC450" i="20"/>
  <c r="AC956" i="20"/>
  <c r="AC800" i="20"/>
  <c r="AC761" i="20"/>
  <c r="AC1119" i="20"/>
  <c r="AC1573" i="20"/>
  <c r="AC1701" i="20"/>
  <c r="AC1841" i="20"/>
  <c r="AC526" i="20"/>
  <c r="AC1454" i="20"/>
  <c r="AC1324" i="20"/>
  <c r="AC2007" i="20"/>
  <c r="AC2099" i="20"/>
  <c r="AC591" i="20"/>
  <c r="AC866" i="20"/>
  <c r="AC1877" i="20"/>
  <c r="AC2344" i="20"/>
  <c r="AC1598" i="20"/>
  <c r="AC2226" i="20"/>
  <c r="AC1357" i="20"/>
  <c r="AC22" i="20"/>
  <c r="AC314" i="20"/>
  <c r="AC564" i="20"/>
  <c r="AC196" i="20"/>
  <c r="AC551" i="20"/>
  <c r="AC765" i="20"/>
  <c r="AC629" i="20"/>
  <c r="AC783" i="20"/>
  <c r="AC1153" i="20"/>
  <c r="AC1394" i="20"/>
  <c r="AC1997" i="20"/>
  <c r="AC443" i="20"/>
  <c r="AC1417" i="20"/>
  <c r="AC336" i="20"/>
  <c r="AC1635" i="20"/>
  <c r="AC1652" i="20"/>
  <c r="AC2194" i="20"/>
  <c r="AC599" i="20"/>
  <c r="AC798" i="20"/>
  <c r="AC1329" i="20"/>
  <c r="AC2004" i="20"/>
  <c r="AC2034" i="20"/>
  <c r="AC5" i="20"/>
  <c r="AC728" i="20"/>
  <c r="AC326" i="20"/>
  <c r="AC589" i="20"/>
  <c r="AC121" i="20"/>
  <c r="AC87" i="20"/>
  <c r="AC178" i="20"/>
  <c r="AC166" i="20"/>
  <c r="AC983" i="20"/>
  <c r="AC1134" i="20"/>
  <c r="AC1482" i="20"/>
  <c r="AC1885" i="20"/>
  <c r="AC1291" i="20"/>
  <c r="AC59" i="20"/>
  <c r="P40" i="34"/>
  <c r="R40" i="34" s="1"/>
  <c r="AC2386" i="20"/>
  <c r="AC2365" i="20"/>
  <c r="AC2322" i="20"/>
  <c r="AC2302" i="20"/>
  <c r="AC2282" i="20"/>
  <c r="AC2260" i="20"/>
  <c r="AC2240" i="20"/>
  <c r="AC2220" i="20"/>
  <c r="AC2198" i="20"/>
  <c r="AC2172" i="20"/>
  <c r="AC2152" i="20"/>
  <c r="AC2100" i="20"/>
  <c r="AC2047" i="20"/>
  <c r="AC2020" i="20"/>
  <c r="AC1994" i="20"/>
  <c r="AC1971" i="20"/>
  <c r="AC1946" i="20"/>
  <c r="AC1870" i="20"/>
  <c r="AC1839" i="20"/>
  <c r="AC1805" i="20"/>
  <c r="AC1768" i="20"/>
  <c r="AC1734" i="20"/>
  <c r="AC1638" i="20"/>
  <c r="AC1483" i="20"/>
  <c r="AC1438" i="20"/>
  <c r="AC1342" i="20"/>
  <c r="AC1283" i="20"/>
  <c r="AC1235" i="20"/>
  <c r="AC1176" i="20"/>
  <c r="AC1120" i="20"/>
  <c r="AC1031" i="20"/>
  <c r="AC892" i="20"/>
  <c r="AC815" i="20"/>
  <c r="AC724" i="20"/>
  <c r="AC514" i="20"/>
  <c r="AC380" i="20"/>
  <c r="AC221" i="20"/>
  <c r="AC520" i="20"/>
  <c r="AC1195" i="20"/>
  <c r="AC1798" i="20"/>
  <c r="AC1440" i="20"/>
  <c r="AC2043" i="20"/>
  <c r="AC1939" i="20"/>
  <c r="AC522" i="20"/>
  <c r="AC1073" i="20"/>
  <c r="AC1439" i="20"/>
  <c r="AC1787" i="20"/>
  <c r="AC848" i="20"/>
  <c r="AC667" i="20"/>
  <c r="AC1194" i="20"/>
  <c r="AC1938" i="20"/>
  <c r="AC428" i="20"/>
  <c r="AC725" i="20"/>
  <c r="AC639" i="20"/>
  <c r="AC434" i="20"/>
  <c r="AC582" i="20"/>
  <c r="AC2389" i="20"/>
  <c r="AC1953" i="20"/>
  <c r="AC311" i="20"/>
  <c r="AC1177" i="20"/>
  <c r="AC1527" i="20"/>
  <c r="AC535" i="20"/>
  <c r="AC893" i="20"/>
  <c r="AC1771" i="20"/>
  <c r="AC1969" i="20"/>
  <c r="AC2207" i="20"/>
  <c r="AC808" i="20"/>
  <c r="AC1507" i="20"/>
  <c r="AC2325" i="20"/>
  <c r="AC632" i="20"/>
  <c r="AC2119" i="20"/>
  <c r="AC1847" i="20"/>
  <c r="AC318" i="20"/>
  <c r="AC211" i="20"/>
  <c r="AC1012" i="20"/>
  <c r="AC537" i="20"/>
  <c r="AC1577" i="20"/>
  <c r="AC722" i="20"/>
  <c r="AC906" i="20"/>
  <c r="AC1112" i="20"/>
  <c r="AC2013" i="20"/>
  <c r="AC1776" i="20"/>
  <c r="AC118" i="20"/>
  <c r="AC648" i="20"/>
  <c r="AC1303" i="20"/>
  <c r="AC600" i="20"/>
  <c r="AC932" i="20"/>
  <c r="AC1715" i="20"/>
  <c r="AC1486" i="20"/>
  <c r="AC1887" i="20"/>
  <c r="AC1189" i="20"/>
  <c r="AC1754" i="20"/>
  <c r="AC2058" i="20"/>
  <c r="AC2195" i="20"/>
  <c r="AC2196" i="20"/>
  <c r="AC2377" i="20"/>
  <c r="AC173" i="20"/>
  <c r="AC99" i="20"/>
  <c r="AC207" i="20"/>
  <c r="AC294" i="20"/>
  <c r="AC435" i="20"/>
  <c r="AC465" i="20"/>
  <c r="AC494" i="20"/>
  <c r="AC774" i="20"/>
  <c r="AC90" i="20"/>
  <c r="AC142" i="20"/>
  <c r="AC324" i="20"/>
  <c r="AC369" i="20"/>
  <c r="AC180" i="20"/>
  <c r="AC312" i="20"/>
  <c r="AC205" i="20"/>
  <c r="AC359" i="20"/>
  <c r="AC601" i="20"/>
  <c r="AC1487" i="20"/>
  <c r="AC1264" i="20"/>
  <c r="AC1390" i="20"/>
  <c r="AC1888" i="20"/>
  <c r="AC407" i="20"/>
  <c r="AC901" i="20"/>
  <c r="AC202" i="20"/>
  <c r="AC476" i="20"/>
  <c r="AC560" i="20"/>
  <c r="AC417" i="20"/>
  <c r="AC743" i="20"/>
  <c r="AC49" i="20"/>
  <c r="AC347" i="20"/>
  <c r="AC794" i="20"/>
  <c r="AC1415" i="20"/>
  <c r="AC453" i="20"/>
  <c r="AC884" i="20"/>
  <c r="AC1240" i="20"/>
  <c r="AC1256" i="20"/>
  <c r="AC1392" i="20"/>
  <c r="AC2123" i="20"/>
  <c r="AC1185" i="20"/>
  <c r="AC1110" i="20"/>
  <c r="AC940" i="20"/>
  <c r="AC1158" i="20"/>
  <c r="AC2339" i="20"/>
  <c r="AC2174" i="20"/>
  <c r="AC896" i="20"/>
  <c r="AC2239" i="20"/>
  <c r="AC1007" i="20"/>
  <c r="AC1493" i="20"/>
  <c r="AC1775" i="20"/>
  <c r="AC2104" i="20"/>
  <c r="AC130" i="20"/>
  <c r="AC592" i="20"/>
  <c r="AC35" i="20"/>
  <c r="AC309" i="20"/>
  <c r="AC1118" i="20"/>
  <c r="AC1181" i="20"/>
  <c r="AC2025" i="20"/>
  <c r="AC528" i="20"/>
  <c r="AC1502" i="20"/>
  <c r="AC1574" i="20"/>
  <c r="AC1595" i="20"/>
  <c r="AC1473" i="20"/>
  <c r="AC1808" i="20"/>
  <c r="AC2103" i="20"/>
  <c r="AC1878" i="20"/>
  <c r="AC917" i="20"/>
  <c r="AC1229" i="20"/>
  <c r="AC1693" i="20"/>
  <c r="AC358" i="20"/>
  <c r="AC371" i="20"/>
  <c r="AC20" i="20"/>
  <c r="AC455" i="20"/>
  <c r="AC610" i="20"/>
  <c r="AC1757" i="20"/>
  <c r="AC1611" i="20"/>
  <c r="AC2284" i="20"/>
  <c r="AC4" i="20"/>
  <c r="AC119" i="20"/>
  <c r="AC177" i="20"/>
  <c r="AC323" i="20"/>
  <c r="AC236" i="20"/>
  <c r="AC57" i="20"/>
  <c r="AC292" i="20"/>
  <c r="AC223" i="20"/>
  <c r="AC91" i="20"/>
  <c r="AC165" i="20"/>
  <c r="AC63" i="20"/>
  <c r="AC1132" i="20"/>
  <c r="P151" i="34"/>
  <c r="R151" i="34" s="1"/>
  <c r="P39" i="34"/>
  <c r="R39" i="34" s="1"/>
  <c r="AC2383" i="20"/>
  <c r="AC2321" i="20"/>
  <c r="AC2300" i="20"/>
  <c r="AC2281" i="20"/>
  <c r="AC2259" i="20"/>
  <c r="AC2238" i="20"/>
  <c r="AC2217" i="20"/>
  <c r="AC2197" i="20"/>
  <c r="AC2171" i="20"/>
  <c r="AC2124" i="20"/>
  <c r="AC2097" i="20"/>
  <c r="AC2071" i="20"/>
  <c r="AC2046" i="20"/>
  <c r="AC2018" i="20"/>
  <c r="AC1991" i="20"/>
  <c r="AC1921" i="20"/>
  <c r="AC1896" i="20"/>
  <c r="AC1869" i="20"/>
  <c r="AC1836" i="20"/>
  <c r="AC1802" i="20"/>
  <c r="AC1765" i="20"/>
  <c r="AC1730" i="20"/>
  <c r="AC1667" i="20"/>
  <c r="AC1632" i="20"/>
  <c r="AC1600" i="20"/>
  <c r="AC1561" i="20"/>
  <c r="AC1519" i="20"/>
  <c r="AC1435" i="20"/>
  <c r="AC1393" i="20"/>
  <c r="AC1335" i="20"/>
  <c r="AC1282" i="20"/>
  <c r="AC1232" i="20"/>
  <c r="AC1175" i="20"/>
  <c r="AC1117" i="20"/>
  <c r="AC964" i="20"/>
  <c r="AC885" i="20"/>
  <c r="AC814" i="20"/>
  <c r="AC723" i="20"/>
  <c r="AC623" i="20"/>
  <c r="AC378" i="20"/>
  <c r="AC188" i="20"/>
  <c r="V72" i="10"/>
  <c r="S96" i="10"/>
  <c r="T96" i="10" s="1"/>
  <c r="S255" i="10"/>
  <c r="T255" i="10" s="1"/>
  <c r="V231" i="10"/>
  <c r="S109" i="10"/>
  <c r="T109" i="10" s="1"/>
  <c r="V149" i="10"/>
  <c r="V46" i="10"/>
  <c r="S134" i="10"/>
  <c r="T134" i="10" s="1"/>
  <c r="V128" i="10"/>
  <c r="W128" i="10" s="1"/>
  <c r="S17" i="10"/>
  <c r="T17" i="10" s="1"/>
  <c r="S248" i="10"/>
  <c r="T248" i="10" s="1"/>
  <c r="AC1017" i="20"/>
  <c r="AC1102" i="20"/>
  <c r="AC1543" i="20"/>
  <c r="AC1409" i="20"/>
  <c r="AC1661" i="20"/>
  <c r="AC670" i="20"/>
  <c r="AC1236" i="20"/>
  <c r="AC2084" i="20"/>
  <c r="AC951" i="20"/>
  <c r="AC562" i="20"/>
  <c r="AC731" i="20"/>
  <c r="AC2166" i="20"/>
  <c r="AC2269" i="20"/>
  <c r="AC1688" i="20"/>
  <c r="AC676" i="20"/>
  <c r="AC855" i="20"/>
  <c r="AC1687" i="20"/>
  <c r="AC1441" i="20"/>
  <c r="AC2037" i="20"/>
  <c r="AC2359" i="20"/>
  <c r="AC1197" i="20"/>
  <c r="AC690" i="20"/>
  <c r="AC517" i="20"/>
  <c r="AC1286" i="20"/>
  <c r="AC2029" i="20"/>
  <c r="AC721" i="20"/>
  <c r="AC490" i="20"/>
  <c r="AC757" i="20"/>
  <c r="AC609" i="20"/>
  <c r="AC423" i="20"/>
  <c r="AC1304" i="20"/>
  <c r="AC720" i="20"/>
  <c r="AC2089" i="20"/>
  <c r="AC310" i="20"/>
  <c r="AC742" i="20"/>
  <c r="AC898" i="20"/>
  <c r="AC750" i="20"/>
  <c r="AC1700" i="20"/>
  <c r="AC1497" i="20"/>
  <c r="AC1590" i="20"/>
  <c r="AC807" i="20"/>
  <c r="AC474" i="20"/>
  <c r="AC595" i="20"/>
  <c r="AC1463" i="20"/>
  <c r="AC2173" i="20"/>
  <c r="AC1736" i="20"/>
  <c r="AC2148" i="20"/>
  <c r="AC1323" i="20"/>
  <c r="AC709" i="20"/>
  <c r="AC1166" i="20"/>
  <c r="AC1645" i="20"/>
  <c r="AC269" i="20"/>
  <c r="AC689" i="20"/>
  <c r="AC1713" i="20"/>
  <c r="AC2309" i="20"/>
  <c r="AC273" i="20"/>
  <c r="AC1223" i="20"/>
  <c r="AC1051" i="20"/>
  <c r="AC1817" i="20"/>
  <c r="AC2110" i="20"/>
  <c r="AC561" i="20"/>
  <c r="AC194" i="20"/>
  <c r="AC1485" i="20"/>
  <c r="AC1607" i="20"/>
  <c r="AC1187" i="20"/>
  <c r="AC1828" i="20"/>
  <c r="AC138" i="20"/>
  <c r="AC497" i="20"/>
  <c r="AC894" i="20"/>
  <c r="AC1616" i="20"/>
  <c r="AC1452" i="20"/>
  <c r="AC185" i="20"/>
  <c r="AC2369" i="20"/>
  <c r="AC419" i="20"/>
  <c r="AC116" i="20"/>
  <c r="AC552" i="20"/>
  <c r="AC463" i="20"/>
  <c r="AC793" i="20"/>
  <c r="AC107" i="20"/>
  <c r="AC81" i="20"/>
  <c r="AC149" i="20"/>
  <c r="AC418" i="20"/>
  <c r="AC540" i="20"/>
  <c r="AC1587" i="20"/>
  <c r="AC338" i="20"/>
  <c r="AC277" i="20"/>
  <c r="AC968" i="20"/>
  <c r="AC1999" i="20"/>
  <c r="AC67" i="20"/>
  <c r="AC305" i="20"/>
  <c r="AC658" i="20"/>
  <c r="AC48" i="20"/>
  <c r="AC634" i="20"/>
  <c r="AC705" i="20"/>
  <c r="AC1512" i="20"/>
  <c r="AC1809" i="20"/>
  <c r="AC1637" i="20"/>
  <c r="AC2075" i="20"/>
  <c r="AC673" i="20"/>
  <c r="AC34" i="20"/>
  <c r="AC1443" i="20"/>
  <c r="AC840" i="20"/>
  <c r="AC2361" i="20"/>
  <c r="AC2299" i="20"/>
  <c r="AC1685" i="20"/>
  <c r="AC19" i="20"/>
  <c r="AC372" i="20"/>
  <c r="AC357" i="20"/>
  <c r="AC454" i="20"/>
  <c r="AC1756" i="20"/>
  <c r="AC1168" i="20"/>
  <c r="AC565" i="20"/>
  <c r="AC1338" i="20"/>
  <c r="AC2414" i="20"/>
  <c r="AC835" i="20"/>
  <c r="AC18" i="20"/>
  <c r="AC400" i="20"/>
  <c r="AC84" i="20"/>
  <c r="AC248" i="20"/>
  <c r="AC104" i="20"/>
  <c r="AC1034" i="20"/>
  <c r="AC1569" i="20"/>
  <c r="AC147" i="20"/>
  <c r="AC1315" i="20"/>
  <c r="AC217" i="20"/>
  <c r="AC3" i="20"/>
  <c r="AC555" i="20"/>
  <c r="AC183" i="20"/>
  <c r="AC313" i="20"/>
  <c r="AC1893" i="20"/>
  <c r="P10" i="34"/>
  <c r="R10" i="34" s="1"/>
  <c r="AC2404" i="20"/>
  <c r="AC2382" i="20"/>
  <c r="AC2363" i="20"/>
  <c r="AC2341" i="20"/>
  <c r="AC2320" i="20"/>
  <c r="AC2298" i="20"/>
  <c r="AC2278" i="20"/>
  <c r="AC2258" i="20"/>
  <c r="AC2237" i="20"/>
  <c r="AC2216" i="20"/>
  <c r="AC2192" i="20"/>
  <c r="AC2146" i="20"/>
  <c r="AC2122" i="20"/>
  <c r="AC2096" i="20"/>
  <c r="AC2070" i="20"/>
  <c r="AC2042" i="20"/>
  <c r="AC2017" i="20"/>
  <c r="AC1990" i="20"/>
  <c r="AC1943" i="20"/>
  <c r="AC1920" i="20"/>
  <c r="AC1866" i="20"/>
  <c r="AC1835" i="20"/>
  <c r="AC1800" i="20"/>
  <c r="AC1764" i="20"/>
  <c r="AC1727" i="20"/>
  <c r="AC1666" i="20"/>
  <c r="AC1629" i="20"/>
  <c r="AC1559" i="20"/>
  <c r="AC1518" i="20"/>
  <c r="AC1478" i="20"/>
  <c r="AC1433" i="20"/>
  <c r="AC1388" i="20"/>
  <c r="AC1333" i="20"/>
  <c r="AC1280" i="20"/>
  <c r="AC1227" i="20"/>
  <c r="AC1174" i="20"/>
  <c r="AC1111" i="20"/>
  <c r="AC1024" i="20"/>
  <c r="AC619" i="20"/>
  <c r="AC507" i="20"/>
  <c r="AC365" i="20"/>
  <c r="AC152" i="20"/>
  <c r="Q34" i="34"/>
  <c r="N53" i="34"/>
  <c r="O53" i="34" s="1"/>
  <c r="Q53" i="34" s="1"/>
  <c r="N95" i="34"/>
  <c r="O95" i="34" s="1"/>
  <c r="Q104" i="34"/>
  <c r="Q90" i="34"/>
  <c r="J133" i="34"/>
  <c r="N100" i="34"/>
  <c r="O100" i="34" s="1"/>
  <c r="N2" i="34"/>
  <c r="O2" i="34" s="1"/>
  <c r="M30" i="34"/>
  <c r="N145" i="34"/>
  <c r="O145" i="34" s="1"/>
  <c r="Q131" i="34"/>
  <c r="Q103" i="34"/>
  <c r="Q89" i="34"/>
  <c r="Q33" i="34"/>
  <c r="L76" i="34"/>
  <c r="J25" i="34"/>
  <c r="L25" i="34" s="1"/>
  <c r="L109" i="34"/>
  <c r="Q76" i="34"/>
  <c r="L48" i="34"/>
  <c r="L10" i="34"/>
  <c r="R34" i="34"/>
  <c r="L2" i="34"/>
  <c r="Q48" i="34"/>
  <c r="M102" i="34"/>
  <c r="M76" i="34"/>
  <c r="N143" i="34"/>
  <c r="O143" i="34" s="1"/>
  <c r="Q143" i="34" s="1"/>
  <c r="N87" i="34"/>
  <c r="O87" i="34" s="1"/>
  <c r="L59" i="34"/>
  <c r="N45" i="34"/>
  <c r="O45" i="34" s="1"/>
  <c r="L152" i="34"/>
  <c r="L11" i="34"/>
  <c r="L12" i="34"/>
  <c r="M47" i="34"/>
  <c r="M46" i="34"/>
  <c r="L42" i="34"/>
  <c r="L54" i="34"/>
  <c r="L81" i="34"/>
  <c r="L20" i="34"/>
  <c r="N129" i="34"/>
  <c r="O129" i="34" s="1"/>
  <c r="N73" i="34"/>
  <c r="O73" i="34" s="1"/>
  <c r="Q73" i="34" s="1"/>
  <c r="L126" i="34"/>
  <c r="L112" i="34"/>
  <c r="J97" i="34"/>
  <c r="L97" i="34" s="1"/>
  <c r="N97" i="34"/>
  <c r="O97" i="34" s="1"/>
  <c r="J151" i="34"/>
  <c r="M21" i="34"/>
  <c r="L21" i="34"/>
  <c r="N21" i="34"/>
  <c r="O21" i="34" s="1"/>
  <c r="Q21" i="34" s="1"/>
  <c r="N107" i="34"/>
  <c r="O107" i="34" s="1"/>
  <c r="Q107" i="34" s="1"/>
  <c r="J107" i="34"/>
  <c r="L107" i="34" s="1"/>
  <c r="N93" i="34"/>
  <c r="O93" i="34" s="1"/>
  <c r="N79" i="34"/>
  <c r="O79" i="34" s="1"/>
  <c r="Q79" i="34" s="1"/>
  <c r="N65" i="34"/>
  <c r="O65" i="34" s="1"/>
  <c r="N51" i="34"/>
  <c r="O51" i="34" s="1"/>
  <c r="Q51" i="34" s="1"/>
  <c r="N37" i="34"/>
  <c r="O37" i="34" s="1"/>
  <c r="Q37" i="34" s="1"/>
  <c r="L23" i="34"/>
  <c r="R64" i="34"/>
  <c r="J69" i="34"/>
  <c r="L69" i="34" s="1"/>
  <c r="N69" i="34"/>
  <c r="O69" i="34" s="1"/>
  <c r="Q69" i="34" s="1"/>
  <c r="R91" i="34"/>
  <c r="N137" i="34"/>
  <c r="O137" i="34" s="1"/>
  <c r="J137" i="34"/>
  <c r="L137" i="34" s="1"/>
  <c r="N149" i="34"/>
  <c r="O149" i="34" s="1"/>
  <c r="J149" i="34"/>
  <c r="L149" i="34" s="1"/>
  <c r="J139" i="34"/>
  <c r="L139" i="34" s="1"/>
  <c r="N139" i="34"/>
  <c r="O139" i="34" s="1"/>
  <c r="J125" i="34"/>
  <c r="L125" i="34" s="1"/>
  <c r="N125" i="34"/>
  <c r="O125" i="34" s="1"/>
  <c r="J13" i="34"/>
  <c r="L13" i="34" s="1"/>
  <c r="N13" i="34"/>
  <c r="O13" i="34" s="1"/>
  <c r="Q13" i="34" s="1"/>
  <c r="R105" i="34"/>
  <c r="J138" i="34"/>
  <c r="L138" i="34" s="1"/>
  <c r="N138" i="34"/>
  <c r="O138" i="34" s="1"/>
  <c r="J26" i="34"/>
  <c r="L26" i="34" s="1"/>
  <c r="N26" i="34"/>
  <c r="O26" i="34" s="1"/>
  <c r="N135" i="34"/>
  <c r="O135" i="34" s="1"/>
  <c r="J135" i="34"/>
  <c r="L135" i="34" s="1"/>
  <c r="N81" i="34"/>
  <c r="O81" i="34" s="1"/>
  <c r="L49" i="34"/>
  <c r="N77" i="34"/>
  <c r="O77" i="34" s="1"/>
  <c r="N35" i="34"/>
  <c r="O35" i="34" s="1"/>
  <c r="R21" i="34"/>
  <c r="N110" i="34"/>
  <c r="O110" i="34" s="1"/>
  <c r="L133" i="34"/>
  <c r="L35" i="34"/>
  <c r="J95" i="34"/>
  <c r="L95" i="34" s="1"/>
  <c r="J41" i="34"/>
  <c r="R63" i="34"/>
  <c r="M63" i="34"/>
  <c r="N63" i="34"/>
  <c r="O63" i="34" s="1"/>
  <c r="Q63" i="34" s="1"/>
  <c r="L63" i="34"/>
  <c r="R119" i="34"/>
  <c r="N153" i="34"/>
  <c r="O153" i="34" s="1"/>
  <c r="Q153" i="34" s="1"/>
  <c r="N109" i="34"/>
  <c r="O109" i="34" s="1"/>
  <c r="L121" i="34"/>
  <c r="R106" i="34"/>
  <c r="R22" i="34"/>
  <c r="J27" i="34"/>
  <c r="L27" i="34" s="1"/>
  <c r="J96" i="34"/>
  <c r="L96" i="34" s="1"/>
  <c r="N96" i="34"/>
  <c r="O96" i="34" s="1"/>
  <c r="Q96" i="34" s="1"/>
  <c r="J40" i="34"/>
  <c r="L40" i="34" s="1"/>
  <c r="N40" i="34"/>
  <c r="O40" i="34" s="1"/>
  <c r="Q40" i="34" s="1"/>
  <c r="J123" i="34"/>
  <c r="L123" i="34" s="1"/>
  <c r="N123" i="34"/>
  <c r="O123" i="34" s="1"/>
  <c r="Q123" i="34" s="1"/>
  <c r="N39" i="34"/>
  <c r="O39" i="34" s="1"/>
  <c r="J39" i="34"/>
  <c r="L39" i="34" s="1"/>
  <c r="N55" i="34"/>
  <c r="O55" i="34" s="1"/>
  <c r="Q55" i="34" s="1"/>
  <c r="M119" i="34"/>
  <c r="N119" i="34"/>
  <c r="O119" i="34" s="1"/>
  <c r="Q119" i="34" s="1"/>
  <c r="M49" i="34"/>
  <c r="N49" i="34"/>
  <c r="O49" i="34" s="1"/>
  <c r="N54" i="34"/>
  <c r="O54" i="34" s="1"/>
  <c r="N12" i="34"/>
  <c r="O12" i="34" s="1"/>
  <c r="Q12" i="34" s="1"/>
  <c r="J53" i="34"/>
  <c r="L53" i="34" s="1"/>
  <c r="N121" i="34"/>
  <c r="O121" i="34" s="1"/>
  <c r="Q121" i="34" s="1"/>
  <c r="N83" i="34"/>
  <c r="O83" i="34" s="1"/>
  <c r="Q83" i="34" s="1"/>
  <c r="N7" i="34"/>
  <c r="O7" i="34" s="1"/>
  <c r="L51" i="34"/>
  <c r="R53" i="34"/>
  <c r="N152" i="34"/>
  <c r="O152" i="34" s="1"/>
  <c r="N105" i="34"/>
  <c r="O105" i="34" s="1"/>
  <c r="Q105" i="34" s="1"/>
  <c r="L119" i="34"/>
  <c r="L93" i="34"/>
  <c r="R50" i="34"/>
  <c r="J124" i="34"/>
  <c r="L124" i="34" s="1"/>
  <c r="N124" i="34"/>
  <c r="O124" i="34" s="1"/>
  <c r="Q124" i="34" s="1"/>
  <c r="N67" i="34"/>
  <c r="O67" i="34" s="1"/>
  <c r="Q67" i="34" s="1"/>
  <c r="J67" i="34"/>
  <c r="L67" i="34" s="1"/>
  <c r="M91" i="34"/>
  <c r="N91" i="34"/>
  <c r="O91" i="34" s="1"/>
  <c r="Q91" i="34" s="1"/>
  <c r="L9" i="34"/>
  <c r="L91" i="34"/>
  <c r="R92" i="34"/>
  <c r="J111" i="34"/>
  <c r="L111" i="34" s="1"/>
  <c r="N111" i="34"/>
  <c r="O111" i="34" s="1"/>
  <c r="Q111" i="34" s="1"/>
  <c r="J68" i="34"/>
  <c r="L68" i="34" s="1"/>
  <c r="N68" i="34"/>
  <c r="O68" i="34" s="1"/>
  <c r="R107" i="34"/>
  <c r="R51" i="34"/>
  <c r="N22" i="34"/>
  <c r="O22" i="34" s="1"/>
  <c r="J22" i="34"/>
  <c r="L22" i="34" s="1"/>
  <c r="J36" i="34"/>
  <c r="N32" i="34"/>
  <c r="O32" i="34" s="1"/>
  <c r="Q32" i="34" s="1"/>
  <c r="L32" i="34"/>
  <c r="N18" i="34"/>
  <c r="O18" i="34" s="1"/>
  <c r="L18" i="34"/>
  <c r="N4" i="34"/>
  <c r="O4" i="34" s="1"/>
  <c r="Q4" i="34" s="1"/>
  <c r="L4" i="34"/>
  <c r="N92" i="34"/>
  <c r="O92" i="34" s="1"/>
  <c r="Q92" i="34" s="1"/>
  <c r="J92" i="34"/>
  <c r="L92" i="34" s="1"/>
  <c r="N9" i="34"/>
  <c r="O9" i="34" s="1"/>
  <c r="Q9" i="34" s="1"/>
  <c r="L131" i="34"/>
  <c r="N134" i="34"/>
  <c r="O134" i="34" s="1"/>
  <c r="J134" i="34"/>
  <c r="L134" i="34" s="1"/>
  <c r="N78" i="34"/>
  <c r="O78" i="34" s="1"/>
  <c r="J78" i="34"/>
  <c r="L78" i="34" s="1"/>
  <c r="M117" i="34"/>
  <c r="M19" i="34"/>
  <c r="M75" i="34"/>
  <c r="L61" i="34"/>
  <c r="J65" i="34"/>
  <c r="L65" i="34" s="1"/>
  <c r="M74" i="34"/>
  <c r="L144" i="34"/>
  <c r="L130" i="34"/>
  <c r="L116" i="34"/>
  <c r="L102" i="34"/>
  <c r="L88" i="34"/>
  <c r="L74" i="34"/>
  <c r="L60" i="34"/>
  <c r="L46" i="34"/>
  <c r="N64" i="34"/>
  <c r="O64" i="34" s="1"/>
  <c r="Q64" i="34" s="1"/>
  <c r="J64" i="34"/>
  <c r="L64" i="34" s="1"/>
  <c r="Q59" i="34"/>
  <c r="R87" i="34"/>
  <c r="M131" i="34"/>
  <c r="M33" i="34"/>
  <c r="L89" i="34"/>
  <c r="N23" i="34"/>
  <c r="O23" i="34" s="1"/>
  <c r="N148" i="34"/>
  <c r="O148" i="34" s="1"/>
  <c r="Q148" i="34" s="1"/>
  <c r="J148" i="34"/>
  <c r="L148" i="34" s="1"/>
  <c r="N120" i="34"/>
  <c r="O120" i="34" s="1"/>
  <c r="Q120" i="34" s="1"/>
  <c r="J120" i="34"/>
  <c r="L120" i="34" s="1"/>
  <c r="N8" i="34"/>
  <c r="O8" i="34" s="1"/>
  <c r="J8" i="34"/>
  <c r="L8" i="34" s="1"/>
  <c r="L33" i="34"/>
  <c r="Q144" i="34"/>
  <c r="Q88" i="34"/>
  <c r="Q74" i="34"/>
  <c r="Q60" i="34"/>
  <c r="M116" i="34"/>
  <c r="M18" i="34"/>
  <c r="Q56" i="34"/>
  <c r="Q42" i="34"/>
  <c r="Q14" i="34"/>
  <c r="M130" i="34"/>
  <c r="M32" i="34"/>
  <c r="L87" i="34"/>
  <c r="N106" i="34"/>
  <c r="O106" i="34" s="1"/>
  <c r="Q106" i="34" s="1"/>
  <c r="J106" i="34"/>
  <c r="L106" i="34" s="1"/>
  <c r="R143" i="34"/>
  <c r="M89" i="34"/>
  <c r="L145" i="34"/>
  <c r="L117" i="34"/>
  <c r="L19" i="34"/>
  <c r="J37" i="34"/>
  <c r="L37" i="34" s="1"/>
  <c r="J50" i="34"/>
  <c r="Q130" i="34"/>
  <c r="R124" i="34"/>
  <c r="R96" i="34"/>
  <c r="R12" i="34"/>
  <c r="M88" i="34"/>
  <c r="J79" i="34"/>
  <c r="L79" i="34" s="1"/>
  <c r="N154" i="34"/>
  <c r="O154" i="34" s="1"/>
  <c r="N140" i="34"/>
  <c r="O140" i="34" s="1"/>
  <c r="Q140" i="34" s="1"/>
  <c r="N126" i="34"/>
  <c r="O126" i="34" s="1"/>
  <c r="N112" i="34"/>
  <c r="O112" i="34" s="1"/>
  <c r="Q112" i="34" s="1"/>
  <c r="R142" i="34"/>
  <c r="N150" i="34"/>
  <c r="O150" i="34" s="1"/>
  <c r="Q150" i="34" s="1"/>
  <c r="N136" i="34"/>
  <c r="O136" i="34" s="1"/>
  <c r="N122" i="34"/>
  <c r="O122" i="34" s="1"/>
  <c r="Q122" i="34" s="1"/>
  <c r="N108" i="34"/>
  <c r="O108" i="34" s="1"/>
  <c r="Q108" i="34" s="1"/>
  <c r="N94" i="34"/>
  <c r="O94" i="34" s="1"/>
  <c r="N80" i="34"/>
  <c r="O80" i="34" s="1"/>
  <c r="Q80" i="34" s="1"/>
  <c r="N38" i="34"/>
  <c r="O38" i="34" s="1"/>
  <c r="N24" i="34"/>
  <c r="O24" i="34" s="1"/>
  <c r="Q24" i="34" s="1"/>
  <c r="N10" i="34"/>
  <c r="O10" i="34" s="1"/>
  <c r="R140" i="34"/>
  <c r="R112" i="34"/>
  <c r="R56" i="34"/>
  <c r="R42" i="34"/>
  <c r="R14" i="34"/>
  <c r="X256" i="10"/>
  <c r="AA256" i="10"/>
  <c r="Y152" i="10"/>
  <c r="Z152" i="10" s="1"/>
  <c r="Y185" i="10"/>
  <c r="Z185" i="10" s="1"/>
  <c r="Y28" i="10"/>
  <c r="Z28" i="10" s="1"/>
  <c r="V108" i="10"/>
  <c r="S128" i="10"/>
  <c r="T128" i="10" s="1"/>
  <c r="S220" i="10"/>
  <c r="T220" i="10" s="1"/>
  <c r="M261" i="10"/>
  <c r="N261" i="10" s="1"/>
  <c r="O261" i="10" s="1"/>
  <c r="M113" i="10"/>
  <c r="N113" i="10" s="1"/>
  <c r="O113" i="10" s="1"/>
  <c r="Z26" i="10"/>
  <c r="Y46" i="10"/>
  <c r="W46" i="10" s="1"/>
  <c r="Y17" i="10"/>
  <c r="Z17" i="10" s="1"/>
  <c r="Y2" i="10"/>
  <c r="Z2" i="10" s="1"/>
  <c r="V185" i="10"/>
  <c r="W216" i="10"/>
  <c r="X216" i="10" s="1"/>
  <c r="P182" i="10"/>
  <c r="P28" i="10"/>
  <c r="T97" i="10"/>
  <c r="P76" i="10"/>
  <c r="P226" i="10"/>
  <c r="P170" i="10"/>
  <c r="W161" i="10"/>
  <c r="V103" i="10"/>
  <c r="W103" i="10" s="1"/>
  <c r="V74" i="10"/>
  <c r="W74" i="10" s="1"/>
  <c r="X74" i="10" s="1"/>
  <c r="V208" i="10"/>
  <c r="W208" i="10" s="1"/>
  <c r="AA208" i="10" s="1"/>
  <c r="V205" i="10"/>
  <c r="V101" i="10"/>
  <c r="W101" i="10" s="1"/>
  <c r="V94" i="10"/>
  <c r="V91" i="10"/>
  <c r="V127" i="10"/>
  <c r="W127" i="10" s="1"/>
  <c r="X127" i="10" s="1"/>
  <c r="V191" i="10"/>
  <c r="W191" i="10" s="1"/>
  <c r="X191" i="10" s="1"/>
  <c r="V105" i="10"/>
  <c r="V41" i="10"/>
  <c r="V145" i="10"/>
  <c r="V118" i="10"/>
  <c r="V220" i="10"/>
  <c r="W220" i="10" s="1"/>
  <c r="V93" i="10"/>
  <c r="W93" i="10" s="1"/>
  <c r="AA93" i="10" s="1"/>
  <c r="S101" i="10"/>
  <c r="T101" i="10" s="1"/>
  <c r="S105" i="10"/>
  <c r="T105" i="10" s="1"/>
  <c r="S145" i="10"/>
  <c r="T145" i="10" s="1"/>
  <c r="P12" i="10"/>
  <c r="M84" i="10"/>
  <c r="N84" i="10" s="1"/>
  <c r="O84" i="10" s="1"/>
  <c r="M94" i="10"/>
  <c r="N94" i="10" s="1"/>
  <c r="O94" i="10" s="1"/>
  <c r="Z74" i="10"/>
  <c r="Y192" i="10"/>
  <c r="Z192" i="10" s="1"/>
  <c r="V26" i="10"/>
  <c r="W26" i="10" s="1"/>
  <c r="X26" i="10" s="1"/>
  <c r="V84" i="10"/>
  <c r="W84" i="10" s="1"/>
  <c r="V238" i="10"/>
  <c r="W238" i="10" s="1"/>
  <c r="V96" i="10"/>
  <c r="V212" i="10"/>
  <c r="W212" i="10" s="1"/>
  <c r="AA212" i="10" s="1"/>
  <c r="V195" i="10"/>
  <c r="W195" i="10" s="1"/>
  <c r="S46" i="10"/>
  <c r="T46" i="10" s="1"/>
  <c r="S103" i="10"/>
  <c r="T103" i="10" s="1"/>
  <c r="T237" i="10"/>
  <c r="S273" i="10"/>
  <c r="T273" i="10" s="1"/>
  <c r="S151" i="10"/>
  <c r="T151" i="10" s="1"/>
  <c r="S204" i="10"/>
  <c r="T204" i="10" s="1"/>
  <c r="S66" i="10"/>
  <c r="T66" i="10" s="1"/>
  <c r="S61" i="10"/>
  <c r="T61" i="10" s="1"/>
  <c r="S252" i="10"/>
  <c r="T252" i="10" s="1"/>
  <c r="S39" i="10"/>
  <c r="T39" i="10" s="1"/>
  <c r="V130" i="10"/>
  <c r="V190" i="10"/>
  <c r="V142" i="10"/>
  <c r="M264" i="10"/>
  <c r="N264" i="10" s="1"/>
  <c r="O264" i="10" s="1"/>
  <c r="Y76" i="10"/>
  <c r="Z76" i="10" s="1"/>
  <c r="Y62" i="10"/>
  <c r="Z62" i="10" s="1"/>
  <c r="Y231" i="10"/>
  <c r="Z231" i="10" s="1"/>
  <c r="Y149" i="10"/>
  <c r="Z149" i="10" s="1"/>
  <c r="V152" i="10"/>
  <c r="V255" i="10"/>
  <c r="W255" i="10" s="1"/>
  <c r="S106" i="10"/>
  <c r="T106" i="10" s="1"/>
  <c r="S118" i="10"/>
  <c r="T118" i="10" s="1"/>
  <c r="S83" i="10"/>
  <c r="T83" i="10" s="1"/>
  <c r="S70" i="10"/>
  <c r="T70" i="10" s="1"/>
  <c r="S266" i="10"/>
  <c r="T266" i="10" s="1"/>
  <c r="S242" i="10"/>
  <c r="T242" i="10" s="1"/>
  <c r="S203" i="10"/>
  <c r="T203" i="10" s="1"/>
  <c r="S60" i="10"/>
  <c r="T60" i="10" s="1"/>
  <c r="S240" i="10"/>
  <c r="T240" i="10" s="1"/>
  <c r="S122" i="10"/>
  <c r="T122" i="10" s="1"/>
  <c r="V194" i="10"/>
  <c r="W194" i="10" s="1"/>
  <c r="S137" i="10"/>
  <c r="T137" i="10" s="1"/>
  <c r="S107" i="10"/>
  <c r="T107" i="10" s="1"/>
  <c r="S38" i="10"/>
  <c r="T38" i="10" s="1"/>
  <c r="V198" i="10"/>
  <c r="S223" i="10"/>
  <c r="T223" i="10" s="1"/>
  <c r="S16" i="10"/>
  <c r="T16" i="10" s="1"/>
  <c r="S117" i="10"/>
  <c r="T117" i="10" s="1"/>
  <c r="P234" i="10"/>
  <c r="P216" i="10"/>
  <c r="P2" i="10"/>
  <c r="Y246" i="10"/>
  <c r="Z246" i="10" s="1"/>
  <c r="Y162" i="10"/>
  <c r="Z162" i="10" s="1"/>
  <c r="Y219" i="10"/>
  <c r="Z219" i="10" s="1"/>
  <c r="Y12" i="10"/>
  <c r="Z12" i="10" s="1"/>
  <c r="Y5" i="10"/>
  <c r="W5" i="10" s="1"/>
  <c r="W242" i="10"/>
  <c r="X242" i="10" s="1"/>
  <c r="S233" i="10"/>
  <c r="T233" i="10" s="1"/>
  <c r="T76" i="10"/>
  <c r="T235" i="10"/>
  <c r="T184" i="10"/>
  <c r="T246" i="10"/>
  <c r="T215" i="10"/>
  <c r="T226" i="10"/>
  <c r="T62" i="10"/>
  <c r="T114" i="10"/>
  <c r="T170" i="10"/>
  <c r="T162" i="10"/>
  <c r="T172" i="10"/>
  <c r="T219" i="10"/>
  <c r="T216" i="10"/>
  <c r="T28" i="10"/>
  <c r="T241" i="10"/>
  <c r="T12" i="10"/>
  <c r="T192" i="10"/>
  <c r="T2" i="10"/>
  <c r="W106" i="10"/>
  <c r="X106" i="10" s="1"/>
  <c r="S59" i="10"/>
  <c r="T59" i="10" s="1"/>
  <c r="S182" i="10"/>
  <c r="T182" i="10" s="1"/>
  <c r="V247" i="10"/>
  <c r="P215" i="10"/>
  <c r="Y94" i="10"/>
  <c r="Z94" i="10" s="1"/>
  <c r="V210" i="10"/>
  <c r="W217" i="10"/>
  <c r="X217" i="10" s="1"/>
  <c r="V265" i="10"/>
  <c r="W265" i="10" s="1"/>
  <c r="V209" i="10"/>
  <c r="W209" i="10" s="1"/>
  <c r="AA209" i="10" s="1"/>
  <c r="P114" i="10"/>
  <c r="P219" i="10"/>
  <c r="W89" i="10"/>
  <c r="Y210" i="10"/>
  <c r="Y41" i="10"/>
  <c r="Z41" i="10" s="1"/>
  <c r="Y248" i="10"/>
  <c r="Z248" i="10" s="1"/>
  <c r="W82" i="10"/>
  <c r="X82" i="10" s="1"/>
  <c r="W69" i="10"/>
  <c r="AA69" i="10" s="1"/>
  <c r="W104" i="10"/>
  <c r="X104" i="10" s="1"/>
  <c r="W197" i="10"/>
  <c r="AA197" i="10" s="1"/>
  <c r="W245" i="10"/>
  <c r="AA245" i="10" s="1"/>
  <c r="S208" i="10"/>
  <c r="T208" i="10" s="1"/>
  <c r="P106" i="10"/>
  <c r="P241" i="10"/>
  <c r="W259" i="10"/>
  <c r="X259" i="10" s="1"/>
  <c r="Y72" i="10"/>
  <c r="W72" i="10" s="1"/>
  <c r="X72" i="10" s="1"/>
  <c r="Y184" i="10"/>
  <c r="Z184" i="10" s="1"/>
  <c r="Y255" i="10"/>
  <c r="Z255" i="10" s="1"/>
  <c r="W172" i="10"/>
  <c r="X172" i="10" s="1"/>
  <c r="V10" i="10"/>
  <c r="W10" i="10" s="1"/>
  <c r="W131" i="10"/>
  <c r="AA131" i="10" s="1"/>
  <c r="W260" i="10"/>
  <c r="AA260" i="10" s="1"/>
  <c r="P235" i="10"/>
  <c r="P162" i="10"/>
  <c r="Y234" i="10"/>
  <c r="Z234" i="10" s="1"/>
  <c r="Y96" i="10"/>
  <c r="Z96" i="10" s="1"/>
  <c r="Y226" i="10"/>
  <c r="Z226" i="10" s="1"/>
  <c r="Y48" i="10"/>
  <c r="Z48" i="10" s="1"/>
  <c r="Y134" i="10"/>
  <c r="Z134" i="10" s="1"/>
  <c r="Y241" i="10"/>
  <c r="Z241" i="10" s="1"/>
  <c r="W144" i="10"/>
  <c r="X144" i="10" s="1"/>
  <c r="V134" i="10"/>
  <c r="W132" i="10"/>
  <c r="W230" i="10"/>
  <c r="X230" i="10" s="1"/>
  <c r="S149" i="10"/>
  <c r="T149" i="10" s="1"/>
  <c r="S84" i="10"/>
  <c r="T84" i="10" s="1"/>
  <c r="P192" i="10"/>
  <c r="Y170" i="10"/>
  <c r="Z170" i="10" s="1"/>
  <c r="W187" i="10"/>
  <c r="X187" i="10" s="1"/>
  <c r="W2" i="10"/>
  <c r="X2" i="10" s="1"/>
  <c r="P272" i="10"/>
  <c r="P246" i="10"/>
  <c r="W215" i="10"/>
  <c r="X215" i="10" s="1"/>
  <c r="V202" i="10"/>
  <c r="W202" i="10" s="1"/>
  <c r="AA202" i="10" s="1"/>
  <c r="P82" i="10"/>
  <c r="P221" i="10"/>
  <c r="P62" i="10"/>
  <c r="P48" i="10"/>
  <c r="X244" i="10"/>
  <c r="AA244" i="10"/>
  <c r="AA121" i="10"/>
  <c r="X121" i="10"/>
  <c r="X101" i="10"/>
  <c r="AA101" i="10"/>
  <c r="X93" i="10"/>
  <c r="Z238" i="10"/>
  <c r="Z37" i="10"/>
  <c r="W210" i="10"/>
  <c r="Y204" i="10"/>
  <c r="Z204" i="10" s="1"/>
  <c r="W189" i="10"/>
  <c r="W20" i="10"/>
  <c r="V234" i="10"/>
  <c r="P271" i="10"/>
  <c r="M271" i="10"/>
  <c r="N271" i="10" s="1"/>
  <c r="O271" i="10" s="1"/>
  <c r="P111" i="10"/>
  <c r="M111" i="10"/>
  <c r="N111" i="10" s="1"/>
  <c r="O111" i="10" s="1"/>
  <c r="M207" i="10"/>
  <c r="N207" i="10" s="1"/>
  <c r="O207" i="10" s="1"/>
  <c r="P207" i="10"/>
  <c r="M200" i="10"/>
  <c r="N200" i="10" s="1"/>
  <c r="O200" i="10" s="1"/>
  <c r="P200" i="10"/>
  <c r="M222" i="10"/>
  <c r="N222" i="10" s="1"/>
  <c r="O222" i="10" s="1"/>
  <c r="P222" i="10"/>
  <c r="P150" i="10"/>
  <c r="M150" i="10"/>
  <c r="N150" i="10" s="1"/>
  <c r="O150" i="10" s="1"/>
  <c r="P57" i="10"/>
  <c r="T57" i="10"/>
  <c r="M57" i="10"/>
  <c r="N57" i="10" s="1"/>
  <c r="O57" i="10" s="1"/>
  <c r="M228" i="10"/>
  <c r="N228" i="10" s="1"/>
  <c r="O228" i="10" s="1"/>
  <c r="P228" i="10"/>
  <c r="M44" i="10"/>
  <c r="N44" i="10" s="1"/>
  <c r="O44" i="10" s="1"/>
  <c r="P44" i="10"/>
  <c r="M32" i="10"/>
  <c r="N32" i="10" s="1"/>
  <c r="O32" i="10" s="1"/>
  <c r="P32" i="10"/>
  <c r="P23" i="10"/>
  <c r="M23" i="10"/>
  <c r="N23" i="10" s="1"/>
  <c r="O23" i="10" s="1"/>
  <c r="P15" i="10"/>
  <c r="M15" i="10"/>
  <c r="N15" i="10" s="1"/>
  <c r="O15" i="10" s="1"/>
  <c r="M112" i="10"/>
  <c r="N112" i="10" s="1"/>
  <c r="O112" i="10" s="1"/>
  <c r="P112" i="10"/>
  <c r="Z265" i="10"/>
  <c r="Y272" i="10"/>
  <c r="Z272" i="10" s="1"/>
  <c r="Y130" i="10"/>
  <c r="Z130" i="10" s="1"/>
  <c r="V261" i="10"/>
  <c r="W261" i="10" s="1"/>
  <c r="AA261" i="10" s="1"/>
  <c r="S194" i="10"/>
  <c r="T194" i="10" s="1"/>
  <c r="M80" i="10"/>
  <c r="N80" i="10" s="1"/>
  <c r="O80" i="10" s="1"/>
  <c r="Y200" i="10"/>
  <c r="Z200" i="10" s="1"/>
  <c r="Y122" i="10"/>
  <c r="Z122" i="10" s="1"/>
  <c r="Y53" i="10"/>
  <c r="Z53" i="10" s="1"/>
  <c r="Y198" i="10"/>
  <c r="Z198" i="10" s="1"/>
  <c r="Y142" i="10"/>
  <c r="Z142" i="10" s="1"/>
  <c r="W109" i="10"/>
  <c r="S55" i="10"/>
  <c r="T55" i="10" s="1"/>
  <c r="T207" i="10"/>
  <c r="Y39" i="10"/>
  <c r="Z39" i="10" s="1"/>
  <c r="W102" i="10"/>
  <c r="X102" i="10" s="1"/>
  <c r="V60" i="10"/>
  <c r="V250" i="10"/>
  <c r="Z95" i="10"/>
  <c r="S71" i="10"/>
  <c r="T71" i="10" s="1"/>
  <c r="Y71" i="10"/>
  <c r="Z71" i="10" s="1"/>
  <c r="S171" i="10"/>
  <c r="T171" i="10" s="1"/>
  <c r="Y171" i="10"/>
  <c r="Z171" i="10" s="1"/>
  <c r="S98" i="10"/>
  <c r="T98" i="10" s="1"/>
  <c r="Y98" i="10"/>
  <c r="Z98" i="10" s="1"/>
  <c r="S174" i="10"/>
  <c r="T174" i="10" s="1"/>
  <c r="Y174" i="10"/>
  <c r="Z174" i="10" s="1"/>
  <c r="S156" i="10"/>
  <c r="T156" i="10" s="1"/>
  <c r="V156" i="10"/>
  <c r="W156" i="10" s="1"/>
  <c r="AA156" i="10" s="1"/>
  <c r="Y116" i="10"/>
  <c r="Z116" i="10" s="1"/>
  <c r="S116" i="10"/>
  <c r="T116" i="10" s="1"/>
  <c r="S126" i="10"/>
  <c r="T126" i="10" s="1"/>
  <c r="Y126" i="10"/>
  <c r="S190" i="10"/>
  <c r="T190" i="10" s="1"/>
  <c r="Y190" i="10"/>
  <c r="Z190" i="10" s="1"/>
  <c r="S9" i="10"/>
  <c r="T9" i="10" s="1"/>
  <c r="V9" i="10"/>
  <c r="W9" i="10" s="1"/>
  <c r="Y4" i="10"/>
  <c r="Z4" i="10" s="1"/>
  <c r="S4" i="10"/>
  <c r="T4" i="10" s="1"/>
  <c r="W83" i="10"/>
  <c r="X83" i="10" s="1"/>
  <c r="W184" i="10"/>
  <c r="X184" i="10" s="1"/>
  <c r="W133" i="10"/>
  <c r="AA133" i="10" s="1"/>
  <c r="W76" i="10"/>
  <c r="X76" i="10" s="1"/>
  <c r="W114" i="10"/>
  <c r="S100" i="10"/>
  <c r="T100" i="10" s="1"/>
  <c r="V100" i="10"/>
  <c r="W100" i="10" s="1"/>
  <c r="X100" i="10" s="1"/>
  <c r="M99" i="10"/>
  <c r="N99" i="10" s="1"/>
  <c r="O99" i="10" s="1"/>
  <c r="M189" i="10"/>
  <c r="N189" i="10" s="1"/>
  <c r="O189" i="10" s="1"/>
  <c r="AA143" i="10"/>
  <c r="X143" i="10"/>
  <c r="S113" i="10"/>
  <c r="T113" i="10" s="1"/>
  <c r="V113" i="10"/>
  <c r="W113" i="10" s="1"/>
  <c r="V159" i="10"/>
  <c r="Y159" i="10"/>
  <c r="Z159" i="10" s="1"/>
  <c r="S159" i="10"/>
  <c r="T159" i="10" s="1"/>
  <c r="S148" i="10"/>
  <c r="T148" i="10" s="1"/>
  <c r="V148" i="10"/>
  <c r="V45" i="10"/>
  <c r="Y45" i="10"/>
  <c r="Z45" i="10" s="1"/>
  <c r="S45" i="10"/>
  <c r="T45" i="10" s="1"/>
  <c r="S211" i="10"/>
  <c r="T211" i="10" s="1"/>
  <c r="V211" i="10"/>
  <c r="W247" i="10"/>
  <c r="X247" i="10" s="1"/>
  <c r="S250" i="10"/>
  <c r="T250" i="10" s="1"/>
  <c r="W65" i="10"/>
  <c r="X65" i="10" s="1"/>
  <c r="Z209" i="10"/>
  <c r="Y266" i="10"/>
  <c r="Z99" i="10"/>
  <c r="Y60" i="10"/>
  <c r="Z60" i="10" s="1"/>
  <c r="W223" i="10"/>
  <c r="AA223" i="10" s="1"/>
  <c r="W251" i="10"/>
  <c r="AA251" i="10" s="1"/>
  <c r="Z55" i="10"/>
  <c r="W205" i="10"/>
  <c r="Y66" i="10"/>
  <c r="Z66" i="10" s="1"/>
  <c r="Y59" i="10"/>
  <c r="Y150" i="10"/>
  <c r="Z150" i="10" s="1"/>
  <c r="Y137" i="10"/>
  <c r="Y112" i="10"/>
  <c r="Z112" i="10" s="1"/>
  <c r="W17" i="10"/>
  <c r="X17" i="10" s="1"/>
  <c r="W24" i="10"/>
  <c r="X24" i="10" s="1"/>
  <c r="W68" i="10"/>
  <c r="X68" i="10" s="1"/>
  <c r="Z68" i="10"/>
  <c r="AA144" i="10"/>
  <c r="Z178" i="10"/>
  <c r="Z143" i="10"/>
  <c r="Y148" i="10"/>
  <c r="Z148" i="10" s="1"/>
  <c r="Y44" i="10"/>
  <c r="Y16" i="10"/>
  <c r="Z16" i="10" s="1"/>
  <c r="V55" i="10"/>
  <c r="W55" i="10" s="1"/>
  <c r="T271" i="10"/>
  <c r="T15" i="10"/>
  <c r="Y70" i="10"/>
  <c r="Z70" i="10" s="1"/>
  <c r="Y111" i="10"/>
  <c r="Z111" i="10" s="1"/>
  <c r="V70" i="10"/>
  <c r="W70" i="10" s="1"/>
  <c r="X70" i="10" s="1"/>
  <c r="V266" i="10"/>
  <c r="V262" i="10"/>
  <c r="W262" i="10" s="1"/>
  <c r="X262" i="10" s="1"/>
  <c r="V240" i="10"/>
  <c r="W240" i="10" s="1"/>
  <c r="X240" i="10" s="1"/>
  <c r="P167" i="10"/>
  <c r="X73" i="10"/>
  <c r="T23" i="10"/>
  <c r="P73" i="10"/>
  <c r="P209" i="10"/>
  <c r="P232" i="10"/>
  <c r="P55" i="10"/>
  <c r="P253" i="10"/>
  <c r="P132" i="10"/>
  <c r="M265" i="10"/>
  <c r="N265" i="10" s="1"/>
  <c r="O265" i="10" s="1"/>
  <c r="M159" i="10"/>
  <c r="N159" i="10" s="1"/>
  <c r="O159" i="10" s="1"/>
  <c r="M89" i="10"/>
  <c r="N89" i="10" s="1"/>
  <c r="O89" i="10" s="1"/>
  <c r="X89" i="10" s="1"/>
  <c r="T53" i="10"/>
  <c r="P72" i="10"/>
  <c r="P231" i="10"/>
  <c r="P128" i="10"/>
  <c r="M203" i="10"/>
  <c r="N203" i="10" s="1"/>
  <c r="O203" i="10" s="1"/>
  <c r="M107" i="10"/>
  <c r="N107" i="10" s="1"/>
  <c r="O107" i="10" s="1"/>
  <c r="M120" i="10"/>
  <c r="N120" i="10" s="1"/>
  <c r="O120" i="10" s="1"/>
  <c r="W264" i="10"/>
  <c r="V273" i="10"/>
  <c r="W273" i="10" s="1"/>
  <c r="V71" i="10"/>
  <c r="V171" i="10"/>
  <c r="V151" i="10"/>
  <c r="W151" i="10" s="1"/>
  <c r="V98" i="10"/>
  <c r="V204" i="10"/>
  <c r="V66" i="10"/>
  <c r="V61" i="10"/>
  <c r="W61" i="10" s="1"/>
  <c r="X61" i="10" s="1"/>
  <c r="V174" i="10"/>
  <c r="P71" i="10"/>
  <c r="P174" i="10"/>
  <c r="P126" i="10"/>
  <c r="M202" i="10"/>
  <c r="N202" i="10" s="1"/>
  <c r="O202" i="10" s="1"/>
  <c r="M45" i="10"/>
  <c r="N45" i="10" s="1"/>
  <c r="O45" i="10" s="1"/>
  <c r="M236" i="10"/>
  <c r="N236" i="10" s="1"/>
  <c r="O236" i="10" s="1"/>
  <c r="X236" i="10" s="1"/>
  <c r="T32" i="10"/>
  <c r="W64" i="10"/>
  <c r="X64" i="10" s="1"/>
  <c r="W160" i="10"/>
  <c r="AA160" i="10" s="1"/>
  <c r="W92" i="10"/>
  <c r="X92" i="10" s="1"/>
  <c r="W139" i="10"/>
  <c r="X139" i="10" s="1"/>
  <c r="W218" i="10"/>
  <c r="X218" i="10" s="1"/>
  <c r="W25" i="10"/>
  <c r="W110" i="10"/>
  <c r="AA110" i="10" s="1"/>
  <c r="W136" i="10"/>
  <c r="P83" i="10"/>
  <c r="W243" i="10"/>
  <c r="X243" i="10" s="1"/>
  <c r="W249" i="10"/>
  <c r="T36" i="10"/>
  <c r="S265" i="10"/>
  <c r="T265" i="10" s="1"/>
  <c r="S209" i="10"/>
  <c r="T209" i="10" s="1"/>
  <c r="S261" i="10"/>
  <c r="T261" i="10" s="1"/>
  <c r="S202" i="10"/>
  <c r="T202" i="10" s="1"/>
  <c r="W271" i="10"/>
  <c r="AA271" i="10" s="1"/>
  <c r="W207" i="10"/>
  <c r="W167" i="10"/>
  <c r="AA167" i="10" s="1"/>
  <c r="W57" i="10"/>
  <c r="AA57" i="10" s="1"/>
  <c r="W228" i="10"/>
  <c r="AA228" i="10" s="1"/>
  <c r="W36" i="10"/>
  <c r="X36" i="10" s="1"/>
  <c r="W23" i="10"/>
  <c r="W15" i="10"/>
  <c r="AA15" i="10" s="1"/>
  <c r="T150" i="10"/>
  <c r="T189" i="10"/>
  <c r="T44" i="10"/>
  <c r="T80" i="10"/>
  <c r="T99" i="10"/>
  <c r="W177" i="10"/>
  <c r="X177" i="10" s="1"/>
  <c r="W77" i="10"/>
  <c r="X77" i="10" s="1"/>
  <c r="W268" i="10"/>
  <c r="AA268" i="10" s="1"/>
  <c r="W168" i="10"/>
  <c r="AA168" i="10" s="1"/>
  <c r="W263" i="10"/>
  <c r="W180" i="10"/>
  <c r="X180" i="10" s="1"/>
  <c r="W214" i="10"/>
  <c r="AA214" i="10" s="1"/>
  <c r="W63" i="10"/>
  <c r="AA63" i="10" s="1"/>
  <c r="W164" i="10"/>
  <c r="W123" i="10"/>
  <c r="X123" i="10" s="1"/>
  <c r="W155" i="10"/>
  <c r="AA155" i="10" s="1"/>
  <c r="W51" i="10"/>
  <c r="X51" i="10" s="1"/>
  <c r="W147" i="10"/>
  <c r="X147" i="10" s="1"/>
  <c r="W119" i="10"/>
  <c r="AA119" i="10" s="1"/>
  <c r="W33" i="10"/>
  <c r="AA33" i="10" s="1"/>
  <c r="W29" i="10"/>
  <c r="AA29" i="10" s="1"/>
  <c r="T222" i="10"/>
  <c r="T79" i="10"/>
  <c r="T181" i="10"/>
  <c r="T43" i="10"/>
  <c r="T14" i="10"/>
  <c r="S72" i="10"/>
  <c r="T72" i="10" s="1"/>
  <c r="S238" i="10"/>
  <c r="T238" i="10" s="1"/>
  <c r="S152" i="10"/>
  <c r="T152" i="10" s="1"/>
  <c r="S212" i="10"/>
  <c r="T212" i="10" s="1"/>
  <c r="AA84" i="10"/>
  <c r="M229" i="10"/>
  <c r="N229" i="10" s="1"/>
  <c r="O229" i="10" s="1"/>
  <c r="P229" i="10"/>
  <c r="Y229" i="10"/>
  <c r="M58" i="10"/>
  <c r="N58" i="10" s="1"/>
  <c r="O58" i="10" s="1"/>
  <c r="P58" i="10"/>
  <c r="Y58" i="10"/>
  <c r="Z58" i="10" s="1"/>
  <c r="M22" i="10"/>
  <c r="N22" i="10" s="1"/>
  <c r="O22" i="10" s="1"/>
  <c r="P22" i="10"/>
  <c r="Y22" i="10"/>
  <c r="Z22" i="10" s="1"/>
  <c r="M237" i="10"/>
  <c r="N237" i="10" s="1"/>
  <c r="O237" i="10" s="1"/>
  <c r="P237" i="10"/>
  <c r="Y237" i="10"/>
  <c r="Z237" i="10" s="1"/>
  <c r="M115" i="10"/>
  <c r="N115" i="10" s="1"/>
  <c r="O115" i="10" s="1"/>
  <c r="P115" i="10"/>
  <c r="Y115" i="10"/>
  <c r="Z115" i="10" s="1"/>
  <c r="M42" i="10"/>
  <c r="N42" i="10" s="1"/>
  <c r="O42" i="10" s="1"/>
  <c r="P42" i="10"/>
  <c r="Y42" i="10"/>
  <c r="Z42" i="10" s="1"/>
  <c r="X239" i="10"/>
  <c r="AA239" i="10"/>
  <c r="AA100" i="10"/>
  <c r="AA217" i="10"/>
  <c r="M199" i="10"/>
  <c r="N199" i="10" s="1"/>
  <c r="O199" i="10" s="1"/>
  <c r="P199" i="10"/>
  <c r="Y199" i="10"/>
  <c r="Z199" i="10" s="1"/>
  <c r="M183" i="10"/>
  <c r="N183" i="10" s="1"/>
  <c r="O183" i="10" s="1"/>
  <c r="P183" i="10"/>
  <c r="Y183" i="10"/>
  <c r="Z183" i="10" s="1"/>
  <c r="M135" i="10"/>
  <c r="N135" i="10" s="1"/>
  <c r="O135" i="10" s="1"/>
  <c r="P135" i="10"/>
  <c r="Y135" i="10"/>
  <c r="M3" i="10"/>
  <c r="N3" i="10" s="1"/>
  <c r="O3" i="10" s="1"/>
  <c r="P3" i="10"/>
  <c r="Y3" i="10"/>
  <c r="Z3" i="10" s="1"/>
  <c r="X163" i="10"/>
  <c r="AA163" i="10"/>
  <c r="X132" i="10"/>
  <c r="AA132" i="10"/>
  <c r="M270" i="10"/>
  <c r="N270" i="10" s="1"/>
  <c r="O270" i="10" s="1"/>
  <c r="P270" i="10"/>
  <c r="Y270" i="10"/>
  <c r="Z270" i="10" s="1"/>
  <c r="M49" i="10"/>
  <c r="N49" i="10" s="1"/>
  <c r="O49" i="10" s="1"/>
  <c r="P49" i="10"/>
  <c r="Y49" i="10"/>
  <c r="Z49" i="10" s="1"/>
  <c r="M269" i="10"/>
  <c r="N269" i="10" s="1"/>
  <c r="O269" i="10" s="1"/>
  <c r="P269" i="10"/>
  <c r="Y269" i="10"/>
  <c r="Z269" i="10" s="1"/>
  <c r="M30" i="10"/>
  <c r="N30" i="10" s="1"/>
  <c r="O30" i="10" s="1"/>
  <c r="P30" i="10"/>
  <c r="Y30" i="10"/>
  <c r="Z30" i="10" s="1"/>
  <c r="AA106" i="10"/>
  <c r="Z252" i="10"/>
  <c r="W252" i="10"/>
  <c r="AA95" i="10"/>
  <c r="X95" i="10"/>
  <c r="X194" i="10"/>
  <c r="AA194" i="10"/>
  <c r="M166" i="10"/>
  <c r="N166" i="10" s="1"/>
  <c r="O166" i="10" s="1"/>
  <c r="P166" i="10"/>
  <c r="Y166" i="10"/>
  <c r="Z166" i="10" s="1"/>
  <c r="M35" i="10"/>
  <c r="N35" i="10" s="1"/>
  <c r="O35" i="10" s="1"/>
  <c r="P35" i="10"/>
  <c r="Y35" i="10"/>
  <c r="Z35" i="10" s="1"/>
  <c r="M78" i="10"/>
  <c r="N78" i="10" s="1"/>
  <c r="O78" i="10" s="1"/>
  <c r="P78" i="10"/>
  <c r="Y78" i="10"/>
  <c r="Z78" i="10" s="1"/>
  <c r="M124" i="10"/>
  <c r="N124" i="10" s="1"/>
  <c r="O124" i="10" s="1"/>
  <c r="P124" i="10"/>
  <c r="Y124" i="10"/>
  <c r="Z124" i="10" s="1"/>
  <c r="Z203" i="10"/>
  <c r="W203" i="10"/>
  <c r="X55" i="10"/>
  <c r="AA55" i="10"/>
  <c r="M206" i="10"/>
  <c r="N206" i="10" s="1"/>
  <c r="O206" i="10" s="1"/>
  <c r="P206" i="10"/>
  <c r="Y206" i="10"/>
  <c r="Z206" i="10" s="1"/>
  <c r="M176" i="10"/>
  <c r="N176" i="10" s="1"/>
  <c r="O176" i="10" s="1"/>
  <c r="P176" i="10"/>
  <c r="Y176" i="10"/>
  <c r="Z176" i="10" s="1"/>
  <c r="M8" i="10"/>
  <c r="N8" i="10" s="1"/>
  <c r="O8" i="10" s="1"/>
  <c r="P8" i="10"/>
  <c r="Y8" i="10"/>
  <c r="M165" i="10"/>
  <c r="N165" i="10" s="1"/>
  <c r="O165" i="10" s="1"/>
  <c r="P165" i="10"/>
  <c r="Y165" i="10"/>
  <c r="Z165" i="10" s="1"/>
  <c r="M52" i="10"/>
  <c r="N52" i="10" s="1"/>
  <c r="O52" i="10" s="1"/>
  <c r="P52" i="10"/>
  <c r="Y52" i="10"/>
  <c r="Z52" i="10" s="1"/>
  <c r="M21" i="10"/>
  <c r="N21" i="10" s="1"/>
  <c r="O21" i="10" s="1"/>
  <c r="P21" i="10"/>
  <c r="Y21" i="10"/>
  <c r="Z21" i="10" s="1"/>
  <c r="W235" i="10"/>
  <c r="AA89" i="10"/>
  <c r="AA104" i="10"/>
  <c r="M31" i="10"/>
  <c r="N31" i="10" s="1"/>
  <c r="O31" i="10" s="1"/>
  <c r="P31" i="10"/>
  <c r="Y31" i="10"/>
  <c r="Z31" i="10" s="1"/>
  <c r="M196" i="10"/>
  <c r="N196" i="10" s="1"/>
  <c r="O196" i="10" s="1"/>
  <c r="P196" i="10"/>
  <c r="Y196" i="10"/>
  <c r="Z196" i="10" s="1"/>
  <c r="M34" i="10"/>
  <c r="N34" i="10" s="1"/>
  <c r="O34" i="10" s="1"/>
  <c r="P34" i="10"/>
  <c r="Y34" i="10"/>
  <c r="Z34" i="10" s="1"/>
  <c r="Z106" i="10"/>
  <c r="W81" i="10"/>
  <c r="AA201" i="10"/>
  <c r="X201" i="10"/>
  <c r="AA243" i="10"/>
  <c r="X249" i="10"/>
  <c r="AA249" i="10"/>
  <c r="M79" i="10"/>
  <c r="N79" i="10" s="1"/>
  <c r="O79" i="10" s="1"/>
  <c r="P79" i="10"/>
  <c r="Y79" i="10"/>
  <c r="Z79" i="10" s="1"/>
  <c r="M97" i="10"/>
  <c r="N97" i="10" s="1"/>
  <c r="O97" i="10" s="1"/>
  <c r="P97" i="10"/>
  <c r="Y97" i="10"/>
  <c r="Z97" i="10" s="1"/>
  <c r="M186" i="10"/>
  <c r="N186" i="10" s="1"/>
  <c r="O186" i="10" s="1"/>
  <c r="P186" i="10"/>
  <c r="Y186" i="10"/>
  <c r="Z186" i="10" s="1"/>
  <c r="M7" i="10"/>
  <c r="N7" i="10" s="1"/>
  <c r="O7" i="10" s="1"/>
  <c r="P7" i="10"/>
  <c r="Y7" i="10"/>
  <c r="Z7" i="10" s="1"/>
  <c r="W254" i="10"/>
  <c r="X223" i="10"/>
  <c r="W222" i="10"/>
  <c r="X23" i="10"/>
  <c r="AA23" i="10"/>
  <c r="X15" i="10"/>
  <c r="M181" i="10"/>
  <c r="N181" i="10" s="1"/>
  <c r="O181" i="10" s="1"/>
  <c r="P181" i="10"/>
  <c r="Y181" i="10"/>
  <c r="Z181" i="10" s="1"/>
  <c r="M43" i="10"/>
  <c r="N43" i="10" s="1"/>
  <c r="O43" i="10" s="1"/>
  <c r="P43" i="10"/>
  <c r="Y43" i="10"/>
  <c r="Z43" i="10" s="1"/>
  <c r="M175" i="10"/>
  <c r="N175" i="10" s="1"/>
  <c r="O175" i="10" s="1"/>
  <c r="P175" i="10"/>
  <c r="Y175" i="10"/>
  <c r="Z175" i="10" s="1"/>
  <c r="M90" i="10"/>
  <c r="N90" i="10" s="1"/>
  <c r="O90" i="10" s="1"/>
  <c r="P90" i="10"/>
  <c r="Y90" i="10"/>
  <c r="Z90" i="10" s="1"/>
  <c r="M13" i="10"/>
  <c r="N13" i="10" s="1"/>
  <c r="O13" i="10" s="1"/>
  <c r="P13" i="10"/>
  <c r="Y13" i="10"/>
  <c r="Z13" i="10" s="1"/>
  <c r="X128" i="10"/>
  <c r="W79" i="10"/>
  <c r="M14" i="10"/>
  <c r="N14" i="10" s="1"/>
  <c r="O14" i="10" s="1"/>
  <c r="P14" i="10"/>
  <c r="Y14" i="10"/>
  <c r="Z14" i="10" s="1"/>
  <c r="M56" i="10"/>
  <c r="N56" i="10" s="1"/>
  <c r="O56" i="10" s="1"/>
  <c r="P56" i="10"/>
  <c r="Y56" i="10"/>
  <c r="Z56" i="10" s="1"/>
  <c r="W107" i="10"/>
  <c r="X164" i="10"/>
  <c r="AA164" i="10"/>
  <c r="X155" i="10"/>
  <c r="X260" i="10"/>
  <c r="X114" i="10"/>
  <c r="AA114" i="10"/>
  <c r="Z38" i="10"/>
  <c r="W38" i="10"/>
  <c r="W6" i="10"/>
  <c r="W141" i="10"/>
  <c r="T78" i="10"/>
  <c r="T269" i="10"/>
  <c r="T186" i="10"/>
  <c r="T175" i="10"/>
  <c r="T196" i="10"/>
  <c r="T90" i="10"/>
  <c r="T115" i="10"/>
  <c r="T56" i="10"/>
  <c r="T52" i="10"/>
  <c r="T124" i="10"/>
  <c r="T42" i="10"/>
  <c r="T34" i="10"/>
  <c r="T30" i="10"/>
  <c r="T21" i="10"/>
  <c r="AA264" i="10"/>
  <c r="W267" i="10"/>
  <c r="W179" i="10"/>
  <c r="X157" i="10"/>
  <c r="W120" i="10"/>
  <c r="AA128" i="10"/>
  <c r="Z205" i="10"/>
  <c r="Z10" i="10"/>
  <c r="Z117" i="10"/>
  <c r="W117" i="10"/>
  <c r="W40" i="10"/>
  <c r="Z9" i="10"/>
  <c r="X261" i="10"/>
  <c r="W221" i="10"/>
  <c r="W232" i="10"/>
  <c r="W52" i="10"/>
  <c r="W213" i="10"/>
  <c r="W87" i="10"/>
  <c r="AA67" i="10"/>
  <c r="AA154" i="10"/>
  <c r="AA178" i="10"/>
  <c r="AA37" i="10"/>
  <c r="AA227" i="10"/>
  <c r="Z210" i="10"/>
  <c r="Z5" i="10"/>
  <c r="W257" i="10"/>
  <c r="W50" i="10"/>
  <c r="W47" i="10"/>
  <c r="W182" i="10"/>
  <c r="AA54" i="10"/>
  <c r="W75" i="10"/>
  <c r="W173" i="10"/>
  <c r="W94" i="10"/>
  <c r="W253" i="10"/>
  <c r="Z144" i="10"/>
  <c r="W193" i="10"/>
  <c r="W146" i="10"/>
  <c r="W188" i="10"/>
  <c r="W140" i="10"/>
  <c r="W258" i="10"/>
  <c r="W85" i="10"/>
  <c r="W233" i="10"/>
  <c r="W80" i="10"/>
  <c r="W32" i="10"/>
  <c r="T270" i="10"/>
  <c r="T229" i="10"/>
  <c r="T206" i="10"/>
  <c r="T199" i="10"/>
  <c r="T166" i="10"/>
  <c r="T176" i="10"/>
  <c r="T58" i="10"/>
  <c r="T183" i="10"/>
  <c r="T49" i="10"/>
  <c r="T35" i="10"/>
  <c r="T31" i="10"/>
  <c r="T22" i="10"/>
  <c r="T8" i="10"/>
  <c r="T135" i="10"/>
  <c r="T3" i="10"/>
  <c r="W225" i="10"/>
  <c r="W169" i="10"/>
  <c r="W153" i="10"/>
  <c r="W125" i="10"/>
  <c r="W19" i="10"/>
  <c r="W11" i="10"/>
  <c r="W274" i="10"/>
  <c r="W138" i="10"/>
  <c r="W86" i="10"/>
  <c r="W27" i="10"/>
  <c r="W18" i="10"/>
  <c r="AA103" i="10" l="1"/>
  <c r="X103" i="10"/>
  <c r="Q156" i="34"/>
  <c r="L57" i="34"/>
  <c r="M101" i="34"/>
  <c r="N101" i="34"/>
  <c r="O101" i="34" s="1"/>
  <c r="AA82" i="10"/>
  <c r="W248" i="10"/>
  <c r="X248" i="10" s="1"/>
  <c r="L38" i="34"/>
  <c r="M129" i="34"/>
  <c r="L129" i="34"/>
  <c r="X208" i="10"/>
  <c r="X265" i="10"/>
  <c r="M115" i="34"/>
  <c r="N151" i="34"/>
  <c r="O151" i="34" s="1"/>
  <c r="Q151" i="34" s="1"/>
  <c r="X212" i="10"/>
  <c r="AA147" i="10"/>
  <c r="X110" i="10"/>
  <c r="W200" i="10"/>
  <c r="AA200" i="10" s="1"/>
  <c r="AA74" i="10"/>
  <c r="Q136" i="34"/>
  <c r="L50" i="34"/>
  <c r="L151" i="34"/>
  <c r="L110" i="34"/>
  <c r="Q2" i="34"/>
  <c r="Q128" i="34"/>
  <c r="L52" i="34"/>
  <c r="N47" i="34"/>
  <c r="O47" i="34" s="1"/>
  <c r="L47" i="34"/>
  <c r="W124" i="10"/>
  <c r="AA51" i="10"/>
  <c r="X131" i="10"/>
  <c r="X202" i="10"/>
  <c r="X207" i="10"/>
  <c r="W204" i="10"/>
  <c r="N50" i="34"/>
  <c r="O50" i="34" s="1"/>
  <c r="Q50" i="34" s="1"/>
  <c r="N156" i="34"/>
  <c r="O156" i="34" s="1"/>
  <c r="L66" i="34"/>
  <c r="L82" i="34"/>
  <c r="L156" i="34"/>
  <c r="L105" i="34"/>
  <c r="Q39" i="34"/>
  <c r="X158" i="10"/>
  <c r="L36" i="34"/>
  <c r="N36" i="34"/>
  <c r="O36" i="34" s="1"/>
  <c r="N82" i="34"/>
  <c r="O82" i="34" s="1"/>
  <c r="L127" i="34"/>
  <c r="L108" i="34"/>
  <c r="L101" i="34"/>
  <c r="M17" i="34"/>
  <c r="N17" i="34"/>
  <c r="O17" i="34" s="1"/>
  <c r="L17" i="34"/>
  <c r="W170" i="10"/>
  <c r="X214" i="10"/>
  <c r="AA180" i="10"/>
  <c r="X109" i="10"/>
  <c r="Q10" i="34"/>
  <c r="Q87" i="34"/>
  <c r="N127" i="34"/>
  <c r="O127" i="34" s="1"/>
  <c r="Q127" i="34" s="1"/>
  <c r="N58" i="34"/>
  <c r="O58" i="34" s="1"/>
  <c r="L122" i="34"/>
  <c r="L3" i="34"/>
  <c r="L157" i="34"/>
  <c r="N31" i="34"/>
  <c r="O31" i="34" s="1"/>
  <c r="Q31" i="34" s="1"/>
  <c r="M31" i="34"/>
  <c r="L58" i="34"/>
  <c r="N5" i="34"/>
  <c r="O5" i="34" s="1"/>
  <c r="Q5" i="34" s="1"/>
  <c r="M5" i="34"/>
  <c r="X99" i="10"/>
  <c r="L147" i="34"/>
  <c r="R156" i="34"/>
  <c r="AA24" i="10"/>
  <c r="L115" i="34"/>
  <c r="X264" i="10"/>
  <c r="Q27" i="34"/>
  <c r="N41" i="34"/>
  <c r="O41" i="34" s="1"/>
  <c r="N147" i="34"/>
  <c r="O147" i="34" s="1"/>
  <c r="Q133" i="34"/>
  <c r="Q141" i="34"/>
  <c r="L150" i="34"/>
  <c r="N11" i="34"/>
  <c r="O11" i="34" s="1"/>
  <c r="Q11" i="34" s="1"/>
  <c r="L143" i="34"/>
  <c r="AA224" i="10"/>
  <c r="Q17" i="34"/>
  <c r="Q22" i="34"/>
  <c r="X84" i="10"/>
  <c r="W108" i="10"/>
  <c r="Q139" i="34"/>
  <c r="L41" i="34"/>
  <c r="N25" i="34"/>
  <c r="O25" i="34" s="1"/>
  <c r="L16" i="34"/>
  <c r="X189" i="10"/>
  <c r="Q95" i="34"/>
  <c r="AA36" i="10"/>
  <c r="W134" i="10"/>
  <c r="X134" i="10" s="1"/>
  <c r="W41" i="10"/>
  <c r="AA41" i="10" s="1"/>
  <c r="N52" i="34"/>
  <c r="O52" i="34" s="1"/>
  <c r="W3" i="10"/>
  <c r="X3" i="10" s="1"/>
  <c r="N66" i="34"/>
  <c r="O66" i="34" s="1"/>
  <c r="Q66" i="34" s="1"/>
  <c r="N27" i="34"/>
  <c r="O27" i="34" s="1"/>
  <c r="AA134" i="10"/>
  <c r="P81" i="34"/>
  <c r="R81" i="34" s="1"/>
  <c r="P97" i="34"/>
  <c r="R97" i="34" s="1"/>
  <c r="P113" i="34"/>
  <c r="R113" i="34" s="1"/>
  <c r="P129" i="34"/>
  <c r="R129" i="34" s="1"/>
  <c r="P65" i="34"/>
  <c r="R65" i="34" s="1"/>
  <c r="P149" i="34"/>
  <c r="R149" i="34" s="1"/>
  <c r="P49" i="34"/>
  <c r="R49" i="34" s="1"/>
  <c r="AA259" i="10"/>
  <c r="X69" i="10"/>
  <c r="W211" i="10"/>
  <c r="P25" i="34"/>
  <c r="P109" i="34"/>
  <c r="R109" i="34" s="1"/>
  <c r="P125" i="34"/>
  <c r="R125" i="34" s="1"/>
  <c r="P45" i="34"/>
  <c r="R45" i="34" s="1"/>
  <c r="P61" i="34"/>
  <c r="P145" i="34"/>
  <c r="R145" i="34" s="1"/>
  <c r="P6" i="34"/>
  <c r="P93" i="34"/>
  <c r="R93" i="34" s="1"/>
  <c r="P35" i="34"/>
  <c r="R35" i="34" s="1"/>
  <c r="P77" i="34"/>
  <c r="R77" i="34" s="1"/>
  <c r="AA230" i="10"/>
  <c r="W152" i="10"/>
  <c r="X152" i="10" s="1"/>
  <c r="Q36" i="34"/>
  <c r="Q152" i="34"/>
  <c r="Q82" i="34"/>
  <c r="Q85" i="34"/>
  <c r="X168" i="10"/>
  <c r="AA215" i="10"/>
  <c r="W91" i="10"/>
  <c r="P154" i="34"/>
  <c r="P134" i="34"/>
  <c r="R134" i="34" s="1"/>
  <c r="W28" i="10"/>
  <c r="Q97" i="34"/>
  <c r="Q75" i="34"/>
  <c r="Q29" i="34"/>
  <c r="Q20" i="34"/>
  <c r="R20" i="34"/>
  <c r="Q16" i="34"/>
  <c r="X167" i="10"/>
  <c r="AA88" i="10"/>
  <c r="Q147" i="34"/>
  <c r="Q135" i="34"/>
  <c r="Q43" i="34"/>
  <c r="R43" i="34"/>
  <c r="Q71" i="34"/>
  <c r="R71" i="34"/>
  <c r="AA172" i="10"/>
  <c r="W183" i="10"/>
  <c r="AA183" i="10" s="1"/>
  <c r="Q23" i="34"/>
  <c r="Q41" i="34"/>
  <c r="Q58" i="34"/>
  <c r="Q155" i="34"/>
  <c r="R155" i="34"/>
  <c r="W31" i="10"/>
  <c r="X31" i="10" s="1"/>
  <c r="W105" i="10"/>
  <c r="AA105" i="10" s="1"/>
  <c r="W22" i="10"/>
  <c r="X22" i="10" s="1"/>
  <c r="W71" i="10"/>
  <c r="Q145" i="34"/>
  <c r="W13" i="10"/>
  <c r="AA13" i="10" s="1"/>
  <c r="AA265" i="10"/>
  <c r="W58" i="10"/>
  <c r="W112" i="10"/>
  <c r="AA112" i="10" s="1"/>
  <c r="W45" i="10"/>
  <c r="AA45" i="10" s="1"/>
  <c r="W241" i="10"/>
  <c r="W250" i="10"/>
  <c r="AA250" i="10" s="1"/>
  <c r="P137" i="34"/>
  <c r="R137" i="34" s="1"/>
  <c r="P157" i="34"/>
  <c r="X33" i="10"/>
  <c r="X251" i="10"/>
  <c r="W142" i="10"/>
  <c r="Z72" i="10"/>
  <c r="Q98" i="34"/>
  <c r="Q65" i="34"/>
  <c r="Q72" i="34"/>
  <c r="AA216" i="10"/>
  <c r="Q45" i="34"/>
  <c r="R19" i="34"/>
  <c r="Q19" i="34"/>
  <c r="Q47" i="34"/>
  <c r="R47" i="34"/>
  <c r="W66" i="10"/>
  <c r="X66" i="10" s="1"/>
  <c r="W231" i="10"/>
  <c r="X245" i="10"/>
  <c r="W21" i="10"/>
  <c r="X21" i="10" s="1"/>
  <c r="W12" i="10"/>
  <c r="X12" i="10" s="1"/>
  <c r="X197" i="10"/>
  <c r="W234" i="10"/>
  <c r="AA234" i="10" s="1"/>
  <c r="P94" i="34"/>
  <c r="R94" i="34" s="1"/>
  <c r="P26" i="34"/>
  <c r="P110" i="34"/>
  <c r="P126" i="34"/>
  <c r="R126" i="34" s="1"/>
  <c r="P46" i="34"/>
  <c r="P62" i="34"/>
  <c r="P146" i="34"/>
  <c r="P36" i="34"/>
  <c r="R36" i="34" s="1"/>
  <c r="P78" i="34"/>
  <c r="R78" i="34" s="1"/>
  <c r="P7" i="34"/>
  <c r="R7" i="34" s="1"/>
  <c r="Q99" i="34"/>
  <c r="R127" i="34"/>
  <c r="Q7" i="34"/>
  <c r="X129" i="10"/>
  <c r="X112" i="10"/>
  <c r="W118" i="10"/>
  <c r="P38" i="34"/>
  <c r="R38" i="34" s="1"/>
  <c r="P54" i="34"/>
  <c r="P138" i="34"/>
  <c r="R138" i="34" s="1"/>
  <c r="P28" i="34"/>
  <c r="P70" i="34"/>
  <c r="P15" i="34"/>
  <c r="P86" i="34"/>
  <c r="P18" i="34"/>
  <c r="P102" i="34"/>
  <c r="P118" i="34"/>
  <c r="P8" i="34"/>
  <c r="R8" i="34" s="1"/>
  <c r="Q137" i="34"/>
  <c r="AA102" i="10"/>
  <c r="AA123" i="10"/>
  <c r="W150" i="10"/>
  <c r="AA150" i="10" s="1"/>
  <c r="AA26" i="10"/>
  <c r="W145" i="10"/>
  <c r="P52" i="34"/>
  <c r="R52" i="34" s="1"/>
  <c r="P68" i="34"/>
  <c r="P152" i="34"/>
  <c r="R152" i="34" s="1"/>
  <c r="P84" i="34"/>
  <c r="P100" i="34"/>
  <c r="R100" i="34" s="1"/>
  <c r="P116" i="34"/>
  <c r="P132" i="34"/>
  <c r="Q101" i="34"/>
  <c r="Q109" i="34"/>
  <c r="Q35" i="34"/>
  <c r="Q114" i="34"/>
  <c r="X238" i="10"/>
  <c r="AA238" i="10"/>
  <c r="X255" i="10"/>
  <c r="AA255" i="10"/>
  <c r="AA2" i="10"/>
  <c r="W98" i="10"/>
  <c r="W192" i="10"/>
  <c r="AA127" i="10"/>
  <c r="W270" i="10"/>
  <c r="AA270" i="10" s="1"/>
  <c r="W237" i="10"/>
  <c r="AA237" i="10" s="1"/>
  <c r="Z46" i="10"/>
  <c r="W219" i="10"/>
  <c r="X209" i="10"/>
  <c r="W166" i="10"/>
  <c r="AA166" i="10" s="1"/>
  <c r="AA242" i="10"/>
  <c r="X119" i="10"/>
  <c r="W122" i="10"/>
  <c r="W48" i="10"/>
  <c r="AA207" i="10"/>
  <c r="W162" i="10"/>
  <c r="AA187" i="10"/>
  <c r="X271" i="10"/>
  <c r="W175" i="10"/>
  <c r="X175" i="10" s="1"/>
  <c r="AA68" i="10"/>
  <c r="W149" i="10"/>
  <c r="W62" i="10"/>
  <c r="W190" i="10"/>
  <c r="AA161" i="10"/>
  <c r="X161" i="10"/>
  <c r="W226" i="10"/>
  <c r="W7" i="10"/>
  <c r="X7" i="10" s="1"/>
  <c r="X200" i="10"/>
  <c r="AA191" i="10"/>
  <c r="X160" i="10"/>
  <c r="W60" i="10"/>
  <c r="X60" i="10" s="1"/>
  <c r="W198" i="10"/>
  <c r="AA198" i="10" s="1"/>
  <c r="W246" i="10"/>
  <c r="W185" i="10"/>
  <c r="AA177" i="10"/>
  <c r="AA64" i="10"/>
  <c r="W174" i="10"/>
  <c r="X174" i="10" s="1"/>
  <c r="W96" i="10"/>
  <c r="X96" i="10" s="1"/>
  <c r="X113" i="10"/>
  <c r="X234" i="10"/>
  <c r="X136" i="10"/>
  <c r="AA136" i="10"/>
  <c r="W115" i="10"/>
  <c r="X115" i="10" s="1"/>
  <c r="W165" i="10"/>
  <c r="AA165" i="10" s="1"/>
  <c r="AA76" i="10"/>
  <c r="Z44" i="10"/>
  <c r="W44" i="10"/>
  <c r="Z59" i="10"/>
  <c r="W59" i="10"/>
  <c r="W16" i="10"/>
  <c r="W30" i="10"/>
  <c r="AA30" i="10" s="1"/>
  <c r="X25" i="10"/>
  <c r="AA25" i="10"/>
  <c r="AA77" i="10"/>
  <c r="X268" i="10"/>
  <c r="X205" i="10"/>
  <c r="AA205" i="10"/>
  <c r="W159" i="10"/>
  <c r="X159" i="10" s="1"/>
  <c r="W111" i="10"/>
  <c r="X41" i="10"/>
  <c r="W272" i="10"/>
  <c r="W34" i="10"/>
  <c r="X34" i="10" s="1"/>
  <c r="AA20" i="10"/>
  <c r="X20" i="10"/>
  <c r="W14" i="10"/>
  <c r="AA14" i="10" s="1"/>
  <c r="X156" i="10"/>
  <c r="AA218" i="10"/>
  <c r="W78" i="10"/>
  <c r="X78" i="10" s="1"/>
  <c r="W116" i="10"/>
  <c r="AA116" i="10" s="1"/>
  <c r="W186" i="10"/>
  <c r="AA186" i="10" s="1"/>
  <c r="W42" i="10"/>
  <c r="AA42" i="10" s="1"/>
  <c r="W130" i="10"/>
  <c r="X130" i="10" s="1"/>
  <c r="W148" i="10"/>
  <c r="X148" i="10" s="1"/>
  <c r="AA17" i="10"/>
  <c r="AA83" i="10"/>
  <c r="AA247" i="10"/>
  <c r="AA113" i="10"/>
  <c r="W171" i="10"/>
  <c r="X57" i="10"/>
  <c r="X133" i="10"/>
  <c r="X5" i="10"/>
  <c r="AA5" i="10"/>
  <c r="X210" i="10"/>
  <c r="AA210" i="10"/>
  <c r="Z137" i="10"/>
  <c r="W137" i="10"/>
  <c r="AA92" i="10"/>
  <c r="AA61" i="10"/>
  <c r="AA109" i="10"/>
  <c r="W176" i="10"/>
  <c r="X176" i="10" s="1"/>
  <c r="AA72" i="10"/>
  <c r="AA65" i="10"/>
  <c r="AA240" i="10"/>
  <c r="Z126" i="10"/>
  <c r="W126" i="10"/>
  <c r="W266" i="10"/>
  <c r="Z266" i="10"/>
  <c r="W39" i="10"/>
  <c r="X39" i="10" s="1"/>
  <c r="AA189" i="10"/>
  <c r="AA262" i="10"/>
  <c r="W269" i="10"/>
  <c r="AA269" i="10" s="1"/>
  <c r="X29" i="10"/>
  <c r="X63" i="10"/>
  <c r="AA139" i="10"/>
  <c r="AA184" i="10"/>
  <c r="AA263" i="10"/>
  <c r="X263" i="10"/>
  <c r="X228" i="10"/>
  <c r="AA195" i="10"/>
  <c r="X195" i="10"/>
  <c r="AA70" i="10"/>
  <c r="W4" i="10"/>
  <c r="X4" i="10" s="1"/>
  <c r="W53" i="10"/>
  <c r="X50" i="10"/>
  <c r="AA50" i="10"/>
  <c r="AA52" i="10"/>
  <c r="X52" i="10"/>
  <c r="AA175" i="10"/>
  <c r="X203" i="10"/>
  <c r="AA203" i="10"/>
  <c r="X27" i="10"/>
  <c r="AA27" i="10"/>
  <c r="X225" i="10"/>
  <c r="AA225" i="10"/>
  <c r="X188" i="10"/>
  <c r="AA188" i="10"/>
  <c r="W56" i="10"/>
  <c r="X257" i="10"/>
  <c r="AA257" i="10"/>
  <c r="X87" i="10"/>
  <c r="AA87" i="10"/>
  <c r="AA232" i="10"/>
  <c r="X232" i="10"/>
  <c r="X38" i="10"/>
  <c r="AA38" i="10"/>
  <c r="X254" i="10"/>
  <c r="AA254" i="10"/>
  <c r="X235" i="10"/>
  <c r="AA235" i="10"/>
  <c r="X258" i="10"/>
  <c r="AA258" i="10"/>
  <c r="X47" i="10"/>
  <c r="AA47" i="10"/>
  <c r="X18" i="10"/>
  <c r="AA18" i="10"/>
  <c r="X140" i="10"/>
  <c r="AA140" i="10"/>
  <c r="X253" i="10"/>
  <c r="AA253" i="10"/>
  <c r="AA124" i="10"/>
  <c r="X124" i="10"/>
  <c r="X252" i="10"/>
  <c r="AA252" i="10"/>
  <c r="X86" i="10"/>
  <c r="AA86" i="10"/>
  <c r="X94" i="10"/>
  <c r="AA94" i="10"/>
  <c r="X179" i="10"/>
  <c r="AA179" i="10"/>
  <c r="X220" i="10"/>
  <c r="AA220" i="10"/>
  <c r="X81" i="10"/>
  <c r="AA81" i="10"/>
  <c r="Z8" i="10"/>
  <c r="W8" i="10"/>
  <c r="X32" i="10"/>
  <c r="AA32" i="10"/>
  <c r="X146" i="10"/>
  <c r="AA146" i="10"/>
  <c r="X173" i="10"/>
  <c r="AA173" i="10"/>
  <c r="X117" i="10"/>
  <c r="AA117" i="10"/>
  <c r="X267" i="10"/>
  <c r="AA267" i="10"/>
  <c r="X138" i="10"/>
  <c r="AA138" i="10"/>
  <c r="X80" i="10"/>
  <c r="AA80" i="10"/>
  <c r="X108" i="10"/>
  <c r="AA108" i="10"/>
  <c r="X75" i="10"/>
  <c r="AA75" i="10"/>
  <c r="X213" i="10"/>
  <c r="AA213" i="10"/>
  <c r="X221" i="10"/>
  <c r="AA221" i="10"/>
  <c r="X46" i="10"/>
  <c r="AA46" i="10"/>
  <c r="X222" i="10"/>
  <c r="AA222" i="10"/>
  <c r="X204" i="10"/>
  <c r="AA204" i="10"/>
  <c r="W35" i="10"/>
  <c r="W206" i="10"/>
  <c r="X274" i="10"/>
  <c r="AA274" i="10"/>
  <c r="X231" i="10"/>
  <c r="AA231" i="10"/>
  <c r="X10" i="10"/>
  <c r="AA10" i="10"/>
  <c r="X107" i="10"/>
  <c r="AA107" i="10"/>
  <c r="W43" i="10"/>
  <c r="W135" i="10"/>
  <c r="Z135" i="10"/>
  <c r="X11" i="10"/>
  <c r="AA11" i="10"/>
  <c r="X233" i="10"/>
  <c r="AA233" i="10"/>
  <c r="X9" i="10"/>
  <c r="AA9" i="10"/>
  <c r="X19" i="10"/>
  <c r="AA19" i="10"/>
  <c r="AA193" i="10"/>
  <c r="X193" i="10"/>
  <c r="W97" i="10"/>
  <c r="X125" i="10"/>
  <c r="AA125" i="10"/>
  <c r="W196" i="10"/>
  <c r="X98" i="10"/>
  <c r="AA98" i="10"/>
  <c r="W181" i="10"/>
  <c r="AA22" i="10"/>
  <c r="AA58" i="10"/>
  <c r="X58" i="10"/>
  <c r="X153" i="10"/>
  <c r="AA153" i="10"/>
  <c r="X151" i="10"/>
  <c r="AA151" i="10"/>
  <c r="X141" i="10"/>
  <c r="AA141" i="10"/>
  <c r="W49" i="10"/>
  <c r="W90" i="10"/>
  <c r="X273" i="10"/>
  <c r="AA273" i="10"/>
  <c r="X6" i="10"/>
  <c r="AA6" i="10"/>
  <c r="W199" i="10"/>
  <c r="AA169" i="10"/>
  <c r="X169" i="10"/>
  <c r="AA85" i="10"/>
  <c r="X85" i="10"/>
  <c r="X182" i="10"/>
  <c r="AA182" i="10"/>
  <c r="X40" i="10"/>
  <c r="AA40" i="10"/>
  <c r="X120" i="10"/>
  <c r="AA120" i="10"/>
  <c r="X13" i="10"/>
  <c r="X79" i="10"/>
  <c r="AA79" i="10"/>
  <c r="X142" i="10"/>
  <c r="AA142" i="10"/>
  <c r="Z229" i="10"/>
  <c r="W229" i="10"/>
  <c r="AA7" i="10" l="1"/>
  <c r="X170" i="10"/>
  <c r="AA170" i="10"/>
  <c r="Q126" i="34"/>
  <c r="AA96" i="10"/>
  <c r="AA152" i="10"/>
  <c r="Q94" i="34"/>
  <c r="AA248" i="10"/>
  <c r="X270" i="10"/>
  <c r="AA3" i="10"/>
  <c r="X45" i="10"/>
  <c r="X150" i="10"/>
  <c r="X250" i="10"/>
  <c r="Q125" i="34"/>
  <c r="R25" i="34"/>
  <c r="Q25" i="34"/>
  <c r="R54" i="34"/>
  <c r="Q54" i="34"/>
  <c r="Q129" i="34"/>
  <c r="X211" i="10"/>
  <c r="AA211" i="10"/>
  <c r="AA159" i="10"/>
  <c r="X237" i="10"/>
  <c r="Q78" i="34"/>
  <c r="X118" i="10"/>
  <c r="AA118" i="10"/>
  <c r="AA71" i="10"/>
  <c r="X71" i="10"/>
  <c r="Q49" i="34"/>
  <c r="AA21" i="10"/>
  <c r="Q146" i="34"/>
  <c r="R146" i="34"/>
  <c r="R62" i="34"/>
  <c r="Q62" i="34"/>
  <c r="X28" i="10"/>
  <c r="AA28" i="10"/>
  <c r="R46" i="34"/>
  <c r="Q46" i="34"/>
  <c r="X145" i="10"/>
  <c r="AA145" i="10"/>
  <c r="R132" i="34"/>
  <c r="Q132" i="34"/>
  <c r="R118" i="34"/>
  <c r="Q118" i="34"/>
  <c r="AA66" i="10"/>
  <c r="R116" i="34"/>
  <c r="Q116" i="34"/>
  <c r="R102" i="34"/>
  <c r="Q102" i="34"/>
  <c r="R110" i="34"/>
  <c r="Q110" i="34"/>
  <c r="AA91" i="10"/>
  <c r="X91" i="10"/>
  <c r="R6" i="34"/>
  <c r="Q6" i="34"/>
  <c r="X183" i="10"/>
  <c r="X105" i="10"/>
  <c r="R18" i="34"/>
  <c r="Q18" i="34"/>
  <c r="Q26" i="34"/>
  <c r="R26" i="34"/>
  <c r="Q100" i="34"/>
  <c r="Q134" i="34"/>
  <c r="Q52" i="34"/>
  <c r="X14" i="10"/>
  <c r="R157" i="34"/>
  <c r="Q157" i="34"/>
  <c r="Q154" i="34"/>
  <c r="R154" i="34"/>
  <c r="AA31" i="10"/>
  <c r="AA12" i="10"/>
  <c r="R84" i="34"/>
  <c r="Q84" i="34"/>
  <c r="R86" i="34"/>
  <c r="Q86" i="34"/>
  <c r="Q93" i="34"/>
  <c r="X241" i="10"/>
  <c r="AA241" i="10"/>
  <c r="R61" i="34"/>
  <c r="Q61" i="34"/>
  <c r="Q15" i="34"/>
  <c r="R15" i="34"/>
  <c r="Q149" i="34"/>
  <c r="Q113" i="34"/>
  <c r="Q81" i="34"/>
  <c r="R68" i="34"/>
  <c r="Q68" i="34"/>
  <c r="R70" i="34"/>
  <c r="Q70" i="34"/>
  <c r="Q138" i="34"/>
  <c r="Q77" i="34"/>
  <c r="Q38" i="34"/>
  <c r="R28" i="34"/>
  <c r="Q28" i="34"/>
  <c r="Q8" i="34"/>
  <c r="AA190" i="10"/>
  <c r="X190" i="10"/>
  <c r="X62" i="10"/>
  <c r="AA62" i="10"/>
  <c r="X149" i="10"/>
  <c r="AA149" i="10"/>
  <c r="X219" i="10"/>
  <c r="AA219" i="10"/>
  <c r="X185" i="10"/>
  <c r="AA185" i="10"/>
  <c r="X166" i="10"/>
  <c r="AA246" i="10"/>
  <c r="X246" i="10"/>
  <c r="AA4" i="10"/>
  <c r="AA192" i="10"/>
  <c r="X192" i="10"/>
  <c r="AA60" i="10"/>
  <c r="AA162" i="10"/>
  <c r="X162" i="10"/>
  <c r="X198" i="10"/>
  <c r="AA39" i="10"/>
  <c r="AA78" i="10"/>
  <c r="X48" i="10"/>
  <c r="AA48" i="10"/>
  <c r="AA174" i="10"/>
  <c r="X165" i="10"/>
  <c r="AA226" i="10"/>
  <c r="X226" i="10"/>
  <c r="X122" i="10"/>
  <c r="AA122" i="10"/>
  <c r="AA130" i="10"/>
  <c r="X116" i="10"/>
  <c r="AA115" i="10"/>
  <c r="AA148" i="10"/>
  <c r="AA53" i="10"/>
  <c r="X53" i="10"/>
  <c r="X42" i="10"/>
  <c r="AA176" i="10"/>
  <c r="X16" i="10"/>
  <c r="AA16" i="10"/>
  <c r="X272" i="10"/>
  <c r="AA272" i="10"/>
  <c r="X59" i="10"/>
  <c r="AA59" i="10"/>
  <c r="X269" i="10"/>
  <c r="AA137" i="10"/>
  <c r="X137" i="10"/>
  <c r="AA111" i="10"/>
  <c r="X111" i="10"/>
  <c r="AA266" i="10"/>
  <c r="X266" i="10"/>
  <c r="X44" i="10"/>
  <c r="AA44" i="10"/>
  <c r="AA34" i="10"/>
  <c r="X126" i="10"/>
  <c r="AA126" i="10"/>
  <c r="X186" i="10"/>
  <c r="X30" i="10"/>
  <c r="AA171" i="10"/>
  <c r="X171" i="10"/>
  <c r="X90" i="10"/>
  <c r="AA90" i="10"/>
  <c r="AA49" i="10"/>
  <c r="X49" i="10"/>
  <c r="AA181" i="10"/>
  <c r="X181" i="10"/>
  <c r="X229" i="10"/>
  <c r="AA229" i="10"/>
  <c r="AA135" i="10"/>
  <c r="X135" i="10"/>
  <c r="AA206" i="10"/>
  <c r="X206" i="10"/>
  <c r="AA196" i="10"/>
  <c r="X196" i="10"/>
  <c r="X43" i="10"/>
  <c r="AA43" i="10"/>
  <c r="X35" i="10"/>
  <c r="AA35" i="10"/>
  <c r="X8" i="10"/>
  <c r="AA8" i="10"/>
  <c r="AA199" i="10"/>
  <c r="X199" i="10"/>
  <c r="AA97" i="10"/>
  <c r="X97" i="10"/>
  <c r="AA56" i="10"/>
  <c r="X56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<sst xmlns="http://schemas.openxmlformats.org/spreadsheetml/2006/main" count="16995" uniqueCount="2033">
  <si>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</si>
  <si>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</si>
  <si>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</si>
  <si>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</si>
  <si>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</si>
  <si>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</si>
  <si>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</si>
  <si>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</si>
  <si>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</si>
  <si>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</si>
  <si>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</si>
  <si>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</si>
  <si>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</si>
  <si>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</si>
  <si>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</si>
  <si>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</si>
  <si>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</si>
  <si>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</si>
  <si>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</si>
  <si>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</si>
  <si>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</si>
  <si>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</si>
  <si>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</si>
  <si>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</si>
  <si>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</si>
  <si>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</si>
  <si>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</si>
  <si>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</si>
  <si>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</si>
  <si>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</si>
  <si>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</si>
  <si>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</si>
  <si>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</si>
  <si>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</si>
  <si>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</si>
  <si>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</si>
  <si>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</si>
  <si>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</si>
  <si>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</si>
  <si>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</si>
  <si>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</si>
  <si>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</si>
  <si>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</si>
  <si>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</si>
  <si>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</si>
  <si>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</si>
  <si>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</si>
  <si>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</si>
  <si>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</si>
  <si>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</si>
  <si>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</si>
  <si>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</si>
  <si>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</si>
  <si>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</si>
  <si>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</si>
  <si>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</si>
  <si>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</si>
  <si>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</si>
  <si>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</si>
  <si>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</si>
  <si>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</si>
  <si>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</si>
  <si>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</si>
  <si>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</si>
  <si>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</si>
  <si>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</si>
  <si>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</si>
  <si>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</si>
  <si>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</si>
  <si>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</si>
  <si>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</si>
  <si>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</si>
  <si>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</si>
  <si>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</si>
  <si>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</si>
  <si>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</si>
  <si>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</si>
  <si>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</si>
  <si>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</si>
  <si>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</si>
  <si>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</si>
  <si>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</si>
  <si>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</si>
  <si>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</si>
  <si>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</si>
  <si>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</si>
  <si>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</si>
  <si>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</si>
  <si>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</si>
  <si>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</si>
  <si>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</si>
  <si>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</si>
  <si>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</si>
  <si>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</si>
  <si>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</si>
  <si>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</si>
  <si>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</si>
  <si>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</si>
  <si>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</si>
  <si>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</si>
  <si>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</si>
  <si>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</si>
  <si>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</si>
  <si>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</si>
  <si>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</si>
  <si>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</si>
  <si>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</si>
  <si>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</si>
  <si>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</si>
  <si>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</si>
  <si>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</si>
  <si>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</si>
  <si>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</si>
  <si>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</si>
  <si>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</si>
  <si>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</si>
  <si>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</si>
  <si>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</si>
  <si>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</si>
  <si>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</si>
  <si>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</si>
  <si>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</si>
  <si>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</si>
  <si>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</si>
  <si>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</si>
  <si>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</si>
  <si>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</si>
  <si>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</si>
  <si>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</si>
  <si>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</si>
  <si>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</si>
  <si>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</si>
  <si>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</si>
  <si>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</si>
  <si>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</si>
  <si>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</si>
  <si>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</si>
  <si>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</si>
  <si>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</si>
  <si>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</si>
  <si>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</si>
  <si>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</si>
  <si>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</si>
  <si>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</si>
  <si>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</si>
  <si>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</si>
  <si>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</si>
  <si>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</si>
  <si>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</si>
  <si>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</si>
  <si>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</si>
  <si>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</si>
  <si>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</si>
  <si>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</si>
  <si>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</si>
  <si>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</si>
  <si>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</si>
  <si>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</si>
  <si>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</si>
  <si>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</si>
  <si>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</si>
  <si>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</si>
  <si>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</si>
  <si>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</si>
  <si>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</si>
  <si>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</si>
  <si>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</si>
  <si>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</si>
  <si>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</si>
  <si>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</si>
  <si>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</si>
  <si>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</si>
  <si>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</si>
  <si>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</si>
  <si>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</si>
  <si>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</si>
  <si>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</si>
  <si>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</si>
  <si>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</si>
  <si>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</si>
  <si>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</si>
  <si>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</si>
  <si>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</si>
  <si>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</si>
  <si>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</si>
  <si>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</si>
  <si>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</si>
  <si>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</si>
  <si>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</si>
  <si>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</si>
  <si>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</si>
  <si>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</si>
  <si>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</si>
  <si>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</si>
  <si>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</si>
  <si>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</si>
  <si>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</si>
  <si>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</si>
  <si>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</si>
  <si>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</si>
  <si>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</si>
  <si>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</si>
  <si>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</si>
  <si>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</si>
  <si>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</si>
  <si>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</si>
  <si>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</si>
  <si>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</si>
  <si>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</si>
  <si>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</si>
  <si>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</si>
  <si>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</si>
  <si>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</si>
  <si>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</si>
  <si>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</si>
  <si>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</si>
  <si>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</si>
  <si>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</si>
  <si>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</si>
  <si>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</si>
  <si>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</si>
  <si>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</si>
  <si>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</si>
  <si>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</si>
  <si>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</si>
  <si>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</si>
  <si>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</si>
  <si>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</si>
  <si>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</si>
  <si>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</si>
  <si>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</si>
  <si>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</si>
  <si>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</si>
  <si>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</si>
  <si>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</si>
  <si>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</si>
  <si>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</si>
  <si>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</si>
  <si>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</si>
  <si>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</si>
  <si>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</si>
  <si>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</si>
  <si>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</si>
  <si>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</si>
  <si>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</si>
  <si>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</si>
  <si>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</si>
  <si>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</si>
  <si>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</si>
  <si>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</si>
  <si>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</si>
  <si>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</si>
  <si>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</si>
  <si>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</si>
  <si>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</si>
  <si>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</si>
  <si>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</si>
  <si>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</si>
  <si>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</si>
  <si>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</si>
  <si>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</si>
  <si>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</si>
  <si>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</si>
  <si>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</si>
  <si>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</si>
  <si>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</si>
  <si>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</si>
  <si>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</si>
  <si>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</si>
  <si>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</si>
  <si>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</si>
  <si>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</si>
  <si>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</si>
  <si>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</si>
  <si>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</si>
  <si>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</si>
  <si>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</si>
  <si>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</si>
  <si>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</si>
  <si>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</si>
  <si>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</si>
  <si>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</si>
  <si>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</si>
  <si>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</si>
  <si>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</si>
  <si>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</si>
  <si>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</si>
  <si>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</si>
  <si>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</si>
  <si>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</si>
  <si>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</si>
  <si>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</si>
  <si>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</si>
  <si>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</si>
  <si>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</si>
  <si>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</si>
  <si>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</si>
  <si>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</si>
  <si>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</si>
  <si>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</si>
  <si>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</si>
  <si>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</si>
  <si>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</si>
  <si>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</si>
  <si>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</si>
  <si>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</si>
  <si>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</si>
  <si>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</si>
  <si>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</si>
  <si>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</si>
  <si>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</si>
  <si>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</si>
  <si>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</si>
  <si>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</si>
  <si>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</si>
  <si>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</si>
  <si>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</si>
  <si>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</si>
  <si>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</si>
  <si>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</si>
  <si>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</si>
  <si>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</si>
  <si>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</si>
  <si>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</si>
  <si>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</si>
  <si>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</si>
  <si>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</si>
  <si>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</si>
  <si>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</si>
  <si>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</si>
  <si>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</si>
  <si>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</si>
  <si>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</si>
  <si>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</si>
  <si>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</si>
  <si>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</si>
  <si>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</si>
  <si>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</si>
  <si>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</si>
  <si>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</si>
  <si>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</si>
  <si>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</si>
  <si>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</si>
  <si>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</si>
  <si>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</si>
  <si>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</si>
  <si>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</si>
  <si>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</si>
  <si>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</si>
  <si>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</si>
  <si>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</si>
  <si>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</si>
  <si>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</si>
  <si>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</si>
  <si>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</si>
  <si>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</si>
  <si>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</si>
  <si>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</si>
  <si>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</si>
  <si>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</si>
  <si>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</si>
  <si>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</si>
  <si>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</si>
  <si>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</si>
  <si>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</si>
  <si>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</si>
  <si>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</si>
  <si>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</si>
  <si>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</si>
  <si>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</si>
  <si>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</si>
  <si>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</si>
  <si>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</si>
  <si>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</si>
  <si>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</si>
  <si>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</si>
  <si>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</si>
  <si>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</si>
  <si>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</si>
  <si>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</si>
  <si>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</si>
  <si>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</si>
  <si>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</si>
  <si>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</si>
  <si>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</si>
  <si>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</si>
  <si>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</si>
  <si>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</si>
  <si>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</si>
  <si>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</si>
  <si>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</si>
  <si>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</si>
  <si>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</si>
  <si>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</si>
  <si>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</si>
  <si>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</si>
  <si>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</si>
  <si>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</si>
  <si>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</si>
  <si>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</si>
  <si>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</si>
  <si>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</si>
  <si>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</si>
  <si>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</si>
  <si>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</si>
  <si>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</si>
  <si>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</si>
  <si>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</si>
  <si>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</si>
  <si>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</si>
  <si>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</si>
  <si>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</si>
  <si>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</si>
  <si>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</si>
  <si>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</si>
  <si>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</si>
  <si>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</si>
  <si>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</si>
  <si>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</si>
  <si>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</si>
  <si>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</si>
  <si>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</si>
  <si>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</si>
  <si>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</si>
  <si>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</si>
  <si>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</si>
  <si>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</si>
  <si>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</si>
  <si>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</si>
  <si>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</si>
  <si>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</si>
  <si>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</si>
  <si>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</si>
  <si>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</si>
  <si>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</si>
  <si>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</si>
  <si>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</si>
  <si>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</si>
  <si>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</si>
  <si>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</si>
  <si>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</si>
  <si>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</si>
  <si>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</si>
  <si>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</si>
  <si>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</si>
  <si>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</si>
  <si>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</si>
  <si>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</si>
  <si>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</si>
  <si>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</si>
  <si>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</si>
  <si>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</si>
  <si>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</si>
  <si>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</si>
  <si>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</si>
  <si>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</si>
  <si>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</si>
  <si>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</si>
  <si>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</si>
  <si>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</si>
  <si>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</si>
  <si>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</si>
  <si>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</si>
  <si>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</si>
  <si>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</si>
  <si>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</si>
  <si>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</si>
  <si>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</si>
  <si>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</si>
  <si>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</si>
  <si>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</si>
  <si>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</si>
  <si>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</si>
  <si>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</si>
  <si>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</si>
  <si>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</si>
  <si>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</si>
  <si>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</si>
  <si>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</si>
  <si>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</si>
  <si>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</si>
  <si>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</si>
  <si>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</si>
  <si>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</si>
  <si>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</si>
  <si>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</si>
  <si>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</si>
  <si>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</si>
  <si>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</si>
  <si>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</si>
  <si>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</si>
  <si>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</si>
  <si>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</si>
  <si>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</si>
  <si>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</si>
  <si>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</si>
  <si>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</si>
  <si>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</si>
  <si>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</si>
  <si>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</si>
  <si>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</si>
  <si>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</si>
  <si>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</si>
  <si>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</si>
  <si>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</si>
  <si>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</si>
  <si>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</si>
  <si>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</si>
  <si>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</si>
  <si>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</si>
  <si>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</si>
  <si>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</si>
  <si>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</si>
  <si>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</si>
  <si>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</si>
  <si>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</si>
  <si>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</si>
  <si>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</si>
  <si>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</si>
  <si>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</si>
  <si>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</si>
  <si>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</si>
  <si>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</si>
  <si>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</si>
  <si>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</si>
  <si>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</si>
  <si>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</si>
  <si>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</si>
  <si>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</si>
  <si>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</si>
  <si>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</si>
  <si>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</si>
  <si>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</si>
  <si>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</si>
  <si>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</si>
  <si>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</si>
  <si>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</si>
  <si>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</si>
  <si>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</si>
  <si>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</si>
  <si>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</si>
  <si>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</si>
  <si>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</si>
  <si>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</si>
  <si>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</si>
  <si>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</si>
  <si>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</si>
  <si>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</si>
  <si>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</si>
  <si>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</si>
  <si>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</si>
  <si>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</si>
  <si>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</si>
  <si>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</si>
  <si>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</si>
  <si>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</si>
  <si>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</si>
  <si>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</si>
  <si>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</si>
  <si>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</si>
  <si>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</si>
  <si>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</si>
  <si>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</si>
  <si>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</si>
  <si>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</si>
  <si>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</si>
  <si>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</si>
  <si>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</si>
  <si>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</si>
  <si>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</si>
  <si>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</si>
  <si>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</si>
  <si>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</si>
  <si>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</si>
  <si>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</si>
  <si>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</si>
  <si>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</si>
  <si>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</si>
  <si>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</si>
  <si>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</si>
  <si>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</si>
  <si>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</si>
  <si>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</si>
  <si>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</si>
  <si>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</si>
  <si>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</si>
  <si>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</si>
  <si>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</si>
  <si>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</si>
  <si>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</si>
  <si>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</si>
  <si>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</si>
  <si>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</si>
  <si>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</si>
  <si>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</si>
  <si>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</si>
  <si>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</si>
  <si>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</si>
  <si>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</si>
  <si>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</si>
  <si>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</si>
  <si>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</si>
  <si>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</si>
  <si>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</si>
  <si>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</si>
  <si>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</si>
  <si>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</si>
  <si>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</si>
  <si>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</si>
  <si>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</si>
  <si>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</si>
  <si>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</si>
  <si>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</si>
  <si>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</si>
  <si>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</si>
  <si>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</si>
  <si>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</si>
  <si>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</si>
  <si>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</si>
  <si>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</si>
  <si>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</si>
  <si>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</si>
  <si>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</si>
  <si>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</si>
  <si>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</si>
  <si>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</si>
  <si>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</si>
  <si>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</si>
  <si>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</si>
  <si>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</si>
  <si>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</si>
  <si>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</si>
  <si>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</si>
  <si>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</si>
  <si>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</si>
  <si>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</si>
  <si>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</si>
  <si>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</si>
  <si>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</si>
  <si>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</si>
  <si>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</si>
  <si>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</si>
  <si>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</si>
  <si>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</si>
  <si>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</si>
  <si>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</si>
  <si>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</si>
  <si>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</si>
  <si>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</si>
  <si>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</si>
  <si>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</si>
  <si>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</si>
  <si>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</si>
  <si>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</si>
  <si>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</si>
  <si>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</si>
  <si>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</si>
  <si>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</si>
  <si>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</si>
  <si>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</si>
  <si>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</si>
  <si>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</si>
  <si>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</si>
  <si>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</si>
  <si>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</si>
  <si>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</si>
  <si>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</si>
  <si>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</si>
  <si>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</si>
  <si>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</si>
  <si>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</si>
  <si>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</si>
  <si>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</si>
  <si>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</si>
  <si>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</si>
  <si>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</si>
  <si>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</si>
  <si>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</si>
  <si>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</si>
  <si>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</si>
  <si>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</si>
  <si>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</si>
  <si>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</si>
  <si>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</si>
  <si>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</si>
  <si>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</si>
  <si>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</si>
  <si>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</si>
  <si>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</si>
  <si>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</si>
  <si>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</si>
  <si>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</si>
  <si>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</si>
  <si>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</si>
  <si>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</si>
  <si>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</si>
  <si>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</si>
  <si>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</si>
  <si>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</si>
  <si>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</si>
  <si>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</si>
  <si>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</si>
  <si>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</si>
  <si>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</si>
  <si>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</si>
  <si>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</si>
  <si>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</si>
  <si>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</si>
  <si>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</si>
  <si>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</si>
  <si>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</si>
  <si>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</si>
  <si>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</si>
  <si>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</si>
  <si>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</si>
  <si>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</si>
  <si>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</si>
  <si>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</si>
  <si>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</si>
  <si>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</si>
  <si>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</si>
  <si>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</si>
  <si>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</si>
  <si>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</si>
  <si>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</si>
  <si>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</si>
  <si>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</si>
  <si>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</si>
  <si>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</si>
  <si>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</si>
  <si>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</si>
  <si>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</si>
  <si>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</si>
  <si>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</si>
  <si>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</si>
  <si>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</si>
  <si>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</si>
  <si>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</si>
  <si>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</si>
  <si>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</si>
  <si>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</si>
  <si>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</si>
  <si>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</si>
  <si>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</si>
  <si>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</si>
  <si>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</si>
  <si>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</si>
  <si>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</si>
  <si>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</si>
  <si>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</si>
  <si>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</si>
  <si>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</si>
  <si>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</si>
  <si>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</si>
  <si>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</si>
  <si>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</si>
  <si>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</si>
  <si>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</si>
  <si>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</si>
  <si>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</si>
  <si>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</si>
  <si>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</si>
  <si>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</si>
  <si>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</si>
  <si>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</si>
  <si>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</si>
  <si>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</si>
  <si>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</si>
  <si>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</si>
  <si>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</si>
  <si>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</si>
  <si>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</si>
  <si>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</si>
  <si>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</si>
  <si>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</si>
  <si>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</si>
  <si>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</si>
  <si>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</si>
  <si>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</si>
  <si>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</si>
  <si>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</si>
  <si>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</si>
  <si>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</si>
  <si>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</si>
  <si>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</si>
  <si>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</si>
  <si>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</si>
  <si>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</si>
  <si>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</si>
  <si>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</si>
  <si>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</si>
  <si>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</si>
  <si>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</si>
  <si>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</si>
  <si>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</si>
  <si>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</si>
  <si>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</si>
  <si>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</si>
  <si>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</si>
  <si>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</si>
  <si>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</si>
  <si>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</si>
  <si>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</si>
  <si>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</si>
  <si>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</si>
  <si>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</si>
  <si>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</si>
  <si>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</si>
  <si>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</si>
  <si>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</si>
  <si>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</si>
  <si>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</si>
  <si>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</si>
  <si>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</si>
  <si>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</si>
  <si>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</si>
  <si>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</si>
  <si>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</si>
  <si>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</si>
  <si>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</si>
  <si>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</si>
  <si>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</si>
  <si>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</si>
  <si>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</si>
  <si>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</si>
  <si>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</si>
  <si>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</si>
  <si>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</si>
  <si>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</si>
  <si>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</si>
  <si>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</si>
  <si>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</si>
  <si>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</si>
  <si>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</si>
  <si>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</si>
  <si>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</si>
  <si>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</si>
  <si>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</si>
  <si>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</si>
  <si>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</si>
  <si>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</si>
  <si>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</si>
  <si>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</si>
  <si>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</si>
  <si>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</si>
  <si>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</si>
  <si>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</si>
  <si>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</si>
  <si>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</si>
  <si>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</si>
  <si>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</si>
  <si>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</si>
  <si>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</si>
  <si>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</si>
  <si>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</si>
  <si>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</si>
  <si>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</si>
  <si>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</si>
  <si>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</si>
  <si>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</si>
  <si>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</si>
  <si>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</si>
  <si>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</si>
  <si>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</si>
  <si>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</si>
  <si>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</si>
  <si>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</si>
  <si>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</si>
  <si>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</si>
  <si>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</si>
  <si>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</si>
  <si>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</si>
  <si>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</si>
  <si>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</si>
  <si>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</si>
  <si>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</si>
  <si>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</si>
  <si>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</si>
  <si>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</si>
  <si>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</si>
  <si>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</si>
  <si>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</si>
  <si>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</si>
  <si>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</si>
  <si>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</si>
  <si>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</si>
  <si>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</si>
  <si>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</si>
  <si>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</si>
  <si>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</si>
  <si>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</si>
  <si>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</si>
  <si>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</si>
  <si>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</si>
  <si>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</si>
  <si>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</si>
  <si>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</si>
  <si>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</si>
  <si>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</si>
  <si>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</si>
  <si>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</si>
  <si>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</si>
  <si>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</si>
  <si>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</si>
  <si>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</si>
  <si>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</si>
  <si>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</si>
  <si>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</si>
  <si>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</si>
  <si>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</si>
  <si>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</si>
  <si>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</si>
  <si>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</si>
  <si>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</si>
  <si>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</si>
  <si>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</si>
  <si>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</si>
  <si>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</si>
  <si>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</si>
  <si>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</si>
  <si>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</si>
  <si>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</si>
  <si>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</si>
  <si>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</si>
  <si>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</si>
  <si>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</si>
  <si>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</si>
  <si>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</si>
  <si>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</si>
  <si>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</si>
  <si>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</si>
  <si>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</si>
  <si>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</si>
  <si>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</si>
  <si>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</si>
  <si>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</si>
  <si>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</si>
  <si>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</si>
  <si>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</si>
  <si>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</si>
  <si>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</si>
  <si>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</si>
  <si>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</si>
  <si>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</si>
  <si>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</si>
  <si>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</si>
  <si>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</si>
  <si>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</si>
  <si>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</si>
  <si>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</si>
  <si>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</si>
  <si>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</si>
  <si>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</si>
  <si>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</si>
  <si>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</si>
  <si>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</si>
  <si>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</si>
  <si>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</si>
  <si>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</si>
  <si>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</si>
  <si>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</si>
  <si>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</si>
  <si>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</si>
  <si>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</si>
  <si>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</si>
  <si>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</si>
  <si>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</si>
  <si>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</si>
  <si>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</si>
  <si>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</si>
  <si>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</si>
  <si>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</si>
  <si>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</si>
  <si>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</si>
  <si>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</si>
  <si>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</si>
  <si>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</si>
  <si>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</si>
  <si>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</si>
  <si>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</si>
  <si>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</si>
  <si>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</si>
  <si>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</si>
  <si>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</si>
  <si>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</si>
  <si>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</si>
  <si>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</si>
  <si>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</si>
  <si>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</si>
  <si>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</si>
  <si>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</si>
  <si>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</si>
  <si>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</si>
  <si>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</si>
  <si>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</si>
  <si>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</si>
  <si>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</si>
  <si>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</si>
  <si>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</si>
  <si>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</si>
  <si>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</si>
  <si>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</si>
  <si>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</si>
  <si>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</si>
  <si>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</si>
  <si>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</si>
  <si>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</si>
  <si>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</si>
  <si>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</si>
  <si>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</si>
  <si>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</si>
  <si>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</si>
  <si>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</si>
  <si>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</si>
  <si>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</si>
  <si>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</si>
  <si>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</si>
  <si>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</si>
  <si>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</si>
  <si>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</si>
  <si>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</si>
  <si>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</si>
  <si>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</si>
  <si>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</si>
  <si>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</si>
  <si>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</si>
  <si>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</si>
  <si>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</si>
  <si>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</si>
  <si>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</si>
  <si>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</si>
  <si>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</si>
  <si>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</si>
  <si>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</si>
  <si>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</si>
  <si>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</si>
  <si>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</si>
  <si>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</si>
  <si>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</si>
  <si>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</si>
  <si>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</si>
  <si>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</si>
  <si>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</si>
  <si>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</si>
  <si>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</si>
  <si>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</si>
  <si>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</si>
  <si>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</si>
  <si>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</si>
  <si>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</si>
  <si>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</si>
  <si>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</si>
  <si>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</si>
  <si>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</si>
  <si>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</si>
  <si>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</si>
  <si>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</si>
  <si>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</si>
  <si>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</si>
  <si>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</si>
  <si>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</si>
  <si>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</si>
  <si>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</si>
  <si>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</si>
  <si>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</si>
  <si>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</si>
  <si>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</si>
  <si>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</si>
  <si>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</si>
  <si>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</si>
  <si>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</si>
  <si>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</si>
  <si>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</si>
  <si>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</si>
  <si>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</si>
  <si>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</si>
  <si>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</si>
  <si>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</si>
  <si>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</si>
  <si>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</si>
  <si>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</si>
  <si>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</si>
  <si>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</si>
  <si>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</si>
  <si>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</si>
  <si>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</si>
  <si>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</si>
  <si>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</si>
  <si>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</si>
  <si>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</si>
  <si>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</si>
  <si>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</si>
  <si>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</si>
  <si>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</si>
  <si>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</si>
  <si>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</si>
  <si>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</si>
  <si>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</si>
  <si>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</si>
  <si>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</si>
  <si>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</si>
  <si>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</si>
  <si>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</si>
  <si>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</si>
  <si>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</si>
  <si>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</si>
  <si>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</si>
  <si>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</si>
  <si>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</si>
  <si>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</si>
  <si>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</si>
  <si>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</si>
  <si>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</si>
  <si>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</si>
  <si>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</si>
  <si>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</si>
  <si>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</si>
  <si>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</si>
  <si>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</si>
  <si>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</si>
  <si>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</si>
  <si>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</si>
  <si>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</si>
  <si>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</si>
  <si>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</si>
  <si>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</si>
  <si>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</si>
  <si>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</si>
  <si>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</si>
  <si>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</si>
  <si>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</si>
  <si>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</si>
  <si>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</si>
  <si>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</si>
  <si>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</si>
  <si>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</si>
  <si>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</si>
  <si>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</si>
  <si>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</si>
  <si>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</si>
  <si>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</si>
  <si>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</si>
  <si>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</si>
  <si>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</si>
  <si>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</si>
  <si>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</si>
  <si>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</si>
  <si>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</si>
  <si>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</si>
  <si>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</si>
  <si>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</si>
  <si>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</si>
  <si>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</si>
  <si>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</si>
  <si>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</si>
  <si>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</si>
  <si>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</si>
  <si>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</si>
  <si>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</si>
  <si>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</si>
  <si>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</si>
  <si>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</si>
  <si>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</si>
  <si>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</si>
  <si>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</si>
  <si>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</si>
  <si>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</si>
  <si>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</si>
  <si>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</si>
  <si>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</si>
  <si>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</si>
  <si>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</si>
  <si>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</si>
  <si>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</si>
  <si>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</si>
  <si>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</si>
  <si>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</si>
  <si>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</si>
  <si>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</si>
  <si>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</si>
  <si>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</si>
  <si>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</si>
  <si>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</si>
  <si>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</si>
  <si>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</si>
  <si>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</si>
  <si>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</si>
  <si>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</si>
  <si>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</si>
  <si>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</si>
  <si>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</si>
  <si>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</si>
  <si>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</si>
  <si>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</si>
  <si>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</si>
  <si>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</si>
  <si>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</si>
  <si>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</si>
  <si>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</si>
  <si>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</si>
  <si>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</si>
  <si>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</si>
  <si>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</si>
  <si>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</si>
  <si>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</si>
  <si>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</si>
  <si>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</si>
  <si>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</si>
  <si>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</si>
  <si>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</si>
  <si>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</si>
  <si>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</si>
  <si>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</si>
  <si>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</si>
  <si>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</si>
  <si>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</si>
  <si>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</si>
  <si>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</si>
  <si>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</si>
  <si>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</si>
  <si>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</si>
  <si>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</si>
  <si>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</si>
  <si>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</si>
  <si>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</si>
  <si>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</si>
  <si>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</si>
  <si>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</si>
  <si>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</si>
  <si>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</si>
  <si>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</si>
  <si>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</si>
  <si>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</si>
  <si>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</si>
  <si>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</si>
  <si>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</si>
  <si>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</si>
  <si>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</si>
  <si>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</si>
  <si>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</si>
  <si>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</si>
  <si>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</si>
  <si>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</si>
  <si>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</si>
  <si>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</si>
  <si>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</si>
  <si>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</si>
  <si>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</si>
  <si>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</si>
  <si>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</si>
  <si>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</si>
  <si>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</si>
  <si>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</si>
  <si>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</si>
  <si>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</si>
  <si>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</si>
  <si>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</si>
  <si>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</si>
  <si>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</si>
  <si>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</si>
  <si>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</si>
  <si>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</si>
  <si>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</si>
  <si>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</si>
  <si>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</si>
  <si>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</si>
  <si>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</si>
  <si>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</si>
  <si>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</si>
  <si>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</si>
  <si>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</si>
  <si>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</si>
  <si>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</si>
  <si>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</si>
  <si>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</si>
  <si>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</si>
  <si>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</si>
  <si>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</si>
  <si>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</si>
  <si>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</si>
  <si>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</si>
  <si>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</si>
  <si>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</si>
  <si>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</si>
  <si>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</si>
  <si>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</si>
  <si>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</si>
  <si>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</si>
  <si>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</si>
  <si>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</si>
  <si>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</si>
  <si>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</si>
  <si>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</si>
  <si>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</si>
  <si>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</si>
  <si>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</si>
  <si>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</si>
  <si>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</si>
  <si>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</si>
  <si>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</si>
  <si>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</si>
  <si>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</si>
  <si>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</si>
  <si>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</si>
  <si>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</si>
  <si>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</si>
  <si>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</si>
  <si>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</si>
  <si>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</si>
  <si>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</si>
  <si>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</si>
  <si>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</si>
  <si>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</si>
  <si>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</si>
  <si>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</si>
  <si>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</si>
  <si>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</si>
  <si>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</si>
  <si>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</si>
  <si>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</si>
  <si>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</si>
  <si>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</si>
  <si>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</si>
  <si>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</si>
  <si>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</si>
  <si>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</si>
  <si>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</si>
  <si>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</si>
  <si>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</si>
  <si>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</si>
  <si>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</si>
  <si>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</si>
  <si>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</si>
  <si>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</si>
  <si>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</si>
  <si>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</si>
  <si>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</si>
  <si>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</si>
  <si>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</si>
  <si>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</si>
  <si>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</si>
  <si>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</si>
  <si>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</si>
  <si>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</si>
  <si>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</si>
  <si>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</si>
  <si>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</si>
  <si>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</si>
  <si>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</si>
  <si>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</si>
  <si>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</si>
  <si>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</si>
  <si>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</si>
  <si>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</si>
  <si>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</si>
  <si>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</si>
  <si>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</si>
  <si>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</si>
  <si>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</si>
  <si>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</si>
  <si>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</si>
  <si>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</si>
  <si>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</si>
  <si>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</si>
  <si>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</si>
  <si>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</si>
  <si>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</si>
  <si>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</si>
  <si>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</si>
  <si>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</si>
  <si>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</si>
  <si>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</si>
  <si>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</si>
  <si>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</si>
  <si>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</si>
  <si>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</si>
  <si>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</si>
  <si>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</si>
  <si>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</si>
  <si>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</si>
  <si>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</si>
  <si>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</si>
  <si>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</si>
  <si>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</si>
  <si>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</si>
  <si>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</si>
  <si>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</si>
  <si>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</si>
  <si>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</si>
  <si>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</si>
  <si>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</si>
  <si>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</si>
  <si>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</si>
  <si>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</si>
  <si>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</si>
  <si>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</si>
  <si>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</si>
  <si>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</si>
  <si>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</si>
  <si>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</si>
  <si>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</si>
  <si>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</si>
  <si>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</si>
  <si>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</si>
  <si>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</si>
  <si>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</si>
  <si>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</si>
  <si>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</si>
  <si>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</si>
  <si>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</si>
  <si>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</si>
  <si>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</si>
  <si>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</si>
  <si>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</si>
  <si>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</si>
  <si>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</si>
  <si>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</si>
  <si>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</si>
  <si>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</si>
  <si>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</si>
  <si>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</si>
  <si>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</si>
  <si>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</si>
  <si>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</si>
  <si>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</si>
  <si>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</si>
  <si>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</si>
  <si>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</si>
  <si>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</si>
  <si>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</si>
  <si>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</si>
  <si>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</si>
  <si>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</si>
  <si>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</si>
  <si>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</si>
  <si>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</si>
  <si>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</si>
  <si>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</si>
  <si>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</si>
  <si>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</si>
  <si>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</si>
  <si>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</si>
  <si>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</si>
  <si>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</si>
  <si>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</si>
  <si>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</si>
  <si>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</si>
  <si>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</si>
  <si>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</si>
  <si>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</si>
  <si>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</si>
  <si>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</si>
  <si>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</si>
  <si>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</si>
  <si>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</si>
  <si>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</si>
  <si>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</si>
  <si>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</si>
  <si>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</si>
  <si>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</si>
  <si>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</si>
  <si>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</si>
  <si>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</si>
  <si>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</si>
  <si>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</si>
  <si>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</si>
  <si>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</si>
  <si>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</si>
  <si>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</si>
  <si>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</si>
  <si>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</si>
  <si>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</si>
  <si>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</si>
  <si>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</si>
  <si>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</si>
  <si>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</si>
  <si>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</si>
  <si>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</si>
  <si>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</si>
  <si>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</si>
  <si>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</si>
  <si>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</si>
  <si>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</si>
  <si>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</si>
  <si>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</si>
  <si>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</si>
  <si>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</si>
  <si>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</si>
  <si>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</si>
  <si>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</si>
  <si>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</si>
  <si>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</si>
  <si>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</si>
  <si>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</si>
  <si>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</si>
  <si>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</si>
  <si>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</si>
  <si>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</si>
  <si>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</si>
  <si>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</si>
  <si>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</si>
  <si>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</si>
  <si>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</si>
  <si>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</si>
  <si>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</si>
  <si>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</si>
  <si>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</si>
  <si>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</si>
  <si>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</si>
  <si>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</si>
  <si>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</si>
  <si>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</si>
  <si>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</si>
  <si>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</si>
  <si>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</si>
  <si>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</si>
  <si>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</si>
  <si>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</si>
  <si>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</si>
  <si>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</si>
  <si>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</si>
  <si>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</si>
  <si>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</si>
  <si>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</si>
  <si>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</si>
  <si>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</si>
  <si>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</si>
  <si>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</si>
  <si>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</si>
  <si>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</si>
  <si>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</si>
  <si>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</si>
  <si>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</si>
  <si>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</si>
  <si>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</si>
  <si>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</si>
  <si>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</si>
  <si>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</si>
  <si>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</si>
  <si>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</si>
  <si>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</si>
  <si>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</si>
  <si>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</si>
  <si>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</si>
  <si>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</si>
  <si>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</si>
  <si>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</si>
  <si>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</si>
  <si>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</si>
  <si>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</si>
  <si>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</si>
  <si>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</si>
  <si>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</si>
  <si>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</si>
  <si>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</si>
  <si>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</si>
  <si>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</si>
  <si>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</si>
  <si>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</si>
  <si>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</si>
  <si>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</si>
  <si>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</si>
  <si>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</si>
  <si>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</si>
  <si>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</si>
  <si>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</si>
  <si>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</si>
  <si>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</si>
  <si>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</si>
  <si>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</si>
  <si>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</si>
  <si>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</si>
  <si>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</si>
  <si>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</si>
  <si>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</si>
  <si>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</si>
  <si>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</si>
  <si>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</si>
  <si>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</si>
  <si>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</si>
  <si>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</si>
  <si>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</si>
  <si>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</si>
  <si>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</si>
  <si>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</si>
  <si>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</si>
  <si>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</si>
  <si>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</si>
  <si>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</si>
  <si>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</si>
  <si>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</si>
  <si>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</si>
  <si>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</si>
  <si>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</si>
  <si>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</si>
  <si>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</si>
  <si>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</si>
  <si>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</si>
  <si>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</si>
  <si>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</si>
  <si>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</si>
  <si>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</si>
  <si>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</si>
  <si>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</si>
  <si>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</si>
  <si>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</si>
  <si>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</si>
  <si>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</si>
  <si>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</si>
  <si>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</si>
  <si>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</si>
  <si>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</si>
  <si>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</si>
  <si>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</si>
  <si>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</si>
  <si>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</si>
  <si>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</si>
  <si>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</si>
  <si>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</si>
  <si>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</si>
  <si>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</si>
  <si>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</si>
  <si>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</si>
  <si>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</si>
  <si>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</si>
  <si>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</si>
  <si>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</si>
  <si>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</si>
  <si>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</si>
  <si>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</si>
  <si>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</si>
  <si>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</si>
  <si>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</si>
  <si>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</si>
  <si>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</si>
  <si>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</si>
  <si>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</si>
  <si>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</si>
  <si>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</si>
  <si>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</si>
  <si>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</si>
  <si>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</si>
  <si>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</si>
  <si>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</si>
  <si>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</si>
  <si>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</si>
  <si>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</si>
  <si>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</si>
  <si>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</si>
  <si>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</si>
  <si>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</si>
  <si>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</si>
  <si>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</si>
  <si>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</si>
  <si>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</si>
  <si>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</si>
  <si>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</si>
  <si>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</si>
  <si>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</si>
  <si>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</si>
  <si>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</si>
  <si>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</si>
  <si>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</si>
  <si>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</si>
  <si>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</si>
  <si>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</si>
  <si>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</si>
  <si>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</si>
  <si>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</si>
  <si>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</si>
  <si>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</si>
  <si>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</si>
  <si>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</si>
  <si>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</si>
  <si>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</si>
  <si>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</si>
  <si>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</si>
  <si>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</si>
  <si>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</si>
  <si>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</si>
  <si>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</si>
  <si>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</si>
  <si>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</si>
  <si>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</si>
  <si>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</si>
  <si>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</si>
  <si>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</si>
  <si>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</si>
  <si>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</si>
  <si>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</si>
  <si>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</si>
  <si>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</si>
  <si>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</si>
  <si>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</si>
  <si>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</si>
  <si>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</si>
  <si>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</si>
  <si>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</si>
  <si>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</si>
  <si>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</si>
  <si>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</si>
  <si>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</si>
  <si>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</si>
  <si>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</si>
  <si>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</si>
  <si>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</si>
  <si>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</si>
  <si>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</si>
  <si>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</si>
  <si>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</si>
  <si>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</si>
  <si>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</si>
  <si>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</si>
  <si>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</si>
  <si>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</si>
  <si>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</si>
  <si>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</si>
  <si>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</si>
  <si>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</si>
  <si>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</si>
  <si>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</si>
  <si>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</si>
  <si>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</si>
  <si>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</si>
  <si>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</si>
  <si>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</si>
  <si>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</si>
  <si>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</si>
  <si>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</si>
  <si>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</si>
  <si>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</si>
  <si>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</si>
  <si>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</si>
  <si>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</si>
  <si>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</si>
  <si>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</si>
  <si>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</si>
  <si>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</si>
  <si>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</si>
  <si>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</si>
  <si>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</si>
  <si>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</si>
  <si>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</si>
  <si>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</si>
  <si>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</si>
  <si>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</si>
  <si>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</si>
  <si>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</si>
  <si>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</si>
  <si>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</si>
  <si>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</si>
  <si>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</si>
  <si>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</si>
  <si>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</si>
  <si>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</si>
  <si>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</si>
  <si>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</si>
  <si>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</si>
  <si>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</si>
  <si>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</si>
  <si>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</si>
  <si>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</si>
  <si>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</si>
  <si>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</si>
  <si>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</si>
  <si>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</si>
  <si>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</si>
  <si>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</si>
  <si>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</si>
  <si>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</si>
  <si>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</si>
  <si>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</si>
  <si>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</si>
  <si>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</si>
  <si>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</si>
  <si>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</si>
  <si>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</si>
  <si>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</si>
  <si>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</si>
  <si>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</si>
  <si>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</si>
  <si>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</si>
  <si>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</si>
  <si>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</si>
  <si>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</si>
  <si>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</si>
  <si>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</si>
  <si>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</si>
  <si>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</si>
  <si>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</si>
  <si>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</si>
  <si>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</si>
  <si>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</si>
  <si>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</si>
  <si>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</si>
  <si>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</si>
  <si>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</si>
  <si>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</si>
  <si>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</si>
  <si>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</si>
  <si>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</si>
  <si>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</si>
  <si>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</si>
  <si>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</si>
  <si>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</si>
  <si>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</si>
  <si>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</si>
  <si>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</si>
  <si>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</si>
  <si>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</si>
  <si>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</si>
  <si>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</si>
  <si>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</si>
  <si>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</si>
  <si>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</si>
  <si>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</si>
  <si>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</si>
  <si>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</si>
  <si>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</si>
  <si>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</si>
  <si>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</si>
  <si>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</si>
  <si>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</si>
  <si>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</si>
  <si>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</si>
  <si>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</si>
  <si>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</si>
  <si>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</si>
  <si>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</si>
  <si>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</si>
  <si>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</si>
  <si>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</si>
  <si>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</si>
  <si>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</si>
  <si>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</si>
  <si>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</si>
  <si>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</si>
  <si>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</si>
  <si>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</si>
  <si>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</si>
  <si>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</si>
  <si>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</si>
  <si>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</si>
  <si>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</si>
  <si>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</si>
  <si>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</si>
  <si>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</si>
  <si>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</si>
  <si>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</si>
  <si>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</si>
  <si>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</si>
  <si>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</si>
  <si>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</si>
  <si>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</si>
  <si>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</si>
  <si>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</si>
  <si>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</si>
  <si>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</si>
  <si>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</si>
  <si>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</si>
  <si>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</si>
  <si>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</si>
  <si>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</si>
  <si>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</si>
  <si>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</si>
  <si>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</si>
  <si>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</si>
  <si>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</si>
  <si>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</si>
  <si>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</si>
  <si>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</si>
  <si>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</si>
  <si>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</si>
  <si>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</si>
  <si>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</si>
  <si>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</si>
  <si>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</si>
  <si>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</si>
  <si>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</si>
  <si>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</si>
  <si>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</si>
  <si>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</si>
  <si>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</si>
  <si>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</si>
  <si>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</si>
  <si>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</si>
  <si>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</si>
  <si>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</si>
  <si>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</si>
  <si>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</si>
  <si>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</si>
  <si>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</si>
  <si>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</si>
  <si>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</si>
  <si>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</si>
  <si>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</si>
  <si>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</si>
  <si>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</si>
  <si>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</si>
  <si>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</si>
  <si>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</si>
  <si>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</si>
  <si>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</si>
  <si>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</si>
  <si>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</si>
  <si>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</si>
  <si>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</si>
  <si>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</si>
  <si>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</si>
  <si>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</si>
  <si>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</si>
  <si>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</si>
  <si>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</si>
  <si>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</si>
  <si>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</si>
  <si>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</si>
  <si>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</si>
  <si>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</si>
  <si>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</si>
  <si>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</si>
  <si>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</si>
  <si>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</si>
  <si>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</si>
  <si>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</si>
  <si>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</si>
  <si>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</si>
  <si>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</si>
  <si>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</si>
  <si>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</si>
  <si>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</si>
  <si>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</si>
  <si>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</si>
  <si>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</si>
  <si>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</si>
  <si>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</si>
  <si>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</si>
  <si>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</si>
  <si>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</si>
  <si>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</si>
  <si>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</si>
  <si>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</si>
  <si>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</si>
  <si>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</si>
  <si>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</si>
  <si>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</si>
  <si>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</si>
  <si>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</si>
  <si>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</si>
  <si>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</si>
  <si>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</si>
  <si>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</si>
  <si>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</si>
  <si>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</si>
  <si>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</si>
  <si>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</si>
  <si>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</si>
  <si>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</si>
  <si>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</si>
  <si>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</si>
  <si>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</si>
  <si>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</si>
  <si>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</si>
  <si>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</si>
  <si>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</si>
  <si>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</si>
  <si>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</si>
  <si>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</si>
  <si>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</si>
  <si>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</si>
  <si>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</si>
  <si>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</si>
  <si>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</si>
  <si>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</si>
  <si>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</si>
  <si>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</si>
  <si>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</si>
  <si>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</si>
  <si>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</si>
  <si>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</si>
  <si>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</si>
  <si>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</si>
  <si>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</si>
  <si>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</si>
  <si>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</si>
  <si>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</si>
  <si>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</si>
  <si>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</si>
  <si>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</si>
  <si>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</si>
  <si>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</si>
  <si>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</si>
  <si>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</si>
  <si>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</si>
  <si>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</si>
  <si>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</si>
  <si>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</si>
  <si>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</si>
  <si>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</si>
  <si>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</si>
  <si>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</si>
  <si>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</si>
  <si>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</si>
  <si>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</si>
  <si>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</si>
  <si>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</si>
  <si>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</si>
  <si>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</si>
  <si>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</si>
  <si>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</si>
  <si>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</si>
  <si>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CATALINA VALENZUEA</t>
  </si>
  <si>
    <t>BENJAMIN PINO- CONBES</t>
  </si>
  <si>
    <t>CRISTIAN ELGUETA ICG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</si>
  <si>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</si>
  <si>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</si>
  <si>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</si>
  <si>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</si>
  <si>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</si>
  <si>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</si>
  <si>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</si>
  <si>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</si>
  <si>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</si>
  <si>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</si>
  <si>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</si>
  <si>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</si>
  <si>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</si>
  <si>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BENJAMIN PINO</t>
  </si>
  <si>
    <t>VICENTE PINO</t>
  </si>
  <si>
    <t xml:space="preserve">BENJAMIN PINO </t>
  </si>
  <si>
    <t xml:space="preserve">ALEJANDRO LEON 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</si>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</sst>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8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  <xf numFmtId="0" fontId="0" fillId="3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7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0.13115767045454543</c:v>
                </c:pt>
                <c:pt idx="1">
                  <c:v>0.86884232954545459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0.15095446329229367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993129414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2.8718700866393068E-2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992313725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1000340364.8119019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194671983.76310009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-5.271422462896022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-5.27142246289602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2545270.8682999997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0.13115767045454543</c:v>
                </c:pt>
                <c:pt idx="1">
                  <c:v>0.86884232954545459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FISICO'!$G$4:$G$5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FISICO'!$H$4:$H$5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6</c:v>
                </c:pt>
                <c:pt idx="2">
                  <c:v>10</c:v>
                </c:pt>
                <c:pt idx="3">
                  <c:v>12</c:v>
                </c:pt>
                <c:pt idx="4">
                  <c:v>16</c:v>
                </c:pt>
                <c:pt idx="5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FISICO'!$C$4:$C$5</c:f>
              <c:numCache>
                <c:formatCode>0</c:formatCode>
                <c:ptCount val="1"/>
                <c:pt idx="0">
                  <c:v>210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FISICO'!$D$4:$D$5</c:f>
              <c:numCache>
                <c:formatCode>0</c:formatCode>
                <c:ptCount val="1"/>
                <c:pt idx="0">
                  <c:v>108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FISICO'!$C$504:$C$505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FISICO'!$D$504:$D$505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0.13120000000000001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2781.8695934848884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815.20740098257329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0.13978652525633761</c:v>
                </c:pt>
                <c:pt idx="1">
                  <c:v>0.86021347474366239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4.2117920016796463E-2</c:v>
                </c:pt>
                <c:pt idx="1">
                  <c:v>3.2665001701855566E-2</c:v>
                </c:pt>
                <c:pt idx="2">
                  <c:v>1.9269454825172623E-2</c:v>
                </c:pt>
                <c:pt idx="3">
                  <c:v>5.4746990637923858E-3</c:v>
                </c:pt>
                <c:pt idx="4">
                  <c:v>1.7251719352914609E-2</c:v>
                </c:pt>
                <c:pt idx="5">
                  <c:v>4.6569578464436961E-2</c:v>
                </c:pt>
                <c:pt idx="6">
                  <c:v>4.1789971934105115E-2</c:v>
                </c:pt>
                <c:pt idx="7">
                  <c:v>1.5769267186714567E-2</c:v>
                </c:pt>
                <c:pt idx="8">
                  <c:v>3.1622335457455401E-2</c:v>
                </c:pt>
                <c:pt idx="9">
                  <c:v>9.814024734007094E-3</c:v>
                </c:pt>
                <c:pt idx="10">
                  <c:v>0</c:v>
                </c:pt>
                <c:pt idx="11">
                  <c:v>0</c:v>
                </c:pt>
                <c:pt idx="12">
                  <c:v>2.2640168019631313E-2</c:v>
                </c:pt>
                <c:pt idx="13">
                  <c:v>4.5575352189323716E-2</c:v>
                </c:pt>
                <c:pt idx="14">
                  <c:v>5.7441792403017659E-2</c:v>
                </c:pt>
                <c:pt idx="15">
                  <c:v>5.8139666833533173E-2</c:v>
                </c:pt>
                <c:pt idx="16">
                  <c:v>4.0751780815013558E-2</c:v>
                </c:pt>
                <c:pt idx="17">
                  <c:v>4.8768934192441431E-2</c:v>
                </c:pt>
                <c:pt idx="18">
                  <c:v>4.2002220691597876E-2</c:v>
                </c:pt>
                <c:pt idx="19">
                  <c:v>6.2184181302555645E-2</c:v>
                </c:pt>
                <c:pt idx="20">
                  <c:v>4.7461900575755146E-2</c:v>
                </c:pt>
                <c:pt idx="21">
                  <c:v>5.5044041381077116E-2</c:v>
                </c:pt>
                <c:pt idx="22">
                  <c:v>3.463544898731432E-2</c:v>
                </c:pt>
                <c:pt idx="23">
                  <c:v>0</c:v>
                </c:pt>
                <c:pt idx="24">
                  <c:v>4.201513475428597E-2</c:v>
                </c:pt>
                <c:pt idx="25">
                  <c:v>4.2707506158106256E-2</c:v>
                </c:pt>
                <c:pt idx="26">
                  <c:v>3.3835978755870501E-2</c:v>
                </c:pt>
                <c:pt idx="27">
                  <c:v>3.3835978755870508E-2</c:v>
                </c:pt>
                <c:pt idx="28">
                  <c:v>3.3835978755870508E-2</c:v>
                </c:pt>
                <c:pt idx="29">
                  <c:v>8.459328742753641E-4</c:v>
                </c:pt>
                <c:pt idx="30">
                  <c:v>3.5934029817209105E-2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992313725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1000340364.8119019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194671983.76310009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2545270.8682999997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4.2117920016796463E-2</c:v>
                </c:pt>
                <c:pt idx="1">
                  <c:v>3.2665001701855566E-2</c:v>
                </c:pt>
                <c:pt idx="2">
                  <c:v>1.9269454825172623E-2</c:v>
                </c:pt>
                <c:pt idx="3">
                  <c:v>5.4746990637923858E-3</c:v>
                </c:pt>
                <c:pt idx="4">
                  <c:v>1.7251719352914609E-2</c:v>
                </c:pt>
                <c:pt idx="5">
                  <c:v>4.6569578464436961E-2</c:v>
                </c:pt>
                <c:pt idx="6">
                  <c:v>4.1789971934105115E-2</c:v>
                </c:pt>
                <c:pt idx="7">
                  <c:v>1.5769267186714567E-2</c:v>
                </c:pt>
                <c:pt idx="8">
                  <c:v>3.1622335457455401E-2</c:v>
                </c:pt>
                <c:pt idx="9">
                  <c:v>9.814024734007094E-3</c:v>
                </c:pt>
                <c:pt idx="10">
                  <c:v>0</c:v>
                </c:pt>
                <c:pt idx="11">
                  <c:v>0</c:v>
                </c:pt>
                <c:pt idx="12">
                  <c:v>2.2640168019631313E-2</c:v>
                </c:pt>
                <c:pt idx="13">
                  <c:v>4.5575352189323716E-2</c:v>
                </c:pt>
                <c:pt idx="14">
                  <c:v>5.7441792403017659E-2</c:v>
                </c:pt>
                <c:pt idx="15">
                  <c:v>5.8139666833533173E-2</c:v>
                </c:pt>
                <c:pt idx="16">
                  <c:v>4.0751780815013558E-2</c:v>
                </c:pt>
                <c:pt idx="17">
                  <c:v>4.8768934192441431E-2</c:v>
                </c:pt>
                <c:pt idx="18">
                  <c:v>4.2002220691597876E-2</c:v>
                </c:pt>
                <c:pt idx="19">
                  <c:v>6.2184181302555645E-2</c:v>
                </c:pt>
                <c:pt idx="20">
                  <c:v>4.7461900575755146E-2</c:v>
                </c:pt>
                <c:pt idx="21">
                  <c:v>5.5044041381077116E-2</c:v>
                </c:pt>
                <c:pt idx="22">
                  <c:v>3.463544898731432E-2</c:v>
                </c:pt>
                <c:pt idx="23">
                  <c:v>0</c:v>
                </c:pt>
                <c:pt idx="24">
                  <c:v>4.201513475428597E-2</c:v>
                </c:pt>
                <c:pt idx="25">
                  <c:v>4.2707506158106256E-2</c:v>
                </c:pt>
                <c:pt idx="26">
                  <c:v>3.3835978755870501E-2</c:v>
                </c:pt>
                <c:pt idx="27">
                  <c:v>3.3835978755870508E-2</c:v>
                </c:pt>
                <c:pt idx="28">
                  <c:v>3.3835978755870508E-2</c:v>
                </c:pt>
                <c:pt idx="29">
                  <c:v>8.459328742753641E-4</c:v>
                </c:pt>
                <c:pt idx="30">
                  <c:v>3.5934029817209105E-2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-0,80%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-$8.026.640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15,10%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$993.129.414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909851"/>
            <a:ext cx="2357436" cy="125170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108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29380176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42369912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33225305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9499239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9415898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29403989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3123709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647644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13,98%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008704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602355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200644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197072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664075810186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PERFIL ESQUINERO ENCUENTRO PVC 8MM BLANCO"/>
        <s v="ESQUINERO CORNIZA EXTERIOR PVC COLOR BLANCO"/>
        <s v="CEERRADURA BAÑO 815 TUBULAR DAP DUCASSE US32D 45MM ACERO INOX 304"/>
        <s v="PLANCHA YESO CARTON RF 1.22x2.44x15 BORDE CUADRADO S/PAPEL ( 2,9768 M2 X PL=70 PLX PQTE) SKU 5001097"/>
        <s v="CONECTOR DENTADO SIMPSON DE 3&quot; X 6&quot; (AS36B / CAJA 232 UND)"/>
        <s v="FORRO LATERAL E:05mm L:1000mm ALUZINC"/>
        <s v="TYPAR VOLCANWRAP ROLLO DE 2,743 x 45,72 MTS ( 125 M2 x ROLLO ) SKU 7000031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TORNILLO ZINCADO 8 x 3&quot; CRS."/>
        <s v="PLACA OSB STANDARD DE 1.22 x 2.44 x 11.1 MM ( 72 X PAQUETE )"/>
        <s v="PINO SYP GRADO 2 PRIME IMPREGNADO DE  3&quot; x 8&quot; x 10' (63x184 mm)"/>
        <s v="PINO NACIONAL GRADO C-16/C-24 IMPREGNADO DE 2&quot; X 6&quot; X 4,00 m (VIVIENDAS SOCIALES)"/>
        <s v="ADHESIVO GEXAFLEX 60 ENVASE GALON ( 3.75 LTS)"/>
        <s v="PLANCHA YESO CARTON VOLCAN RF 1.22 x 3.40 x 15MM WHITE BORDE CUADRADO (40PLXPQ) SKU 5002142"/>
        <s v="LLAVE DE BOLA JARDIN/LAVAD 1/2&quot; MANGO ROJO"/>
        <s v="GOLILLA PVC BLANCA PARA TECHO 27 MM C/TAPA"/>
        <s v="LLAVE DE BOLA JARDIN/LAVAD 1/2&quot; MANGO AZUL"/>
        <s v="CLAVO HELICOIDAL 31/4 x 80 N-80 (CAJA 4.500 UNIDADES)"/>
        <s v="GRAPA 14X35 T-50 (10.000 X CAJA)"/>
        <s v="ESQUINERO GUARDAPOLVO EXTERIOR PVC COLOR BLANCO"/>
        <s v="PLACA FIBROCEMENTO SIMPLISIMA CENIA BEIGE 2400 MM x 1200 MM x 6 MM"/>
        <s v="PLACA SMART SIDE R-4 SPC-M111 DE 1.220X2.440X11.1 MM (72 PL.POR PALLET )"/>
        <s v="HOLDOWN ALTA CARGA HDQ8 CON TORNILLOS SDS 3&quot;-DHQ8"/>
        <s v="TORNILLO PARA CONECTORES 5MM X 50MM (CAJA 250 UN) (CODIGO SIMPSON: CSA5.0X50)"/>
        <s v="ESQUINERO CORNIZA INTERIOR PVC COLOR BLANCO"/>
        <s v="ESCUADRA REFORZADA 105 X 150 X 90 E:3MM (COD: ABR105)"/>
        <s v="TORNILLO SIMPSON ESTRUCTURAL SDWS22600DB DE 6&quot; (500 TORN.XPQTE.)"/>
        <s v="AISLAN  GLASS 90 MM 0.375x12 MTS . DENSIDAD 11 KG/M3 (13.5 M2 X BOLSA) SKU 4000147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TORNILLO PARA FIBROCEMENTO PUNTA ESPEDA DE 10 x 13/4&quot;  COD: K20TFCW (CAJA 1.000 UND )"/>
        <s v="PINO NACIONAL GRADO C-16/C-24 IMPREGNADO DE 2&quot; X 6&quot; X 3,20 m (41x138mm)"/>
        <s v="SOPORTE BARRA CORTINA ECONOMICO BLANCO COD:1511110022050"/>
        <s v="TORNILLOS SDS PARA CONECTORES ¼ X 4 1/2&quot; - VASTAGO LARGO (100 UN X CAJA) (SDS25412MB)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CELOSIA ALUMINIO MATE 25 x 25 CMS"/>
        <s v="CELOSÍA ALUMINIO BLANCO 805X2446 QUIEBRAVISTA GRANDE Y ANGULO PERIMETRAL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AISLAN GLASS 140 MM R100/349 0.375x7.20 MTS DENSIDAD 13 KG/M3 (8.1 M2) COD:4000724"/>
        <s v="IMPRIMANTE 4G"/>
        <s v="CUBREJUNTA MDF WHITE  DE 5.5 x 40 x 3.600 MM  (VOLCAN) SKU: 1500015"/>
        <s v="PASTA RETAPE NEUTRA WET-PROOF"/>
        <s v="MEMBRANA PVC NEGRA DE 0.8 MM ESPESOR TERMOFUSIONADA (4,1 ANCHO X 13 MT LARGO) MOD TIPO QB"/>
        <s v="PORTA ROLLO BENTON CROMO (21BE0000100)"/>
        <s v="PILASTRA MDF FOLIO COLOR BLANCO DE 12 x 57 x 2,440  mm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MANILLON C SPAGNA 19X200X300 MM (SKU: 041420)"/>
        <s v="CILINDRO 03 LLAVE/LLAVE 70MM (35X35) AI"/>
        <s v="CAVE POLFLEX IMPERMEABILIZANTE , COPD: LCPIMM10020601 BALDE 20 KG"/>
        <s v="BOCALLAVE B1 800 ACCESO SATINADO (PAR)"/>
        <s v="MUEBLE BASE LAVAPLATOS 80X50X86,5 CM EN MELAMINA BLANCA 15 MM"/>
        <s v="CERRADURA DE EMB 85000 MULTIPLE C/REC"/>
        <s v="BARANDA METALICA  3140X1050 MM- SOLUCION BALCON"/>
        <s v="PLANCHA YESO CARTON RH DE 1.20 x 2.40 x 12.5 MM BORDE REBAJADO (70PLXPQT)"/>
        <s v="KIT DESAGÜE Y SIFÓN C/REBALSE PARA TINAS (SC1015690001BS)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AISLAN  GLASS 50 MM 0.375x12 MTS . DENSIDAD 14 KG/M3 (13.5 M2 X BOLSA) SKU 4000147"/>
        <s v="ESQUINERO PILASTRA PVC COLOR BLANCO"/>
        <s v="PINO NACIONAL GRADO C-16/C-24 IMPREGNADO DE 2&quot; x 4&quot; x x 3,20 m (41x90mm)"/>
        <s v="SELLO INSTALACION WC AURA HORIZONTAL"/>
        <s v="ADHESIVO VINILICO GEXAFLEX TINETA 20 KG"/>
        <s v="EXTRACTOR DVP4 12W 4 C/SENDOR DE HUMEDAD – HST 220VOLT"/>
        <s v="NUEVO ASIENTO Y TAPA WC AURA P.P. CIERRE ESTÁNDAR"/>
        <s v="AISLAN ROCA 90 MM D: 32 KG/M3 DE 0.375x1.200 MM (5.4 M2) SKU 3000481"/>
        <s v="TORNILLO PARA VOLCANITA CRS 6 x2 1/4 NEGRO DRYWALL"/>
        <s v="GUARDAPOLVO MDF FOLIO COLOR BLANCO DE 12 x 57 x 3.660"/>
        <s v="TERMINACION TOP COAT 4G"/>
        <s v="CUBREJUNTA MDF DE  5.5 x 40 x 2.440 MM.LINEN GREY (VOLCAN SKU 213041)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"/>
        <s v="TORNILLO CRS 6X1 5/8"/>
        <s v="SELLO"/>
        <s v="SOPORTE TINA"/>
        <s v="PERFIL ESQUINERO INTERIOR"/>
        <s v="PERFIL ESQUINERO ENCUENTRO"/>
        <s v="ESQUINERO CORNIZA EXTERIOR"/>
        <s v="CEERRADURA BAÑO 815 TUBULAR"/>
        <s v="CONECTOR DENTADO"/>
        <s v="E"/>
        <s v="CLAVO HELICOIDAL PROFIX"/>
        <s v="COLA FRIA"/>
        <s v="BURLETE PVC"/>
        <s v="FIBROCEMENTO BALCON"/>
        <s v="OSB 11MM"/>
        <s v="PINO 3X8X320"/>
        <s v="VOLCANITA EMPAPELADA CIELO"/>
        <s v="LLAVE DE BOLA AC"/>
        <s v="LLAVE DE BOLA AF"/>
        <s v="CLAVO HELICOIDAL"/>
        <s v="GRAPA T50"/>
        <s v="ESQUINERO GUARDAPOLVO EXTERIOR"/>
        <s v="SIMPLISIMA"/>
        <s v="SMARTPANEL"/>
        <s v="PB2"/>
        <s v="ESQUINERO CORNIZA INTERIOR"/>
        <s v="TORNILLO SIMPSON 6&quot;"/>
        <s v="AISLAN GLASS 90MM"/>
        <s v="TERCIADO FENOLICO"/>
        <s v="OSB 9.5"/>
        <s v="PB1"/>
        <s v="PISO TARKET"/>
        <s v="PINO 2X6X320"/>
        <s v="VOLCOGLASS"/>
        <s v="VENTILACIÓN PASIVA"/>
        <s v="VOCANITA EMPAPELADA MURO"/>
        <s v="CELOSIA ALUMINIO 25X25"/>
        <s v="VENTANA V-01"/>
        <s v="VENTANA V.05"/>
        <s v="MANILLA JUEGO"/>
        <s v="TINA DE ACERO"/>
        <s v="AISLAN GLASS 140MM"/>
        <s v="PASTA RETAPE"/>
        <s v="MEMBRANA PVC"/>
        <s v="PORTA ROLLO BENTON"/>
        <s v="SIFON LAVAPLATO"/>
        <s v="PERCHA SIMPLE YORK"/>
        <s v="ARGOLLA TOALLA BENTON"/>
        <s v="CUADRADILLO EXPANSION 8X"/>
        <s v="CILINDRO 03 LLAVE/LLAVE"/>
        <s v="BOCALLAVE B1 800 ACCESO"/>
        <s v="MUEBLE LAVAPLATOS"/>
        <s v="CERRADURA DE EMB"/>
        <s v="BARANDA BALCON"/>
        <s v="VOLCANITA RH"/>
        <s v="KIT DESAGUE TINA"/>
        <s v="LAVAMANOS DS THEOS"/>
        <s v="NEW TS2024022)"/>
        <s v="GRAPA T40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AISLAN DENSIDAD 14 KG/M3 (13.5 M2 X BOLSA) SKU 4000147"/>
        <s v="ESQUINERO PILASTRA PVC"/>
        <s v="PINO 2X4X320"/>
        <s v="SELLO INSTALACION WC"/>
        <s v="EXTRT"/>
        <s v="NUEVA"/>
        <s v="AISLAN ROCA 90MM"/>
        <s v="TORNILLO CRS 6X2 1/4"/>
        <s v="GUARDAPOLVO BLANCO"/>
        <s v="TERMINACION TOP COAT"/>
        <s v="CUBREJUNTA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OSB 11MM"/>
        <s v="PINO 3X8X320"/>
        <s v="PINO 2X6X400"/>
        <s v="VOLCANITA EMPAPELADA CIELO"/>
        <s v="SIMPLISIMA"/>
        <s v="SMARTPANEL"/>
        <s v="HOLDOWN PB2"/>
        <s v="TORNILLO SIMPSON 6&quot;"/>
        <s v="AISLAN GLASS 90MM"/>
        <s v="TERCIADO FENOLICO"/>
        <s v="OSB 9.5"/>
        <s v="HOLDOWN PB1"/>
        <s v="PISO TARKET"/>
        <s v="PINO 2X6X320"/>
        <s v="VOLCOGLASS"/>
        <s v="VOCANITA EMPAPELADA MURO"/>
        <s v="VENTANA V-01"/>
        <s v="VENTANA BAÑO"/>
        <s v="VENTANA V.05"/>
        <s v="AISLAN GLASS 140MM"/>
        <s v="MEMBRANA PVC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77733788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813847.33294064971" maxValue="3648789996.8590641"/>
    </cacheField>
    <cacheField name="%VARIACION" numFmtId="10">
      <sharedItems containsMixedTypes="1" containsNumber="1" minValue="-15.052452498825893" maxValue="0.44252002473722274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286702536510372"/>
    </cacheField>
    <cacheField name="SALDO DE COMPRA" numFmtId="168">
      <sharedItems containsMixedTypes="1" containsNumber="1" minValue="-744873614.75166321" maxValue="37251942.321272202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664077430556" createdVersion="8" refreshedVersion="8" minRefreshableVersion="3" recordCount="2420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0T00:00:00"/>
    </cacheField>
    <cacheField name="FECHA SOLICITUD" numFmtId="14">
      <sharedItems containsSemiMixedTypes="0" containsNonDate="0" containsDate="1" containsString="0" minDate="2025-10-08T00:00:00" maxDate="2026-06-20T00:00:00" count="130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310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0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6-2026"/>
        </groupItems>
      </fieldGroup>
    </cacheField>
    <cacheField name="Trimestres (FECHA SOLICITUD)" numFmtId="0" databaseField="0">
      <fieldGroup base="1">
        <rangePr groupBy="quarters" startDate="2025-10-08T00:00:00" endDate="2026-06-20T00:00:00"/>
        <groupItems count="6">
          <s v="&lt;08-10-2025"/>
          <s v="Trim.1"/>
          <s v="Trim.2"/>
          <s v="Trim.3"/>
          <s v="Trim.4"/>
          <s v="&gt;20-06-2026"/>
        </groupItems>
      </fieldGroup>
    </cacheField>
    <cacheField name="Años (FECHA SOLICITUD)" numFmtId="0" databaseField="0">
      <fieldGroup base="1">
        <rangePr groupBy="years" startDate="2025-10-08T00:00:00" endDate="2026-06-20T00:00:00"/>
        <groupItems count="4">
          <s v="&lt;08-10-2025"/>
          <s v="2025"/>
          <s v="2026"/>
          <s v="&gt;20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664080092596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312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781.8695934848884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664080787035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8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4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5340909090909091" maxValue="1"/>
    </cacheField>
    <cacheField name="%TERMINO" numFmtId="9">
      <sharedItems containsMixedTypes="1" containsNumber="1" minValue="0" maxValue="0.57831325301204817"/>
    </cacheField>
    <cacheField name="GAP INICIO" numFmtId="0">
      <sharedItems containsSemiMixedTypes="0" containsString="0" containsNumber="1" containsInteger="1" minValue="0" maxValue="596"/>
    </cacheField>
    <cacheField name="GAP TERMINO" numFmtId="0">
      <sharedItems containsSemiMixedTypes="0" containsString="0" containsNumber="1" containsInteger="1" minValue="0" maxValue="65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5340909090909091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6.8181818181818177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664082060182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8">
        <n v="0.99999999999999989"/>
        <n v="0.98499999999999988"/>
        <n v="0.95499999999999985"/>
        <n v="0.97499999999999987"/>
        <n v="0.8899999999999999"/>
        <n v="0.81"/>
        <n v="0.7699999999999998"/>
        <n v="0.83"/>
        <n v="0.95999999999999985"/>
        <n v="0.7599999999999999"/>
        <n v="0.94999999999999984"/>
        <n v="0.80500000000000005"/>
        <n v="0.82499999999999984"/>
        <n v="0.92999999999999983"/>
        <n v="0.93999999999999972"/>
        <n v="0.755"/>
        <n v="0.91999999999999982"/>
        <n v="0.71499999999999986"/>
        <n v="0.75499999999999989"/>
        <n v="0.86499999999999988"/>
        <n v="0.8949999999999998"/>
        <n v="0.69"/>
        <n v="0.78500000000000003"/>
        <n v="0.65999999999999992"/>
        <n v="0.63"/>
        <n v="0.83499999999999985"/>
        <n v="0.62"/>
        <n v="0.51"/>
        <n v="0.55999999999999994"/>
        <n v="0.7749999999999998"/>
        <n v="0.7649999999999999"/>
        <n v="0.57999999999999996"/>
        <n v="0.39"/>
        <n v="0.5"/>
        <n v="0.54999999999999993"/>
        <n v="0"/>
        <n v="0.93" u="1"/>
        <n v="0.86499999999999999" u="1"/>
        <n v="0.80999999999999983" u="1"/>
        <n v="0.8" u="1"/>
        <n v="0.73999999999999988" u="1"/>
        <n v="0.94" u="1"/>
        <n v="0.78" u="1"/>
        <n v="0.92499999999999982" u="1"/>
        <n v="0.73" u="1"/>
        <n v="0.68499999999999994" u="1"/>
        <n v="0.66999999999999993" u="1"/>
        <n v="0.6" u="1"/>
        <n v="0.59" u="1"/>
        <n v="0.79500000000000004" u="1"/>
        <n v="0.53999999999999992" u="1"/>
        <n v="0.43" u="1"/>
        <n v="0.12" u="1"/>
        <n v="0.85999999999999988" u="1"/>
        <n v="0.96999999999999986" u="1"/>
        <n v="0.91500000000000004" u="1"/>
        <n v="0.71" u="1"/>
        <n v="0.74" u="1"/>
        <n v="0.70499999999999985" u="1"/>
        <n v="0.67999999999999994" u="1"/>
        <n v="0.73499999999999999" u="1"/>
        <n v="0.56999999999999995" u="1"/>
        <n v="0.64999999999999991" u="1"/>
        <n v="0.48" u="1"/>
        <n v="0.72" u="1"/>
        <n v="0.88499999999999979" u="1"/>
        <n v="0.6399999999999999" u="1"/>
        <n v="0.91" u="1"/>
        <n v="0.94499999999999984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73499999999999988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0T00:00:00" count="65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3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5"/>
    </cacheField>
    <cacheField name="FECHA TERMINO" numFmtId="14">
      <sharedItems containsNonDate="0" containsDate="1" containsString="0" containsBlank="1" minDate="2026-05-08T00:00:00" maxDate="2026-06-2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0%"/>
        <s v="40-49%" u="1"/>
        <s v="10-1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0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0-06-2026"/>
        </groupItems>
      </fieldGroup>
    </cacheField>
    <cacheField name="Meses (FECHA INICIO REAL)" numFmtId="0" databaseField="0">
      <fieldGroup base="6">
        <rangePr groupBy="months" startDate="2026-02-17T00:00:00" endDate="2026-06-2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664084143522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71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8.90745805057554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58.20009356928216"/>
    </cacheField>
    <cacheField name="PERDIDA O EN PROCESO" numFmtId="168">
      <sharedItems containsMixedTypes="1" containsNumber="1" minValue="-1040.9859249836786" maxValue="62.88827470200259"/>
    </cacheField>
    <cacheField name="VALOR UNITARIO" numFmtId="168">
      <sharedItems containsSemiMixedTypes="0" containsString="0" containsNumber="1" minValue="707.86891891891889" maxValue="150740.5806451613"/>
    </cacheField>
    <cacheField name="VALOR PERDIDA" numFmtId="168">
      <sharedItems containsMixedTypes="1" containsNumber="1" minValue="-156918822.77548003" maxValue="1459025.8994453484"/>
    </cacheField>
    <cacheField name="VALOR STOCK" numFmtId="168">
      <sharedItems containsSemiMixedTypes="0" containsString="0" containsNumber="1" minValue="0" maxValue="11790055.21810995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664084490738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993129414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095446329229367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3115767045454543"/>
    </cacheField>
    <cacheField name="%AVANCE FISICO MENSUAL" numFmtId="10">
      <sharedItems containsString="0" containsBlank="1" containsNumber="1" minValue="1.65016501650165E-2" maxValue="6.6702246609011362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609008"/>
    <x v="7"/>
    <x v="7"/>
    <n v="0"/>
    <n v="0"/>
    <n v="2130.75731"/>
    <s v="LTS"/>
    <n v="0"/>
    <b v="0"/>
    <x v="0"/>
    <x v="0"/>
    <s v=""/>
    <s v=""/>
    <s v=""/>
    <s v=""/>
    <s v=""/>
    <n v="129"/>
    <n v="0"/>
    <n v="129"/>
    <s v=""/>
    <n v="286580"/>
    <n v="2221.5503875968993"/>
    <s v=""/>
    <s v=""/>
    <s v=""/>
    <s v=""/>
    <s v=""/>
    <n v="2130.7573000000002"/>
    <n v="2130.7573000000002"/>
  </r>
  <r>
    <n v="1610023"/>
    <x v="8"/>
    <x v="8"/>
    <n v="0"/>
    <n v="0"/>
    <n v="2109.0585420000002"/>
    <s v="KG"/>
    <n v="0"/>
    <b v="0"/>
    <x v="0"/>
    <x v="0"/>
    <s v=""/>
    <s v=""/>
    <s v=""/>
    <s v=""/>
    <s v=""/>
    <n v="134"/>
    <n v="0"/>
    <n v="134"/>
    <s v=""/>
    <n v="302351"/>
    <n v="2256.3507462686566"/>
    <s v=""/>
    <s v=""/>
    <s v=""/>
    <s v=""/>
    <s v=""/>
    <n v="2109.0585000000001"/>
    <n v="2109.0585000000001"/>
  </r>
  <r>
    <n v="5316481"/>
    <x v="9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10"/>
    <x v="9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11"/>
    <x v="10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2"/>
    <x v="11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3"/>
    <x v="12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4"/>
    <x v="13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5"/>
    <x v="14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6"/>
    <x v="15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7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8"/>
    <x v="16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9"/>
    <x v="17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20"/>
    <x v="18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21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2"/>
    <x v="19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3"/>
    <x v="20"/>
    <s v="OBRA GRUESA"/>
    <s v="MADERA"/>
    <n v="17998"/>
    <s v=""/>
    <n v="0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n v="17998"/>
  </r>
  <r>
    <n v="1405027"/>
    <x v="24"/>
    <x v="21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5"/>
    <x v="22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s v="140207X"/>
    <x v="26"/>
    <x v="23"/>
    <n v="0"/>
    <n v="0"/>
    <n v="17428.493505999999"/>
    <s v=""/>
    <n v="0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n v="17428.4935"/>
  </r>
  <r>
    <n v="1801155"/>
    <x v="27"/>
    <x v="24"/>
    <s v="TERMINACION"/>
    <s v="BAÑO"/>
    <n v="23733.489796000002"/>
    <s v=""/>
    <n v="0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n v="23733.489799999999"/>
  </r>
  <r>
    <n v="1801154"/>
    <x v="28"/>
    <x v="25"/>
    <s v="TERMINACION"/>
    <s v="BAÑO"/>
    <n v="32738.5"/>
    <s v=""/>
    <n v="0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n v="32738.5"/>
  </r>
  <r>
    <n v="1101971"/>
    <x v="29"/>
    <x v="26"/>
    <n v="0"/>
    <n v="0"/>
    <n v="44950"/>
    <s v=""/>
    <n v="0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n v="44950"/>
  </r>
  <r>
    <n v="1802005"/>
    <x v="30"/>
    <x v="27"/>
    <s v="TERMINACION"/>
    <s v="BAÑO"/>
    <n v="3780.4087909999998"/>
    <s v=""/>
    <n v="0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n v="3780.4088000000002"/>
  </r>
  <r>
    <n v="1808043"/>
    <x v="31"/>
    <x v="28"/>
    <n v="0"/>
    <n v="0"/>
    <n v="2779.727273"/>
    <s v=""/>
    <n v="0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n v="2779.7273"/>
  </r>
  <r>
    <n v="1801236"/>
    <x v="32"/>
    <x v="29"/>
    <s v="GRIFERIA"/>
    <n v="0"/>
    <n v="8938"/>
    <s v=""/>
    <n v="0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n v="8938"/>
  </r>
  <r>
    <n v="1801238"/>
    <x v="33"/>
    <x v="30"/>
    <s v="GRIFERIA"/>
    <s v=""/>
    <n v="16615"/>
    <s v=""/>
    <n v="0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n v="16615"/>
  </r>
  <r>
    <n v="1801011"/>
    <x v="34"/>
    <x v="31"/>
    <n v="0"/>
    <n v="0"/>
    <n v="9242.4217690000005"/>
    <s v=""/>
    <n v="0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n v="9242.4218000000001"/>
  </r>
  <r>
    <n v="704092"/>
    <x v="35"/>
    <x v="32"/>
    <s v="TERMINACION"/>
    <s v=""/>
    <n v="273.47427099999999"/>
    <s v=""/>
    <n v="0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n v="273.47430000000003"/>
  </r>
  <r>
    <n v="1101946"/>
    <x v="36"/>
    <x v="33"/>
    <n v="0"/>
    <n v="0"/>
    <n v="52385.051282"/>
    <s v=""/>
    <n v="0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n v="52385.051299999999"/>
  </r>
  <r>
    <n v="1401065"/>
    <x v="37"/>
    <x v="34"/>
    <s v="TERMINACION"/>
    <s v=""/>
    <n v="13116.498607"/>
    <s v=""/>
    <n v="0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n v="13116.498600000001"/>
  </r>
  <r>
    <n v="1105121"/>
    <x v="38"/>
    <x v="35"/>
    <s v="TERMINACION"/>
    <s v=""/>
    <n v="96540.363635999995"/>
    <s v=""/>
    <n v="0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n v="96540.363599999997"/>
  </r>
  <r>
    <n v="1105122"/>
    <x v="39"/>
    <x v="36"/>
    <s v="TERMINACION"/>
    <s v=""/>
    <n v="134750"/>
    <s v=""/>
    <n v="0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n v="134750"/>
  </r>
  <r>
    <n v="1801700"/>
    <x v="40"/>
    <x v="37"/>
    <n v="0"/>
    <n v="0"/>
    <n v="13379.859504"/>
    <s v=""/>
    <n v="0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n v="13379.8595"/>
  </r>
  <r>
    <n v="1901229"/>
    <x v="41"/>
    <x v="38"/>
    <s v="OBRA GRUESA"/>
    <s v="AISLANTE"/>
    <n v="1896.2317370000001"/>
    <s v=""/>
    <n v="0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n v="1896.2317"/>
  </r>
  <r>
    <n v="302048"/>
    <x v="42"/>
    <x v="39"/>
    <s v="OBRA GRUESA"/>
    <s v="MADERA"/>
    <n v="13710.694960999999"/>
    <s v="PZA"/>
    <n v="0"/>
    <b v="0"/>
    <x v="1"/>
    <x v="1"/>
    <s v=""/>
    <s v=""/>
    <s v=""/>
    <s v=""/>
    <s v=""/>
    <n v="2814"/>
    <n v="0"/>
    <n v="2814"/>
    <s v=""/>
    <n v="38704130"/>
    <n v="13754.132906894101"/>
    <s v=""/>
    <s v=""/>
    <s v=""/>
    <s v=""/>
    <s v=""/>
    <n v="13710.695"/>
    <n v="13710.695"/>
  </r>
  <r>
    <n v="307256"/>
    <x v="43"/>
    <x v="16"/>
    <s v="OBRA GRUESA"/>
    <s v="MADERA"/>
    <n v="1896.957447"/>
    <s v=""/>
    <n v="0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n v="1896.9574"/>
  </r>
  <r>
    <n v="408013"/>
    <x v="44"/>
    <x v="40"/>
    <n v="0"/>
    <n v="0"/>
    <n v="2520.47678"/>
    <s v=""/>
    <n v="0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n v="2520.4767999999999"/>
  </r>
  <r>
    <n v="601047"/>
    <x v="45"/>
    <x v="41"/>
    <n v="0"/>
    <n v="0"/>
    <n v="50286.86"/>
    <s v=""/>
    <n v="0"/>
    <b v="0"/>
    <x v="0"/>
    <x v="0"/>
    <s v=""/>
    <s v=""/>
    <s v=""/>
    <s v=""/>
    <s v=""/>
    <n v="19"/>
    <n v="0"/>
    <n v="19"/>
    <s v=""/>
    <n v="934039"/>
    <n v="49159.947368421053"/>
    <s v=""/>
    <s v=""/>
    <s v=""/>
    <s v=""/>
    <s v=""/>
    <n v="50286.86"/>
    <n v="50286.86"/>
  </r>
  <r>
    <n v="704091"/>
    <x v="46"/>
    <x v="42"/>
    <n v="0"/>
    <n v="0"/>
    <n v="175.15508600000001"/>
    <s v=""/>
    <n v="0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n v="175.1551"/>
  </r>
  <r>
    <n v="704107"/>
    <x v="47"/>
    <x v="43"/>
    <n v="0"/>
    <n v="0"/>
    <n v="236.855018"/>
    <s v=""/>
    <n v="0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n v="236.85499999999999"/>
  </r>
  <r>
    <n v="2304003"/>
    <x v="48"/>
    <x v="44"/>
    <n v="0"/>
    <n v="0"/>
    <n v="1297.135262"/>
    <s v=""/>
    <n v="0"/>
    <b v="0"/>
    <x v="0"/>
    <x v="0"/>
    <s v=""/>
    <s v=""/>
    <s v=""/>
    <s v=""/>
    <s v=""/>
    <n v="46"/>
    <n v="0"/>
    <n v="46"/>
    <s v=""/>
    <n v="59716"/>
    <n v="1298.1739130434783"/>
    <s v=""/>
    <s v=""/>
    <s v=""/>
    <s v=""/>
    <s v=""/>
    <n v="1297.1352999999999"/>
    <n v="1297.1352999999999"/>
  </r>
  <r>
    <n v="617016"/>
    <x v="49"/>
    <x v="45"/>
    <n v="0"/>
    <n v="0"/>
    <n v="2857.5132739999999"/>
    <s v="UND"/>
    <n v="0"/>
    <b v="0"/>
    <x v="0"/>
    <x v="0"/>
    <s v=""/>
    <s v=""/>
    <s v=""/>
    <s v=""/>
    <s v=""/>
    <n v="218"/>
    <n v="0"/>
    <n v="218"/>
    <s v=""/>
    <n v="624335"/>
    <n v="2863.9220183486241"/>
    <s v=""/>
    <s v=""/>
    <s v=""/>
    <s v=""/>
    <s v=""/>
    <n v="2857.5133000000001"/>
    <n v="2857.5133000000001"/>
  </r>
  <r>
    <n v="617057"/>
    <x v="50"/>
    <x v="46"/>
    <n v="0"/>
    <n v="0"/>
    <n v="2042.119706"/>
    <s v="UND"/>
    <n v="0"/>
    <b v="0"/>
    <x v="0"/>
    <x v="0"/>
    <s v=""/>
    <s v=""/>
    <s v=""/>
    <s v=""/>
    <s v=""/>
    <n v="231"/>
    <n v="0"/>
    <n v="231"/>
    <s v=""/>
    <n v="424129"/>
    <n v="1836.0562770562772"/>
    <s v=""/>
    <s v=""/>
    <s v=""/>
    <s v=""/>
    <s v=""/>
    <n v="2042.1197"/>
    <n v="2042.1197"/>
  </r>
  <r>
    <n v="617056"/>
    <x v="51"/>
    <x v="47"/>
    <n v="0"/>
    <n v="0"/>
    <n v="1320.5"/>
    <s v=""/>
    <n v="0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n v="1320.5"/>
  </r>
  <r>
    <n v="701183"/>
    <x v="52"/>
    <x v="48"/>
    <n v="0"/>
    <n v="0"/>
    <n v="996.5"/>
    <s v=""/>
    <n v="0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n v="996.5"/>
  </r>
  <r>
    <s v="080470X"/>
    <x v="53"/>
    <x v="49"/>
    <n v="0"/>
    <n v="0"/>
    <n v="265.85816599999998"/>
    <s v=""/>
    <n v="0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n v="265.85820000000001"/>
  </r>
  <r>
    <n v="2505059"/>
    <x v="54"/>
    <x v="50"/>
    <n v="0"/>
    <n v="0"/>
    <n v="75790.3125"/>
    <s v=""/>
    <n v="0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n v="75790.3125"/>
  </r>
  <r>
    <n v="409027"/>
    <x v="55"/>
    <x v="51"/>
    <s v=""/>
    <s v=""/>
    <n v="6469.1028470000001"/>
    <s v=""/>
    <n v="0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n v="6469.1027999999997"/>
  </r>
  <r>
    <s v="090721x"/>
    <x v="56"/>
    <x v="0"/>
    <s v=""/>
    <s v=""/>
    <n v="5771.9989420000002"/>
    <s v=""/>
    <n v="0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n v="5771.9988999999996"/>
  </r>
  <r>
    <n v="307263"/>
    <x v="57"/>
    <x v="0"/>
    <s v=""/>
    <s v=""/>
    <n v="9514.2179489999999"/>
    <s v=""/>
    <n v="0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n v="9514.2178999999996"/>
  </r>
  <r>
    <n v="1802659"/>
    <x v="58"/>
    <x v="0"/>
    <s v=""/>
    <s v=""/>
    <n v="2929.463158"/>
    <s v=""/>
    <n v="0"/>
    <b v="0"/>
    <x v="0"/>
    <x v="0"/>
    <s v=""/>
    <s v=""/>
    <s v=""/>
    <s v=""/>
    <s v=""/>
    <n v="71"/>
    <n v="0"/>
    <n v="71"/>
    <s v=""/>
    <n v="174195"/>
    <n v="2453.4507042253522"/>
    <s v=""/>
    <s v=""/>
    <s v=""/>
    <s v=""/>
    <s v=""/>
    <n v="2929.4632000000001"/>
    <n v="2929.4632000000001"/>
  </r>
  <r>
    <n v="1802515"/>
    <x v="59"/>
    <x v="0"/>
    <s v=""/>
    <s v=""/>
    <n v="2827.2510459999999"/>
    <s v=""/>
    <n v="0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n v="2827.2510000000002"/>
  </r>
  <r>
    <n v="407307"/>
    <x v="60"/>
    <x v="0"/>
    <s v="OBRA GRUESA"/>
    <s v="FIJACION"/>
    <n v="69.472774999999999"/>
    <s v="UND"/>
    <n v="0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n v="69.472800000000007"/>
  </r>
  <r>
    <n v="407010"/>
    <x v="61"/>
    <x v="0"/>
    <s v=""/>
    <s v=""/>
    <n v="11.50126"/>
    <s v=""/>
    <n v="0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n v="11.501300000000001"/>
  </r>
  <r>
    <n v="404252"/>
    <x v="62"/>
    <x v="0"/>
    <s v=""/>
    <s v=""/>
    <n v="1110.043876"/>
    <s v=""/>
    <n v="0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n v="1110.0438999999999"/>
  </r>
  <r>
    <n v="617055"/>
    <x v="63"/>
    <x v="0"/>
    <n v="0"/>
    <n v="0"/>
    <n v="920.35378100000003"/>
    <s v="UND"/>
    <n v="0"/>
    <b v="0"/>
    <x v="0"/>
    <x v="0"/>
    <s v=""/>
    <s v=""/>
    <s v=""/>
    <s v=""/>
    <s v=""/>
    <n v="149"/>
    <n v="0"/>
    <n v="149"/>
    <s v=""/>
    <n v="113746"/>
    <n v="763.39597315436242"/>
    <s v=""/>
    <s v=""/>
    <s v=""/>
    <s v=""/>
    <s v=""/>
    <n v="920.35379999999998"/>
    <n v="920.35379999999998"/>
  </r>
  <r>
    <s v="180150x"/>
    <x v="64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65"/>
    <x v="0"/>
    <s v=""/>
    <s v=""/>
    <n v="250.00118800000001"/>
    <s v=""/>
    <n v="0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n v="250.00120000000001"/>
  </r>
  <r>
    <n v="617007"/>
    <x v="66"/>
    <x v="0"/>
    <s v=""/>
    <s v=""/>
    <n v="99.963820999999996"/>
    <s v=""/>
    <n v="0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n v="99.963800000000006"/>
  </r>
  <r>
    <n v="1801233"/>
    <x v="67"/>
    <x v="0"/>
    <s v=""/>
    <s v=""/>
    <n v="7404.4100719999997"/>
    <s v=""/>
    <n v="0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n v="7404.4101000000001"/>
  </r>
  <r>
    <n v="1801232"/>
    <x v="68"/>
    <x v="0"/>
    <s v=""/>
    <s v=""/>
    <n v="6876.3333329999996"/>
    <s v=""/>
    <n v="0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n v="6876.3333000000002"/>
  </r>
  <r>
    <n v="1801231"/>
    <x v="69"/>
    <x v="0"/>
    <s v=""/>
    <s v=""/>
    <n v="5708.8"/>
    <s v=""/>
    <n v="0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n v="5708.8"/>
  </r>
  <r>
    <s v="040813x"/>
    <x v="70"/>
    <x v="0"/>
    <s v=""/>
    <s v=""/>
    <n v="41451.848739000001"/>
    <s v=""/>
    <n v="0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n v="41451.848700000002"/>
  </r>
  <r>
    <n v="704079"/>
    <x v="71"/>
    <x v="0"/>
    <s v=""/>
    <s v=""/>
    <n v="755.704882"/>
    <s v=""/>
    <n v="0"/>
    <b v="0"/>
    <x v="0"/>
    <x v="0"/>
    <s v=""/>
    <s v=""/>
    <s v=""/>
    <s v=""/>
    <s v=""/>
    <n v="141"/>
    <n v="0"/>
    <n v="141"/>
    <s v=""/>
    <n v="101122"/>
    <n v="717.17730496453896"/>
    <s v=""/>
    <s v=""/>
    <s v=""/>
    <s v=""/>
    <s v=""/>
    <n v="755.70489999999995"/>
    <n v="755.70489999999995"/>
  </r>
  <r>
    <n v="609007"/>
    <x v="72"/>
    <x v="0"/>
    <s v=""/>
    <s v=""/>
    <n v="8164.9821430000002"/>
    <s v=""/>
    <n v="0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n v="8164.9821000000002"/>
  </r>
  <r>
    <n v="410046"/>
    <x v="73"/>
    <x v="0"/>
    <s v=""/>
    <s v=""/>
    <n v="746"/>
    <s v="UND"/>
    <n v="0"/>
    <b v="0"/>
    <x v="0"/>
    <x v="0"/>
    <s v=""/>
    <s v=""/>
    <s v=""/>
    <s v=""/>
    <s v=""/>
    <n v="1161"/>
    <n v="0"/>
    <n v="1161"/>
    <s v=""/>
    <n v="866106"/>
    <n v="746"/>
    <s v=""/>
    <s v=""/>
    <s v=""/>
    <s v=""/>
    <s v=""/>
    <n v="746"/>
    <n v="746"/>
  </r>
  <r>
    <n v="412592"/>
    <x v="74"/>
    <x v="0"/>
    <s v=""/>
    <s v=""/>
    <n v="3152.283293"/>
    <s v=""/>
    <n v="0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n v="3152.2833000000001"/>
  </r>
  <r>
    <n v="412313"/>
    <x v="75"/>
    <x v="0"/>
    <s v=""/>
    <s v=""/>
    <n v="23724.067384999998"/>
    <s v="CJA"/>
    <n v="0"/>
    <b v="0"/>
    <x v="0"/>
    <x v="0"/>
    <s v=""/>
    <s v=""/>
    <s v=""/>
    <s v=""/>
    <s v=""/>
    <n v="90"/>
    <n v="0"/>
    <n v="90"/>
    <s v=""/>
    <n v="2135164"/>
    <n v="23724.044444444444"/>
    <s v=""/>
    <s v=""/>
    <s v=""/>
    <s v=""/>
    <s v=""/>
    <n v="23724.0674"/>
    <n v="23724.0674"/>
  </r>
  <r>
    <n v="302054"/>
    <x v="76"/>
    <x v="0"/>
    <s v="OBRA GRUESA"/>
    <s v="MADERA"/>
    <n v="5713"/>
    <s v=""/>
    <n v="0"/>
    <b v="0"/>
    <x v="2"/>
    <x v="1"/>
    <s v=""/>
    <s v=""/>
    <s v=""/>
    <s v=""/>
    <s v=""/>
    <n v="15936"/>
    <n v="0"/>
    <n v="15936"/>
    <s v=""/>
    <n v="77733788"/>
    <n v="4877.8732429718875"/>
    <s v=""/>
    <s v=""/>
    <s v=""/>
    <s v=""/>
    <s v=""/>
    <n v="5713"/>
    <n v="5713"/>
  </r>
  <r>
    <n v="409011"/>
    <x v="77"/>
    <x v="0"/>
    <n v="0"/>
    <n v="0"/>
    <n v="13713.269504"/>
    <s v="TRA"/>
    <n v="0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n v="13713.2695"/>
  </r>
  <r>
    <s v="080459x"/>
    <x v="78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n v="0"/>
    <b v="0"/>
    <x v="0"/>
    <x v="0"/>
    <s v=""/>
    <s v=""/>
    <s v=""/>
    <s v=""/>
    <s v=""/>
    <n v="33"/>
    <n v="0"/>
    <n v="33"/>
    <s v=""/>
    <n v="49587"/>
    <n v="1502.6363636363637"/>
    <s v=""/>
    <s v=""/>
    <s v=""/>
    <s v=""/>
    <s v=""/>
    <n v="1610.9336000000001"/>
    <n v="1610.9336000000001"/>
  </r>
  <r>
    <n v="1610007"/>
    <x v="89"/>
    <x v="56"/>
    <n v="0"/>
    <n v="0"/>
    <n v="1624.474037"/>
    <s v="KG"/>
    <n v="0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n v="1624.4739999999999"/>
  </r>
  <r>
    <n v="5314002"/>
    <x v="90"/>
    <x v="57"/>
    <n v="0"/>
    <n v="0"/>
    <n v="311.91986600000001"/>
    <s v="UND"/>
    <n v="0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n v="311.91989999999998"/>
  </r>
  <r>
    <n v="412281"/>
    <x v="91"/>
    <x v="58"/>
    <s v="OBRA GRUESA"/>
    <s v="FIJACION"/>
    <n v="0"/>
    <s v="UND"/>
    <n v="0"/>
    <b v="1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n v="0"/>
  </r>
  <r>
    <n v="304012"/>
    <x v="92"/>
    <x v="59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93"/>
    <x v="59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94"/>
    <x v="59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95"/>
    <x v="59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96"/>
    <x v="59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97"/>
    <x v="59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98"/>
    <x v="59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99"/>
    <x v="59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100"/>
    <x v="59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101"/>
    <x v="59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102"/>
    <x v="59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103"/>
    <x v="59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104"/>
    <x v="59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105"/>
    <x v="59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106"/>
    <x v="59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107"/>
    <x v="59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108"/>
    <x v="59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109"/>
    <x v="60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110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111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2119"/>
    <x v="112"/>
    <x v="61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4014"/>
    <x v="113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114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115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116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5"/>
    <n v="0"/>
    <n v="25"/>
    <n v="350.14005602240894"/>
    <n v="46675"/>
    <n v="1867"/>
    <n v="47170.875200000009"/>
    <n v="-0.49734466812169487"/>
    <n v="25.265600000000006"/>
    <n v="0.98948768285732358"/>
    <n v="1.2543107120000059"/>
    <n v="1866.9503999999999"/>
    <n v="4.4999999090578058E-5"/>
  </r>
  <r>
    <n v="1801230"/>
    <x v="117"/>
    <x v="62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18"/>
    <x v="63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1103074"/>
    <x v="119"/>
    <x v="64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704024"/>
    <x v="120"/>
    <x v="65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405040"/>
    <x v="121"/>
    <x v="66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34"/>
    <n v="0"/>
    <n v="134"/>
    <n v="255.23809523809524"/>
    <n v="1014899"/>
    <n v="7573.873134328358"/>
    <n v="1784404.5104477613"/>
    <n v="-0.36205942368994382"/>
    <n v="235.60000000000002"/>
    <n v="0.56876061120543286"/>
    <n v="1383.7104477609973"/>
    <n v="7568"/>
    <n v="0"/>
  </r>
  <r>
    <n v="701040"/>
    <x v="122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23"/>
    <x v="67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24"/>
    <x v="68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n v="1902003"/>
    <x v="125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93"/>
    <n v="0"/>
    <n v="93"/>
    <n v="224.27688790496444"/>
    <n v="14018874"/>
    <n v="150740.5806451613"/>
    <n v="29986049.504119754"/>
    <n v="-0.3184096104275026"/>
    <n v="198.92486400000007"/>
    <n v="0.46751320136632074"/>
    <n v="7281.6814799085259"/>
    <n v="150703.9755"/>
    <n v="4.0000042645260692E-5"/>
  </r>
  <r>
    <s v="geotextil"/>
    <x v="126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27"/>
    <x v="69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8"/>
    <n v="0"/>
    <n v="198"/>
    <n v="206.62531551450886"/>
    <n v="6930000"/>
    <n v="35000"/>
    <n v="16681433.999999991"/>
    <n v="-0.29350186862856364"/>
    <n v="476.61239999999975"/>
    <n v="0.41543191070983487"/>
    <n v="0"/>
    <n v="35000"/>
    <n v="0"/>
  </r>
  <r>
    <n v="2302098"/>
    <x v="128"/>
    <x v="70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2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30"/>
    <x v="71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31"/>
    <x v="68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32"/>
    <x v="72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33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34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35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36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407185"/>
    <x v="13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304007"/>
    <x v="138"/>
    <x v="73"/>
    <s v="OBRA GRUESA"/>
    <s v="TABLERO"/>
    <n v="11444.353021999999"/>
    <s v="PL"/>
    <n v="11444.353021999996"/>
    <b v="1"/>
    <x v="3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s v="030253X"/>
    <x v="139"/>
    <x v="74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40"/>
    <x v="18"/>
    <s v="OBRA GRUESA"/>
    <s v="MADERA"/>
    <n v="10156.598467"/>
    <s v="PZA"/>
    <n v="10156.598467000002"/>
    <b v="1"/>
    <x v="5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2302024"/>
    <x v="141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701043"/>
    <x v="142"/>
    <x v="75"/>
    <s v="OBRA GRUESA"/>
    <s v="TABIQUERIA"/>
    <n v="22146.362772"/>
    <s v="PL"/>
    <n v="22146.362772"/>
    <b v="1"/>
    <x v="6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5316484"/>
    <x v="143"/>
    <x v="76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1405006"/>
    <x v="144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050"/>
    <n v="0"/>
    <n v="4050"/>
    <n v="133.00492610837438"/>
    <n v="142766"/>
    <n v="35.250864197530866"/>
    <n v="612899.7256296298"/>
    <n v="-0.18769683241683288"/>
    <n v="17386.800000000003"/>
    <n v="0.23293533025053484"/>
    <n v="928.52810162969399"/>
    <n v="35.197499999999998"/>
    <n v="3.9999999991380264E-5"/>
  </r>
  <r>
    <n v="5316483"/>
    <x v="145"/>
    <x v="77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46"/>
    <x v="78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47"/>
    <x v="79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48"/>
    <x v="80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705028"/>
    <x v="149"/>
    <x v="81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304002"/>
    <x v="150"/>
    <x v="82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783"/>
    <n v="0"/>
    <n v="2783"/>
    <n v="119.45808182427902"/>
    <n v="60094732"/>
    <n v="21593.507725476105"/>
    <n v="294060388.2055335"/>
    <n v="-0.15612396477097734"/>
    <n v="13617.999999999996"/>
    <n v="0.204361873990307"/>
    <n v="4725453.795979619"/>
    <n v="21246.5072"/>
    <n v="4.7000001359265298E-5"/>
  </r>
  <r>
    <n v="412280"/>
    <x v="151"/>
    <x v="83"/>
    <s v="OBRA GRUESA"/>
    <s v="FIJACION"/>
    <n v="40002.920093000001"/>
    <s v="UND"/>
    <n v="40002.920093000001"/>
    <b v="1"/>
    <x v="9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427"/>
    <x v="152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53"/>
    <x v="8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12302"/>
    <x v="154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07011"/>
    <x v="155"/>
    <x v="85"/>
    <s v="OBRA GRUESA"/>
    <s v="FIJACION"/>
    <n v="473.17523999999997"/>
    <s v="UND"/>
    <n v="473.17523999999992"/>
    <b v="1"/>
    <x v="10"/>
    <x v="1"/>
    <n v="588"/>
    <n v="278227.04112000001"/>
    <n v="8903265.3158400003"/>
    <n v="195871836.94848001"/>
    <n v="412776"/>
    <n v="64298"/>
    <n v="0"/>
    <n v="64298"/>
    <n v="109.35034013605443"/>
    <n v="29844629"/>
    <n v="464.16107810507327"/>
    <n v="162295777.6037513"/>
    <n v="-0.17141851461555546"/>
    <n v="349654"/>
    <n v="0.18389036018463967"/>
    <n v="-3151837.7632086873"/>
    <n v="473.17520000000002"/>
    <n v="-3.9999999899009708E-5"/>
  </r>
  <r>
    <n v="1901008"/>
    <x v="156"/>
    <x v="8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6747"/>
    <n v="0"/>
    <n v="6747"/>
    <n v="108.07247807460378"/>
    <n v="13908918"/>
    <n v="2061.4966651845266"/>
    <n v="76695817.326236755"/>
    <n v="-0.17406494352316149"/>
    <n v="37203.949257600005"/>
    <n v="0.18135171492907373"/>
    <n v="-1908529.6273507178"/>
    <n v="2112.7957999999999"/>
    <n v="2.0999999833293259E-5"/>
  </r>
  <r>
    <n v="304049"/>
    <x v="157"/>
    <x v="87"/>
    <s v="OBRA GRUESA"/>
    <s v="MADERA"/>
    <n v="14982"/>
    <s v="PL"/>
    <n v="14981.999999999993"/>
    <b v="1"/>
    <x v="12"/>
    <x v="1"/>
    <n v="23.273250000000008"/>
    <n v="348679.83150000015"/>
    <n v="11157754.608000005"/>
    <n v="245470601.37600011"/>
    <n v="16337.821500000005"/>
    <n v="2510"/>
    <n v="0"/>
    <n v="2510"/>
    <n v="107.84914010720459"/>
    <n v="37819229"/>
    <n v="15067.421912350597"/>
    <n v="209050956.42321602"/>
    <n v="-0.1483666261810237"/>
    <n v="13874.368000000006"/>
    <n v="0.1809091412307933"/>
    <n v="1185175.0472159386"/>
    <n v="14982"/>
    <n v="0"/>
  </r>
  <r>
    <n v="304101"/>
    <x v="158"/>
    <x v="88"/>
    <s v="OBRA GRUESA"/>
    <s v="TABLERO"/>
    <n v="9657.5879499999992"/>
    <s v="PL"/>
    <n v="9657.5879500000046"/>
    <b v="1"/>
    <x v="13"/>
    <x v="1"/>
    <n v="47.643749999999976"/>
    <n v="460123.70589281223"/>
    <n v="14723958.588569991"/>
    <n v="323927088.94853979"/>
    <n v="33445.912499999984"/>
    <n v="5137"/>
    <n v="0"/>
    <n v="5137"/>
    <n v="107.82106782106787"/>
    <n v="49570780"/>
    <n v="9649.7527739926027"/>
    <n v="274093507.7430405"/>
    <n v="-0.15384196909019865"/>
    <n v="28404.199999999983"/>
    <n v="0.18085353574471391"/>
    <n v="-222551.90634930134"/>
    <n v="9657.5879999999997"/>
    <n v="4.9999995098914951E-5"/>
  </r>
  <r>
    <n v="412260"/>
    <x v="159"/>
    <x v="89"/>
    <s v="OBRA GRUESA"/>
    <s v="FIJACION"/>
    <n v="87567.442477999997"/>
    <s v="UND"/>
    <n v="87567.442477999983"/>
    <b v="1"/>
    <x v="14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60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61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62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63"/>
    <x v="90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6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07049"/>
    <x v="165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302010"/>
    <x v="166"/>
    <x v="91"/>
    <s v="OBRA GRUESA"/>
    <s v="MADERA"/>
    <n v="6585.1337450000001"/>
    <s v="PZA"/>
    <n v="6585.1337449999919"/>
    <b v="0"/>
    <x v="16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67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407115"/>
    <x v="168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7"/>
    <x v="169"/>
    <x v="68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70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71"/>
    <x v="92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72"/>
    <x v="93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73"/>
    <x v="94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854"/>
    <n v="0"/>
    <n v="2854"/>
    <n v="91.364545818327343"/>
    <n v="46315905"/>
    <n v="16228.418009810792"/>
    <n v="310566481.13735104"/>
    <n v="-0.11845144003731956"/>
    <n v="19137.199999999997"/>
    <n v="0.14913362456367704"/>
    <n v="3990724.8063691258"/>
    <n v="16019.885700000001"/>
    <n v="1.499999598308932E-5"/>
  </r>
  <r>
    <n v="1802517"/>
    <x v="174"/>
    <x v="95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412630"/>
    <x v="175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57"/>
    <n v="10"/>
    <n v="47"/>
    <n v="89.523809523809518"/>
    <n v="7064100"/>
    <n v="123931.57894736843"/>
    <n v="38741011.578947373"/>
    <n v="-0.29272095632898953"/>
    <n v="312.60000000000002"/>
    <n v="0.18234165067178501"/>
    <n v="-7586308.4210526273"/>
    <n v="148200"/>
    <n v="0"/>
  </r>
  <r>
    <s v="V01"/>
    <x v="176"/>
    <x v="96"/>
    <s v="TERMINACION"/>
    <s v="PUERTA Y VENTANA"/>
    <n v="205500"/>
    <s v="UND"/>
    <n v="205500"/>
    <b v="1"/>
    <x v="19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7"/>
    <x v="0"/>
    <s v="TERMINACION"/>
    <s v="PUERTA Y VENTANA"/>
    <n v="101229"/>
    <s v="UND"/>
    <n v="101229"/>
    <b v="1"/>
    <x v="20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8"/>
    <x v="97"/>
    <s v="TERMINACION"/>
    <s v="PUERTA Y VENTANA"/>
    <n v="350139"/>
    <s v="UND"/>
    <n v="350139"/>
    <b v="1"/>
    <x v="21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9"/>
    <x v="98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80"/>
    <x v="99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1901086"/>
    <x v="181"/>
    <x v="100"/>
    <s v="OBRA GRUESA"/>
    <s v="AISLANTE"/>
    <n v="3711.5870410000002"/>
    <s v="M2"/>
    <n v="3711.5870410000002"/>
    <b v="1"/>
    <x v="22"/>
    <x v="1"/>
    <n v="31.794434700000004"/>
    <n v="118007.81180844075"/>
    <n v="3776249.9778701039"/>
    <n v="83077499.513142288"/>
    <n v="22319.693159400002"/>
    <n v="2760"/>
    <n v="0"/>
    <n v="2760"/>
    <n v="86.807644987001439"/>
    <n v="10036586"/>
    <n v="3636.4442028985509"/>
    <n v="71358970.175473094"/>
    <n v="-0.14105539293241975"/>
    <n v="19623.282028800004"/>
    <n v="0.14064925510163392"/>
    <n v="-1474549.1045091897"/>
    <n v="3711.587"/>
    <n v="-4.1000000237545464E-5"/>
  </r>
  <r>
    <n v="602256"/>
    <x v="182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83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84"/>
    <x v="101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907031"/>
    <x v="185"/>
    <x v="102"/>
    <s v="OBRA GRUESA"/>
    <s v="TECHUMBRE"/>
    <n v="156269.16666700001"/>
    <s v="RLL"/>
    <n v="156269.16666700004"/>
    <b v="1"/>
    <x v="23"/>
    <x v="1"/>
    <n v="0.7111632270168855"/>
    <n v="111132.88485014325"/>
    <n v="3556252.315204584"/>
    <n v="78237550.934500843"/>
    <n v="499.23658536585361"/>
    <n v="60"/>
    <n v="0"/>
    <n v="60"/>
    <n v="84.368816778789082"/>
    <n v="9248277"/>
    <n v="154137.95000000001"/>
    <n v="67922261.317148224"/>
    <n v="-0.13184576324466502"/>
    <n v="440.65891181988741"/>
    <n v="0.13615973350500191"/>
    <n v="-939139.61733262241"/>
    <n v="156269.1667"/>
    <n v="3.2999960239976645E-5"/>
  </r>
  <r>
    <n v="1802171"/>
    <x v="186"/>
    <x v="103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7033"/>
    <x v="187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660"/>
    <n v="0"/>
    <n v="660"/>
    <n v="83.809523809523796"/>
    <n v="1247151"/>
    <n v="1889.6227272727272"/>
    <n v="9228917.4000000004"/>
    <n v="-0.11878218276027841"/>
    <n v="4884.0000000000009"/>
    <n v="0.13513513513513511"/>
    <n v="2779.8911039978266"/>
    <n v="1889.0535"/>
    <n v="-4.4000000116284355E-5"/>
  </r>
  <r>
    <n v="1703006"/>
    <x v="188"/>
    <x v="104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9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90"/>
    <x v="105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91"/>
    <x v="106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92"/>
    <x v="107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1405025"/>
    <x v="193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1"/>
    <n v="0"/>
    <n v="41"/>
    <n v="78.095238095238088"/>
    <n v="286166"/>
    <n v="6979.6585365853662"/>
    <n v="2293515.7951219515"/>
    <n v="-8.1842232207762988E-2"/>
    <n v="328.6"/>
    <n v="0.1247717589774802"/>
    <n v="72661.741898151115"/>
    <n v="6758.5333000000001"/>
    <n v="-3.3000000257743523E-5"/>
  </r>
  <r>
    <n v="2508991"/>
    <x v="194"/>
    <x v="108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95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2508993"/>
    <x v="196"/>
    <x v="109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0"/>
    <n v="0"/>
    <n v="80"/>
    <n v="76.19047619047619"/>
    <n v="118076"/>
    <n v="1475.95"/>
    <n v="972946.24000000011"/>
    <n v="-0.68205169231934004"/>
    <n v="659.2"/>
    <n v="0.12135922330097086"/>
    <n v="-1755953.4173312001"/>
    <n v="1410"/>
    <n v="0"/>
  </r>
  <r>
    <n v="5316507"/>
    <x v="197"/>
    <x v="110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2508990"/>
    <x v="198"/>
    <x v="111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8"/>
    <n v="0"/>
    <n v="78"/>
    <n v="74.285714285714278"/>
    <n v="520734"/>
    <n v="6676.0769230769229"/>
    <n v="4414222.0615384616"/>
    <n v="0.44252002473722274"/>
    <n v="661.2"/>
    <n v="0.11796733212341197"/>
    <n v="1677042.9756352613"/>
    <n v="6738"/>
    <n v="0"/>
  </r>
  <r>
    <n v="4212234"/>
    <x v="199"/>
    <x v="112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8"/>
    <n v="0"/>
    <n v="38"/>
    <n v="72.38095238095238"/>
    <n v="4825633"/>
    <n v="126990.34210526316"/>
    <n v="42109997.442105263"/>
    <n v="-8.7864159001578734E-2"/>
    <n v="331.6"/>
    <n v="0.11459589867310012"/>
    <n v="690173.04210525751"/>
    <n v="124909"/>
    <n v="0"/>
  </r>
  <r>
    <n v="701015"/>
    <x v="200"/>
    <x v="113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801229"/>
    <x v="201"/>
    <x v="114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1808006"/>
    <x v="202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203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204"/>
    <x v="115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205"/>
    <x v="116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206"/>
    <x v="117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1802174"/>
    <x v="207"/>
    <x v="118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8"/>
    <x v="119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9"/>
    <x v="120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10"/>
    <x v="121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11"/>
    <x v="122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12"/>
    <x v="123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13"/>
    <x v="124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2169"/>
    <x v="214"/>
    <x v="125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15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1901466"/>
    <x v="216"/>
    <x v="126"/>
    <s v=""/>
    <s v=""/>
    <m/>
    <s v="M2"/>
    <n v="2112.795779"/>
    <b v="0"/>
    <x v="0"/>
    <x v="0"/>
    <n v="29.529275999999999"/>
    <n v="0"/>
    <n v="0"/>
    <n v="0"/>
    <n v="20729.551751999999"/>
    <n v="1889"/>
    <n v="0"/>
    <n v="1889"/>
    <n v="63.970413632897738"/>
    <n v="3723300"/>
    <n v="1971.0428798305982"/>
    <n v="37251942.321272202"/>
    <s v=""/>
    <n v="18899.610303999998"/>
    <n v="9.9949150782236165E-2"/>
    <n v="37251942.321272202"/>
    <n v="2112.7957999999999"/>
    <n v="2.0999999833293259E-5"/>
  </r>
  <r>
    <n v="704021"/>
    <x v="217"/>
    <x v="127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8"/>
    <x v="128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801"/>
    <n v="600"/>
    <n v="10201"/>
    <n v="59.059198147344063"/>
    <n v="51467953"/>
    <n v="4765.1099898157581"/>
    <n v="527961797.58561224"/>
    <n v="-0.1526121068740709"/>
    <n v="110797.39999999995"/>
    <n v="9.7484236994730966E-2"/>
    <n v="-39742200.519417346"/>
    <n v="5123.8024999999998"/>
    <n v="-2.7000001864507794E-5"/>
  </r>
  <r>
    <n v="1808148"/>
    <x v="219"/>
    <x v="129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2302017"/>
    <x v="22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6"/>
    <n v="0"/>
    <n v="46"/>
    <n v="58.412698412698397"/>
    <n v="3811921"/>
    <n v="82867.84782608696"/>
    <n v="42130013.834782615"/>
    <n v="-6.4112425486834157E-2"/>
    <n v="508.40000000000009"/>
    <n v="9.0479937057435081E-2"/>
    <n v="849010.84001901001"/>
    <n v="81197.881599999993"/>
    <n v="2.1000014385208488E-5"/>
  </r>
  <r>
    <n v="1805340"/>
    <x v="221"/>
    <x v="130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808146"/>
    <x v="222"/>
    <x v="131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038"/>
    <x v="223"/>
    <x v="132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158"/>
    <n v="0"/>
    <n v="2158"/>
    <n v="53.936178854168624"/>
    <n v="9949676"/>
    <n v="4610.6005560704352"/>
    <n v="119918105.75255606"/>
    <n v="1.4281788731164147E-2"/>
    <n v="26009.216"/>
    <n v="8.2970590116980075E-2"/>
    <n v="10746557.599420056"/>
    <n v="4197.4179000000004"/>
    <n v="2.4999999368446879E-5"/>
  </r>
  <r>
    <n v="407170"/>
    <x v="224"/>
    <x v="133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7904"/>
    <n v="0"/>
    <n v="7904"/>
    <n v="52.275132275132279"/>
    <n v="39337"/>
    <n v="4.9768471659919031"/>
    <n v="490422.50121457485"/>
    <n v="-5.5924139288587305E-2"/>
    <n v="98540.799999999988"/>
    <n v="8.0210430603364302E-2"/>
    <n v="9522.1124017749098"/>
    <n v="4.8802000000000003"/>
    <n v="-1.6000000000460091E-5"/>
  </r>
  <r>
    <n v="307030"/>
    <x v="225"/>
    <x v="134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602258"/>
    <x v="226"/>
    <x v="135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307096"/>
    <x v="227"/>
    <x v="136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169"/>
    <n v="0"/>
    <n v="3169"/>
    <n v="48.678955453148987"/>
    <n v="5295855"/>
    <n v="1671.1438939728621"/>
    <n v="71293338.118333891"/>
    <n v="-0.25759874220644718"/>
    <n v="42661.400000000016"/>
    <n v="7.4282606759271813E-2"/>
    <n v="-18097231.874986738"/>
    <n v="2095.3501000000001"/>
    <n v="-2.8999998448853148E-5"/>
  </r>
  <r>
    <s v="140209X"/>
    <x v="228"/>
    <x v="137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9"/>
    <x v="138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30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31"/>
    <x v="139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32"/>
    <x v="140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33"/>
    <x v="141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1"/>
    <n v="0"/>
    <n v="61"/>
    <n v="38.730158730158728"/>
    <n v="465268"/>
    <n v="7627.3442622950815"/>
    <n v="7991931.3180327881"/>
    <n v="-0.59952604371701934"/>
    <n v="1047.8000000000002"/>
    <n v="5.8217217026150021E-2"/>
    <n v="-10866373.081967214"/>
    <n v="7596"/>
    <n v="0"/>
  </r>
  <r>
    <n v="412249"/>
    <x v="234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3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7"/>
    <x v="142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7"/>
    <x v="142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8"/>
    <x v="143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9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40"/>
    <x v="144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41"/>
    <x v="145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42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43"/>
    <x v="146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410078"/>
    <x v="244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5"/>
    <x v="147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6"/>
    <x v="148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7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48"/>
    <x v="149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49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33"/>
    <n v="0"/>
    <n v="333"/>
    <n v="2.5549611562465198"/>
    <n v="13290445"/>
    <n v="39911.246246246243"/>
    <n v="3648789996.8590641"/>
    <n v="-0.17254753504183318"/>
    <n v="91422.602400000033"/>
    <n v="3.6424253002887595E-3"/>
    <n v="-744873614.75166321"/>
    <n v="29779"/>
    <n v="29127.5"/>
  </r>
  <r>
    <n v="601121"/>
    <x v="250"/>
    <x v="150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51"/>
    <x v="151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2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3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4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5"/>
    <x v="152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6"/>
    <x v="153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7"/>
    <x v="154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43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7"/>
    <x v="154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5"/>
    <x v="152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20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 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 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 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 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 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 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 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 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 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 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m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m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m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m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m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m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m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m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m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m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m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m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m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m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m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m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m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m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m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m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m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m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m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m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68618"/>
    <m/>
    <m/>
    <m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68618"/>
    <m/>
    <m/>
    <m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68618"/>
    <m/>
    <m/>
    <m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68618"/>
    <m/>
    <m/>
    <m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68618"/>
    <m/>
    <m/>
    <m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68618"/>
    <m/>
    <m/>
    <m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68618"/>
    <m/>
    <m/>
    <m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68618"/>
    <m/>
    <m/>
    <m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68618"/>
    <m/>
    <m/>
    <m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68618"/>
    <m/>
    <m/>
    <m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68618"/>
    <m/>
    <m/>
    <m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68618"/>
    <m/>
    <m/>
    <m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68618"/>
    <m/>
    <m/>
    <m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68618"/>
    <m/>
    <m/>
    <m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ICG"/>
    <n v="194000"/>
    <m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m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m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m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m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m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m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m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m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m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m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m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m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m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m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m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m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m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m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m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m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m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m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m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m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m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m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m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m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m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m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m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m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m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m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m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m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m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m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m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m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m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m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m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m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m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m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m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m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m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m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m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m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m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m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m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m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m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m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m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m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m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m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m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m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m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m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m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m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m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m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m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m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m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m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m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m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m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m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m/>
    <m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m/>
    <m/>
    <n v="733248"/>
    <n v="10010"/>
    <n v="-0.76433621366849958"/>
    <n v="733248"/>
    <x v="1"/>
    <n v="144"/>
    <x v="1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3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3"/>
    <n v="48"/>
    <x v="4"/>
    <x v="18"/>
    <n v="0.8571428571428571"/>
    <n v="0.57831325301204817"/>
    <n v="18"/>
    <n v="35"/>
    <n v="11"/>
    <n v="0.17897727272727273"/>
    <n v="0.15340909090909091"/>
    <n v="0.11789772727272728"/>
    <n v="6.8181818181818177E-2"/>
    <n v="0.1484375"/>
  </r>
  <r>
    <x v="127"/>
    <n v="2"/>
    <n v="128"/>
    <n v="0"/>
    <n v="108"/>
    <n v="2"/>
    <n v="85"/>
    <n v="0"/>
    <n v="48"/>
    <x v="4"/>
    <x v="18"/>
    <n v="0.84375"/>
    <n v="0.56470588235294117"/>
    <n v="20"/>
    <n v="37"/>
    <n v="11"/>
    <n v="0.18181818181818182"/>
    <n v="0.15340909090909091"/>
    <n v="0.12073863636363637"/>
    <n v="6.8181818181818177E-2"/>
    <n v="0.15127840909090909"/>
  </r>
  <r>
    <x v="128"/>
    <n v="2"/>
    <n v="130"/>
    <n v="0"/>
    <n v="108"/>
    <n v="2"/>
    <n v="87"/>
    <n v="0"/>
    <n v="48"/>
    <x v="4"/>
    <x v="18"/>
    <n v="0.83076923076923082"/>
    <n v="0.55172413793103448"/>
    <n v="22"/>
    <n v="39"/>
    <n v="11"/>
    <n v="0.18465909090909091"/>
    <n v="0.15340909090909091"/>
    <n v="0.12357954545454546"/>
    <n v="6.8181818181818177E-2"/>
    <n v="0.15411931818181818"/>
  </r>
  <r>
    <x v="129"/>
    <n v="3"/>
    <n v="133"/>
    <n v="0"/>
    <n v="108"/>
    <n v="1"/>
    <n v="88"/>
    <n v="0"/>
    <n v="48"/>
    <x v="4"/>
    <x v="18"/>
    <n v="0.81203007518796988"/>
    <n v="0.54545454545454541"/>
    <n v="25"/>
    <n v="40"/>
    <n v="11"/>
    <n v="0.18892045454545456"/>
    <n v="0.15340909090909091"/>
    <n v="0.125"/>
    <n v="6.8181818181818177E-2"/>
    <n v="0.15696022727272729"/>
  </r>
  <r>
    <x v="130"/>
    <n v="2"/>
    <n v="135"/>
    <n v="0"/>
    <n v="108"/>
    <n v="1"/>
    <n v="89"/>
    <n v="0"/>
    <n v="48"/>
    <x v="4"/>
    <x v="18"/>
    <n v="0.8"/>
    <n v="0.5393258426966292"/>
    <n v="27"/>
    <n v="41"/>
    <n v="11"/>
    <n v="0.19176136363636365"/>
    <n v="0.15340909090909091"/>
    <n v="0.12642045454545456"/>
    <n v="6.8181818181818177E-2"/>
    <n v="0.15909090909090912"/>
  </r>
  <r>
    <x v="131"/>
    <n v="0"/>
    <n v="135"/>
    <n v="0"/>
    <n v="108"/>
    <n v="3"/>
    <n v="92"/>
    <n v="0"/>
    <n v="48"/>
    <x v="4"/>
    <x v="18"/>
    <n v="0.8"/>
    <n v="0.52173913043478259"/>
    <n v="27"/>
    <n v="44"/>
    <n v="11"/>
    <n v="0.19176136363636365"/>
    <n v="0.15340909090909091"/>
    <n v="0.13068181818181818"/>
    <n v="6.8181818181818177E-2"/>
    <n v="0.16122159090909091"/>
  </r>
  <r>
    <x v="132"/>
    <n v="0"/>
    <n v="135"/>
    <n v="0"/>
    <n v="108"/>
    <n v="1"/>
    <n v="93"/>
    <n v="0"/>
    <n v="48"/>
    <x v="4"/>
    <x v="19"/>
    <n v="0.8"/>
    <n v="0.5161290322580645"/>
    <n v="27"/>
    <n v="45"/>
    <n v="5"/>
    <n v="0.19176136363636365"/>
    <n v="0.15340909090909091"/>
    <n v="0.13210227272727273"/>
    <n v="6.8181818181818177E-2"/>
    <n v="0.16193181818181818"/>
  </r>
  <r>
    <x v="133"/>
    <n v="3"/>
    <n v="138"/>
    <n v="0"/>
    <n v="108"/>
    <n v="1"/>
    <n v="94"/>
    <n v="0"/>
    <n v="48"/>
    <x v="4"/>
    <x v="19"/>
    <n v="0.78260869565217395"/>
    <n v="0.51063829787234039"/>
    <n v="30"/>
    <n v="46"/>
    <n v="5"/>
    <n v="0.19602272727272727"/>
    <n v="0.15340909090909091"/>
    <n v="0.13352272727272727"/>
    <n v="6.8181818181818177E-2"/>
    <n v="0.16477272727272727"/>
  </r>
  <r>
    <x v="134"/>
    <n v="2"/>
    <n v="140"/>
    <n v="0"/>
    <n v="108"/>
    <n v="1"/>
    <n v="95"/>
    <n v="0"/>
    <n v="48"/>
    <x v="4"/>
    <x v="19"/>
    <n v="0.77142857142857146"/>
    <n v="0.50526315789473686"/>
    <n v="32"/>
    <n v="47"/>
    <n v="5"/>
    <n v="0.19886363636363635"/>
    <n v="0.15340909090909091"/>
    <n v="0.13494318181818182"/>
    <n v="6.8181818181818177E-2"/>
    <n v="0.16690340909090909"/>
  </r>
  <r>
    <x v="135"/>
    <n v="3"/>
    <n v="143"/>
    <n v="0"/>
    <n v="108"/>
    <n v="1"/>
    <n v="96"/>
    <n v="0"/>
    <n v="48"/>
    <x v="5"/>
    <x v="19"/>
    <n v="0.75524475524475521"/>
    <n v="0.5"/>
    <n v="35"/>
    <n v="48"/>
    <n v="8"/>
    <n v="0.203125"/>
    <n v="0.15340909090909091"/>
    <n v="0.13636363636363635"/>
    <n v="6.8181818181818177E-2"/>
    <n v="0.16974431818181818"/>
  </r>
  <r>
    <x v="136"/>
    <n v="2"/>
    <n v="145"/>
    <n v="0"/>
    <n v="108"/>
    <n v="2"/>
    <n v="98"/>
    <n v="0"/>
    <n v="48"/>
    <x v="5"/>
    <x v="19"/>
    <n v="0.7448275862068966"/>
    <n v="0.48979591836734693"/>
    <n v="37"/>
    <n v="50"/>
    <n v="8"/>
    <n v="0.20596590909090909"/>
    <n v="0.15340909090909091"/>
    <n v="0.13920454545454544"/>
    <n v="6.8181818181818177E-2"/>
    <n v="0.17258522727272727"/>
  </r>
  <r>
    <x v="137"/>
    <n v="3"/>
    <n v="148"/>
    <n v="0"/>
    <n v="108"/>
    <n v="2"/>
    <n v="100"/>
    <n v="0"/>
    <n v="48"/>
    <x v="5"/>
    <x v="19"/>
    <n v="0.72972972972972971"/>
    <n v="0.48"/>
    <n v="40"/>
    <n v="52"/>
    <n v="8"/>
    <n v="0.21022727272727273"/>
    <n v="0.15340909090909091"/>
    <n v="0.14204545454545456"/>
    <n v="6.8181818181818177E-2"/>
    <n v="0.17613636363636365"/>
  </r>
  <r>
    <x v="138"/>
    <n v="0"/>
    <n v="148"/>
    <n v="0"/>
    <n v="108"/>
    <n v="2"/>
    <n v="102"/>
    <n v="0"/>
    <n v="48"/>
    <x v="5"/>
    <x v="19"/>
    <n v="0.72972972972972971"/>
    <n v="0.47058823529411764"/>
    <n v="40"/>
    <n v="54"/>
    <n v="8"/>
    <n v="0.21022727272727273"/>
    <n v="0.15340909090909091"/>
    <n v="0.14488636363636365"/>
    <n v="6.8181818181818177E-2"/>
    <n v="0.17755681818181818"/>
  </r>
  <r>
    <x v="139"/>
    <n v="0"/>
    <n v="148"/>
    <n v="0"/>
    <n v="108"/>
    <n v="1"/>
    <n v="103"/>
    <n v="0"/>
    <n v="48"/>
    <x v="5"/>
    <x v="20"/>
    <n v="0.72972972972972971"/>
    <n v="0.46601941747572817"/>
    <n v="40"/>
    <n v="55"/>
    <n v="12"/>
    <n v="0.21022727272727273"/>
    <n v="0.15340909090909091"/>
    <n v="0.14630681818181818"/>
    <n v="6.8181818181818177E-2"/>
    <n v="0.17826704545454547"/>
  </r>
  <r>
    <x v="140"/>
    <n v="2"/>
    <n v="150"/>
    <n v="0"/>
    <n v="108"/>
    <n v="2"/>
    <n v="105"/>
    <n v="0"/>
    <n v="48"/>
    <x v="5"/>
    <x v="20"/>
    <n v="0.72"/>
    <n v="0.45714285714285713"/>
    <n v="42"/>
    <n v="57"/>
    <n v="12"/>
    <n v="0.21306818181818182"/>
    <n v="0.15340909090909091"/>
    <n v="0.14914772727272727"/>
    <n v="6.8181818181818177E-2"/>
    <n v="0.18110795454545453"/>
  </r>
  <r>
    <x v="141"/>
    <n v="3"/>
    <n v="153"/>
    <n v="0"/>
    <n v="108"/>
    <n v="2"/>
    <n v="107"/>
    <n v="0"/>
    <n v="48"/>
    <x v="5"/>
    <x v="20"/>
    <n v="0.70588235294117652"/>
    <n v="0.44859813084112149"/>
    <n v="45"/>
    <n v="59"/>
    <n v="12"/>
    <n v="0.21732954545454544"/>
    <n v="0.15340909090909091"/>
    <n v="0.15198863636363635"/>
    <n v="6.8181818181818177E-2"/>
    <n v="0.18465909090909088"/>
  </r>
  <r>
    <x v="142"/>
    <n v="2"/>
    <n v="155"/>
    <n v="0"/>
    <n v="108"/>
    <n v="1"/>
    <n v="108"/>
    <n v="0"/>
    <n v="48"/>
    <x v="5"/>
    <x v="20"/>
    <n v="0.6967741935483871"/>
    <n v="0.44444444444444442"/>
    <n v="47"/>
    <n v="60"/>
    <n v="12"/>
    <n v="0.22017045454545456"/>
    <n v="0.15340909090909091"/>
    <n v="0.15340909090909091"/>
    <n v="6.8181818181818177E-2"/>
    <n v="0.18678977272727273"/>
  </r>
  <r>
    <x v="143"/>
    <n v="3"/>
    <n v="158"/>
    <n v="0"/>
    <n v="108"/>
    <n v="2"/>
    <n v="110"/>
    <n v="0"/>
    <n v="48"/>
    <x v="5"/>
    <x v="20"/>
    <n v="0.68354430379746833"/>
    <n v="0.43636363636363634"/>
    <n v="50"/>
    <n v="62"/>
    <n v="12"/>
    <n v="0.22443181818181818"/>
    <n v="0.15340909090909091"/>
    <n v="0.15625"/>
    <n v="6.8181818181818177E-2"/>
    <n v="0.19034090909090909"/>
  </r>
  <r>
    <x v="144"/>
    <n v="2"/>
    <n v="160"/>
    <n v="0"/>
    <n v="108"/>
    <n v="1"/>
    <n v="111"/>
    <n v="0"/>
    <n v="48"/>
    <x v="5"/>
    <x v="20"/>
    <n v="0.67500000000000004"/>
    <n v="0.43243243243243246"/>
    <n v="52"/>
    <n v="63"/>
    <n v="12"/>
    <n v="0.22727272727272727"/>
    <n v="0.15340909090909091"/>
    <n v="0.15767045454545456"/>
    <n v="6.8181818181818177E-2"/>
    <n v="0.19247159090909091"/>
  </r>
  <r>
    <x v="145"/>
    <n v="0"/>
    <n v="160"/>
    <n v="0"/>
    <n v="108"/>
    <n v="1"/>
    <n v="112"/>
    <n v="0"/>
    <n v="48"/>
    <x v="5"/>
    <x v="20"/>
    <n v="0.67500000000000004"/>
    <n v="0.42857142857142855"/>
    <n v="52"/>
    <n v="64"/>
    <n v="12"/>
    <n v="0.22727272727272727"/>
    <n v="0.15340909090909091"/>
    <n v="0.15909090909090909"/>
    <n v="6.8181818181818177E-2"/>
    <n v="0.19318181818181818"/>
  </r>
  <r>
    <x v="146"/>
    <n v="0"/>
    <n v="160"/>
    <n v="0"/>
    <n v="108"/>
    <n v="2"/>
    <n v="114"/>
    <n v="0"/>
    <n v="48"/>
    <x v="5"/>
    <x v="21"/>
    <n v="0.67500000000000004"/>
    <n v="0.42105263157894735"/>
    <n v="52"/>
    <n v="66"/>
    <n v="13"/>
    <n v="0.22727272727272727"/>
    <n v="0.15340909090909091"/>
    <n v="0.16193181818181818"/>
    <n v="6.8181818181818177E-2"/>
    <n v="0.19460227272727271"/>
  </r>
  <r>
    <x v="147"/>
    <n v="3"/>
    <n v="163"/>
    <n v="0"/>
    <n v="108"/>
    <n v="2"/>
    <n v="116"/>
    <n v="0"/>
    <n v="48"/>
    <x v="5"/>
    <x v="21"/>
    <n v="0.66257668711656437"/>
    <n v="0.41379310344827586"/>
    <n v="55"/>
    <n v="68"/>
    <n v="13"/>
    <n v="0.23153409090909091"/>
    <n v="0.15340909090909091"/>
    <n v="0.16477272727272727"/>
    <n v="6.8181818181818177E-2"/>
    <n v="0.19815340909090909"/>
  </r>
  <r>
    <x v="148"/>
    <n v="2"/>
    <n v="165"/>
    <n v="0"/>
    <n v="108"/>
    <n v="1"/>
    <n v="117"/>
    <n v="0"/>
    <n v="48"/>
    <x v="5"/>
    <x v="21"/>
    <n v="0.65454545454545454"/>
    <n v="0.41025641025641024"/>
    <n v="57"/>
    <n v="69"/>
    <n v="13"/>
    <n v="0.234375"/>
    <n v="0.15340909090909091"/>
    <n v="0.16619318181818182"/>
    <n v="6.8181818181818177E-2"/>
    <n v="0.20028409090909091"/>
  </r>
  <r>
    <x v="149"/>
    <n v="3"/>
    <n v="168"/>
    <n v="0"/>
    <n v="108"/>
    <n v="1"/>
    <n v="118"/>
    <n v="0"/>
    <n v="48"/>
    <x v="5"/>
    <x v="21"/>
    <n v="0.6428571428571429"/>
    <n v="0.40677966101694918"/>
    <n v="60"/>
    <n v="70"/>
    <n v="13"/>
    <n v="0.23863636363636365"/>
    <n v="0.15340909090909091"/>
    <n v="0.16761363636363635"/>
    <n v="6.8181818181818177E-2"/>
    <n v="0.203125"/>
  </r>
  <r>
    <x v="150"/>
    <n v="2"/>
    <n v="170"/>
    <n v="0"/>
    <n v="108"/>
    <n v="3"/>
    <n v="121"/>
    <n v="0"/>
    <n v="48"/>
    <x v="5"/>
    <x v="21"/>
    <n v="0.63529411764705879"/>
    <n v="0.39669421487603307"/>
    <n v="62"/>
    <n v="73"/>
    <n v="13"/>
    <n v="0.24147727272727273"/>
    <n v="0.15340909090909091"/>
    <n v="0.171875"/>
    <n v="6.8181818181818177E-2"/>
    <n v="0.20667613636363635"/>
  </r>
  <r>
    <x v="151"/>
    <n v="3"/>
    <n v="173"/>
    <n v="0"/>
    <n v="108"/>
    <n v="3"/>
    <n v="124"/>
    <n v="0"/>
    <n v="48"/>
    <x v="5"/>
    <x v="21"/>
    <n v="0.62427745664739887"/>
    <n v="0.38709677419354838"/>
    <n v="65"/>
    <n v="76"/>
    <n v="13"/>
    <n v="0.24573863636363635"/>
    <n v="0.15340909090909091"/>
    <n v="0.17613636363636365"/>
    <n v="6.8181818181818177E-2"/>
    <n v="0.2109375"/>
  </r>
  <r>
    <x v="152"/>
    <n v="0"/>
    <n v="173"/>
    <n v="0"/>
    <n v="108"/>
    <n v="0"/>
    <n v="124"/>
    <n v="0"/>
    <n v="48"/>
    <x v="5"/>
    <x v="21"/>
    <n v="0.62427745664739887"/>
    <n v="0.38709677419354838"/>
    <n v="65"/>
    <n v="76"/>
    <n v="13"/>
    <n v="0.24573863636363635"/>
    <n v="0.15340909090909091"/>
    <n v="0.17613636363636365"/>
    <n v="6.8181818181818177E-2"/>
    <n v="0.2109375"/>
  </r>
  <r>
    <x v="153"/>
    <n v="0"/>
    <n v="173"/>
    <n v="0"/>
    <n v="108"/>
    <n v="1"/>
    <n v="125"/>
    <n v="0"/>
    <n v="48"/>
    <x v="5"/>
    <x v="22"/>
    <n v="0.62427745664739887"/>
    <n v="0.38400000000000001"/>
    <n v="65"/>
    <n v="77"/>
    <n v="12"/>
    <n v="0.24573863636363635"/>
    <n v="0.15340909090909091"/>
    <n v="0.17755681818181818"/>
    <n v="6.8181818181818177E-2"/>
    <n v="0.21164772727272727"/>
  </r>
  <r>
    <x v="154"/>
    <n v="2"/>
    <n v="175"/>
    <n v="0"/>
    <n v="108"/>
    <n v="1"/>
    <n v="126"/>
    <n v="0"/>
    <n v="48"/>
    <x v="5"/>
    <x v="22"/>
    <n v="0.6171428571428571"/>
    <n v="0.38095238095238093"/>
    <n v="67"/>
    <n v="78"/>
    <n v="12"/>
    <n v="0.24857954545454544"/>
    <n v="0.15340909090909091"/>
    <n v="0.17897727272727273"/>
    <n v="6.8181818181818177E-2"/>
    <n v="0.21377840909090909"/>
  </r>
  <r>
    <x v="155"/>
    <n v="3"/>
    <n v="178"/>
    <n v="0"/>
    <n v="108"/>
    <n v="3"/>
    <n v="129"/>
    <n v="0"/>
    <n v="48"/>
    <x v="5"/>
    <x v="22"/>
    <n v="0.6067415730337079"/>
    <n v="0.37209302325581395"/>
    <n v="70"/>
    <n v="81"/>
    <n v="12"/>
    <n v="0.25284090909090912"/>
    <n v="0.15340909090909091"/>
    <n v="0.18323863636363635"/>
    <n v="6.8181818181818177E-2"/>
    <n v="0.21803977272727273"/>
  </r>
  <r>
    <x v="156"/>
    <n v="2"/>
    <n v="180"/>
    <n v="0"/>
    <n v="108"/>
    <n v="2"/>
    <n v="131"/>
    <n v="0"/>
    <n v="48"/>
    <x v="5"/>
    <x v="22"/>
    <n v="0.6"/>
    <n v="0.36641221374045801"/>
    <n v="72"/>
    <n v="83"/>
    <n v="12"/>
    <n v="0.25568181818181818"/>
    <n v="0.15340909090909091"/>
    <n v="0.18607954545454544"/>
    <n v="6.8181818181818177E-2"/>
    <n v="0.22088068181818182"/>
  </r>
  <r>
    <x v="157"/>
    <n v="3"/>
    <n v="183"/>
    <n v="0"/>
    <n v="108"/>
    <n v="2"/>
    <n v="133"/>
    <n v="0"/>
    <n v="48"/>
    <x v="5"/>
    <x v="22"/>
    <n v="0.5901639344262295"/>
    <n v="0.36090225563909772"/>
    <n v="75"/>
    <n v="85"/>
    <n v="12"/>
    <n v="0.25994318181818182"/>
    <n v="0.15340909090909091"/>
    <n v="0.18892045454545456"/>
    <n v="6.8181818181818177E-2"/>
    <n v="0.22443181818181818"/>
  </r>
  <r>
    <x v="158"/>
    <n v="2"/>
    <n v="185"/>
    <n v="0"/>
    <n v="108"/>
    <n v="2"/>
    <n v="135"/>
    <n v="0"/>
    <n v="48"/>
    <x v="5"/>
    <x v="22"/>
    <n v="0.58378378378378382"/>
    <n v="0.35555555555555557"/>
    <n v="77"/>
    <n v="87"/>
    <n v="12"/>
    <n v="0.26278409090909088"/>
    <n v="0.15340909090909091"/>
    <n v="0.19176136363636365"/>
    <n v="6.8181818181818177E-2"/>
    <n v="0.22727272727272727"/>
  </r>
  <r>
    <x v="159"/>
    <n v="0"/>
    <n v="185"/>
    <n v="0"/>
    <n v="108"/>
    <n v="1"/>
    <n v="136"/>
    <n v="0"/>
    <n v="48"/>
    <x v="5"/>
    <x v="22"/>
    <n v="0.58378378378378382"/>
    <n v="0.35294117647058826"/>
    <n v="77"/>
    <n v="88"/>
    <n v="12"/>
    <n v="0.26278409090909088"/>
    <n v="0.15340909090909091"/>
    <n v="0.19318181818181818"/>
    <n v="6.8181818181818177E-2"/>
    <n v="0.22798295454545453"/>
  </r>
  <r>
    <x v="160"/>
    <n v="0"/>
    <n v="185"/>
    <n v="0"/>
    <n v="108"/>
    <n v="2"/>
    <n v="138"/>
    <n v="0"/>
    <n v="48"/>
    <x v="5"/>
    <x v="23"/>
    <n v="0.58378378378378382"/>
    <n v="0.34782608695652173"/>
    <n v="77"/>
    <n v="90"/>
    <n v="13"/>
    <n v="0.26278409090909088"/>
    <n v="0.15340909090909091"/>
    <n v="0.19602272727272727"/>
    <n v="6.8181818181818177E-2"/>
    <n v="0.22940340909090906"/>
  </r>
  <r>
    <x v="161"/>
    <n v="3"/>
    <n v="188"/>
    <n v="0"/>
    <n v="108"/>
    <n v="2"/>
    <n v="140"/>
    <n v="0"/>
    <n v="48"/>
    <x v="5"/>
    <x v="23"/>
    <n v="0.57446808510638303"/>
    <n v="0.34285714285714286"/>
    <n v="80"/>
    <n v="92"/>
    <n v="13"/>
    <n v="0.26704545454545453"/>
    <n v="0.15340909090909091"/>
    <n v="0.19886363636363635"/>
    <n v="6.8181818181818177E-2"/>
    <n v="0.23295454545454544"/>
  </r>
  <r>
    <x v="162"/>
    <n v="2"/>
    <n v="190"/>
    <n v="0"/>
    <n v="108"/>
    <n v="3"/>
    <n v="143"/>
    <n v="0"/>
    <n v="48"/>
    <x v="5"/>
    <x v="23"/>
    <n v="0.56842105263157894"/>
    <n v="0.33566433566433568"/>
    <n v="82"/>
    <n v="95"/>
    <n v="13"/>
    <n v="0.26988636363636365"/>
    <n v="0.15340909090909091"/>
    <n v="0.203125"/>
    <n v="6.8181818181818177E-2"/>
    <n v="0.23650568181818182"/>
  </r>
  <r>
    <x v="163"/>
    <n v="3"/>
    <n v="193"/>
    <n v="0"/>
    <n v="108"/>
    <n v="2"/>
    <n v="145"/>
    <n v="0"/>
    <n v="48"/>
    <x v="5"/>
    <x v="23"/>
    <n v="0.55958549222797926"/>
    <n v="0.33103448275862069"/>
    <n v="85"/>
    <n v="97"/>
    <n v="13"/>
    <n v="0.27414772727272729"/>
    <n v="0.15340909090909091"/>
    <n v="0.20596590909090909"/>
    <n v="6.8181818181818177E-2"/>
    <n v="0.24005681818181818"/>
  </r>
  <r>
    <x v="164"/>
    <n v="2"/>
    <n v="195"/>
    <n v="0"/>
    <n v="108"/>
    <n v="0"/>
    <n v="145"/>
    <n v="0"/>
    <n v="48"/>
    <x v="5"/>
    <x v="23"/>
    <n v="0.55384615384615388"/>
    <n v="0.33103448275862069"/>
    <n v="87"/>
    <n v="97"/>
    <n v="13"/>
    <n v="0.27698863636363635"/>
    <n v="0.15340909090909091"/>
    <n v="0.20596590909090909"/>
    <n v="6.8181818181818177E-2"/>
    <n v="0.24147727272727271"/>
  </r>
  <r>
    <x v="165"/>
    <n v="3"/>
    <n v="198"/>
    <n v="0"/>
    <n v="108"/>
    <n v="3"/>
    <n v="148"/>
    <n v="0"/>
    <n v="48"/>
    <x v="5"/>
    <x v="23"/>
    <n v="0.54545454545454541"/>
    <n v="0.32432432432432434"/>
    <n v="90"/>
    <n v="100"/>
    <n v="13"/>
    <n v="0.28125"/>
    <n v="0.15340909090909091"/>
    <n v="0.21022727272727273"/>
    <n v="6.8181818181818177E-2"/>
    <n v="0.24573863636363635"/>
  </r>
  <r>
    <x v="166"/>
    <n v="0"/>
    <n v="198"/>
    <n v="0"/>
    <n v="108"/>
    <n v="2"/>
    <n v="150"/>
    <n v="0"/>
    <n v="48"/>
    <x v="6"/>
    <x v="23"/>
    <n v="0.54545454545454541"/>
    <n v="0.32"/>
    <n v="90"/>
    <n v="102"/>
    <n v="0"/>
    <n v="0.28125"/>
    <n v="0.15340909090909091"/>
    <n v="0.21306818181818182"/>
    <n v="6.8181818181818177E-2"/>
    <n v="0.24715909090909091"/>
  </r>
  <r>
    <x v="167"/>
    <n v="0"/>
    <n v="198"/>
    <n v="0"/>
    <n v="108"/>
    <n v="3"/>
    <n v="153"/>
    <n v="0"/>
    <n v="48"/>
    <x v="6"/>
    <x v="24"/>
    <n v="0.54545454545454541"/>
    <n v="0.31372549019607843"/>
    <n v="90"/>
    <n v="105"/>
    <n v="12"/>
    <n v="0.28125"/>
    <n v="0.15340909090909091"/>
    <n v="0.21732954545454544"/>
    <n v="6.8181818181818177E-2"/>
    <n v="0.24928977272727271"/>
  </r>
  <r>
    <x v="168"/>
    <n v="2"/>
    <n v="200"/>
    <n v="0"/>
    <n v="108"/>
    <n v="2"/>
    <n v="155"/>
    <n v="0"/>
    <n v="48"/>
    <x v="6"/>
    <x v="24"/>
    <n v="0.54"/>
    <n v="0.30967741935483872"/>
    <n v="92"/>
    <n v="107"/>
    <n v="12"/>
    <n v="0.28409090909090912"/>
    <n v="0.15340909090909091"/>
    <n v="0.22017045454545456"/>
    <n v="6.8181818181818177E-2"/>
    <n v="0.25213068181818182"/>
  </r>
  <r>
    <x v="169"/>
    <n v="3"/>
    <n v="203"/>
    <n v="0"/>
    <n v="108"/>
    <n v="3"/>
    <n v="158"/>
    <n v="0"/>
    <n v="48"/>
    <x v="6"/>
    <x v="24"/>
    <n v="0.53201970443349755"/>
    <n v="0.30379746835443039"/>
    <n v="95"/>
    <n v="110"/>
    <n v="12"/>
    <n v="0.28835227272727271"/>
    <n v="0.15340909090909091"/>
    <n v="0.22443181818181818"/>
    <n v="6.8181818181818177E-2"/>
    <n v="0.25639204545454541"/>
  </r>
  <r>
    <x v="170"/>
    <n v="2"/>
    <n v="205"/>
    <n v="0"/>
    <n v="108"/>
    <n v="1"/>
    <n v="159"/>
    <n v="0"/>
    <n v="48"/>
    <x v="6"/>
    <x v="24"/>
    <n v="0.52682926829268295"/>
    <n v="0.30188679245283018"/>
    <n v="97"/>
    <n v="111"/>
    <n v="12"/>
    <n v="0.29119318181818182"/>
    <n v="0.15340909090909091"/>
    <n v="0.22585227272727273"/>
    <n v="6.8181818181818177E-2"/>
    <n v="0.25852272727272729"/>
  </r>
  <r>
    <x v="171"/>
    <n v="3"/>
    <n v="208"/>
    <n v="0"/>
    <n v="108"/>
    <n v="2"/>
    <n v="161"/>
    <n v="0"/>
    <n v="48"/>
    <x v="6"/>
    <x v="24"/>
    <n v="0.51923076923076927"/>
    <n v="0.29813664596273293"/>
    <n v="100"/>
    <n v="113"/>
    <n v="12"/>
    <n v="0.29545454545454547"/>
    <n v="0.15340909090909091"/>
    <n v="0.22869318181818182"/>
    <n v="6.8181818181818177E-2"/>
    <n v="0.26207386363636365"/>
  </r>
  <r>
    <x v="172"/>
    <n v="2"/>
    <n v="210"/>
    <n v="0"/>
    <n v="108"/>
    <n v="1"/>
    <n v="162"/>
    <n v="0"/>
    <n v="48"/>
    <x v="6"/>
    <x v="24"/>
    <n v="0.51428571428571423"/>
    <n v="0.29629629629629628"/>
    <n v="102"/>
    <n v="114"/>
    <n v="12"/>
    <n v="0.29829545454545453"/>
    <n v="0.15340909090909091"/>
    <n v="0.23011363636363635"/>
    <n v="6.8181818181818177E-2"/>
    <n v="0.26420454545454541"/>
  </r>
  <r>
    <x v="173"/>
    <n v="0"/>
    <n v="210"/>
    <n v="0"/>
    <n v="108"/>
    <n v="1"/>
    <n v="163"/>
    <n v="0"/>
    <n v="48"/>
    <x v="6"/>
    <x v="24"/>
    <n v="0.51428571428571423"/>
    <n v="0.29447852760736198"/>
    <n v="102"/>
    <n v="115"/>
    <n v="12"/>
    <n v="0.29829545454545453"/>
    <n v="0.15340909090909091"/>
    <n v="0.23153409090909091"/>
    <n v="6.8181818181818177E-2"/>
    <n v="0.26491477272727271"/>
  </r>
  <r>
    <x v="174"/>
    <n v="0"/>
    <n v="210"/>
    <n v="0"/>
    <n v="108"/>
    <n v="2"/>
    <n v="165"/>
    <n v="0"/>
    <n v="48"/>
    <x v="6"/>
    <x v="25"/>
    <n v="0.51428571428571423"/>
    <n v="0.29090909090909089"/>
    <n v="102"/>
    <n v="117"/>
    <n v="13"/>
    <n v="0.29829545454545453"/>
    <n v="0.15340909090909091"/>
    <n v="0.234375"/>
    <n v="6.8181818181818177E-2"/>
    <n v="0.26633522727272729"/>
  </r>
  <r>
    <x v="175"/>
    <n v="3"/>
    <n v="213"/>
    <n v="0"/>
    <n v="108"/>
    <n v="3"/>
    <n v="168"/>
    <n v="0"/>
    <n v="48"/>
    <x v="6"/>
    <x v="25"/>
    <n v="0.50704225352112675"/>
    <n v="0.2857142857142857"/>
    <n v="105"/>
    <n v="120"/>
    <n v="13"/>
    <n v="0.30255681818181818"/>
    <n v="0.15340909090909091"/>
    <n v="0.23863636363636365"/>
    <n v="6.8181818181818177E-2"/>
    <n v="0.27059659090909094"/>
  </r>
  <r>
    <x v="176"/>
    <n v="2"/>
    <n v="215"/>
    <n v="0"/>
    <n v="108"/>
    <n v="2"/>
    <n v="170"/>
    <n v="0"/>
    <n v="48"/>
    <x v="6"/>
    <x v="25"/>
    <n v="0.50232558139534889"/>
    <n v="0.28235294117647058"/>
    <n v="107"/>
    <n v="122"/>
    <n v="13"/>
    <n v="0.30539772727272729"/>
    <n v="0.15340909090909091"/>
    <n v="0.24147727272727273"/>
    <n v="6.8181818181818177E-2"/>
    <n v="0.2734375"/>
  </r>
  <r>
    <x v="177"/>
    <n v="3"/>
    <n v="218"/>
    <n v="0"/>
    <n v="108"/>
    <n v="3"/>
    <n v="173"/>
    <n v="0"/>
    <n v="48"/>
    <x v="6"/>
    <x v="25"/>
    <n v="0.49541284403669728"/>
    <n v="0.2774566473988439"/>
    <n v="110"/>
    <n v="125"/>
    <n v="13"/>
    <n v="0.30965909090909088"/>
    <n v="0.15340909090909091"/>
    <n v="0.24573863636363635"/>
    <n v="6.8181818181818177E-2"/>
    <n v="0.27769886363636365"/>
  </r>
  <r>
    <x v="178"/>
    <n v="2"/>
    <n v="220"/>
    <n v="0"/>
    <n v="108"/>
    <n v="2"/>
    <n v="175"/>
    <n v="0"/>
    <n v="48"/>
    <x v="6"/>
    <x v="25"/>
    <n v="0.49090909090909091"/>
    <n v="0.2742857142857143"/>
    <n v="112"/>
    <n v="127"/>
    <n v="13"/>
    <n v="0.3125"/>
    <n v="0.15340909090909091"/>
    <n v="0.24857954545454544"/>
    <n v="6.8181818181818177E-2"/>
    <n v="0.28053977272727271"/>
  </r>
  <r>
    <x v="179"/>
    <n v="3"/>
    <n v="223"/>
    <n v="0"/>
    <n v="108"/>
    <n v="2"/>
    <n v="177"/>
    <n v="0"/>
    <n v="48"/>
    <x v="6"/>
    <x v="25"/>
    <n v="0.48430493273542602"/>
    <n v="0.2711864406779661"/>
    <n v="115"/>
    <n v="129"/>
    <n v="13"/>
    <n v="0.31676136363636365"/>
    <n v="0.15340909090909091"/>
    <n v="0.25142045454545453"/>
    <n v="6.8181818181818177E-2"/>
    <n v="0.28409090909090906"/>
  </r>
  <r>
    <x v="180"/>
    <n v="0"/>
    <n v="223"/>
    <n v="0"/>
    <n v="108"/>
    <n v="1"/>
    <n v="178"/>
    <n v="0"/>
    <n v="48"/>
    <x v="6"/>
    <x v="25"/>
    <n v="0.48430493273542602"/>
    <n v="0.2696629213483146"/>
    <n v="115"/>
    <n v="130"/>
    <n v="13"/>
    <n v="0.31676136363636365"/>
    <n v="0.15340909090909091"/>
    <n v="0.25284090909090912"/>
    <n v="6.8181818181818177E-2"/>
    <n v="0.28480113636363635"/>
  </r>
  <r>
    <x v="181"/>
    <n v="0"/>
    <n v="223"/>
    <n v="0"/>
    <n v="108"/>
    <n v="2"/>
    <n v="180"/>
    <n v="0"/>
    <n v="48"/>
    <x v="6"/>
    <x v="26"/>
    <n v="0.48430493273542602"/>
    <n v="0.26666666666666666"/>
    <n v="115"/>
    <n v="132"/>
    <n v="12"/>
    <n v="0.31676136363636365"/>
    <n v="0.15340909090909091"/>
    <n v="0.25568181818181818"/>
    <n v="6.8181818181818177E-2"/>
    <n v="0.28622159090909094"/>
  </r>
  <r>
    <x v="182"/>
    <n v="2"/>
    <n v="225"/>
    <n v="0"/>
    <n v="108"/>
    <n v="1"/>
    <n v="181"/>
    <n v="0"/>
    <n v="48"/>
    <x v="6"/>
    <x v="26"/>
    <n v="0.48"/>
    <n v="0.26519337016574585"/>
    <n v="117"/>
    <n v="133"/>
    <n v="12"/>
    <n v="0.31960227272727271"/>
    <n v="0.15340909090909091"/>
    <n v="0.25710227272727271"/>
    <n v="6.8181818181818177E-2"/>
    <n v="0.28835227272727271"/>
  </r>
  <r>
    <x v="183"/>
    <n v="3"/>
    <n v="228"/>
    <n v="0"/>
    <n v="108"/>
    <n v="2"/>
    <n v="183"/>
    <n v="0"/>
    <n v="48"/>
    <x v="6"/>
    <x v="26"/>
    <n v="0.47368421052631576"/>
    <n v="0.26229508196721313"/>
    <n v="120"/>
    <n v="135"/>
    <n v="12"/>
    <n v="0.32386363636363635"/>
    <n v="0.15340909090909091"/>
    <n v="0.25994318181818182"/>
    <n v="6.8181818181818177E-2"/>
    <n v="0.29190340909090906"/>
  </r>
  <r>
    <x v="184"/>
    <n v="2"/>
    <n v="230"/>
    <n v="0"/>
    <n v="108"/>
    <n v="2"/>
    <n v="185"/>
    <n v="0"/>
    <n v="48"/>
    <x v="6"/>
    <x v="26"/>
    <n v="0.46956521739130436"/>
    <n v="0.25945945945945947"/>
    <n v="122"/>
    <n v="137"/>
    <n v="12"/>
    <n v="0.32670454545454547"/>
    <n v="0.15340909090909091"/>
    <n v="0.26278409090909088"/>
    <n v="6.8181818181818177E-2"/>
    <n v="0.29474431818181818"/>
  </r>
  <r>
    <x v="185"/>
    <n v="3"/>
    <n v="233"/>
    <n v="0"/>
    <n v="108"/>
    <n v="3"/>
    <n v="188"/>
    <n v="0"/>
    <n v="48"/>
    <x v="6"/>
    <x v="26"/>
    <n v="0.46351931330472101"/>
    <n v="0.25531914893617019"/>
    <n v="125"/>
    <n v="140"/>
    <n v="12"/>
    <n v="0.33096590909090912"/>
    <n v="0.15340909090909091"/>
    <n v="0.26704545454545453"/>
    <n v="6.8181818181818177E-2"/>
    <n v="0.29900568181818182"/>
  </r>
  <r>
    <x v="186"/>
    <n v="2"/>
    <n v="235"/>
    <n v="0"/>
    <n v="108"/>
    <n v="1"/>
    <n v="189"/>
    <n v="0"/>
    <n v="48"/>
    <x v="6"/>
    <x v="26"/>
    <n v="0.45957446808510638"/>
    <n v="0.25396825396825395"/>
    <n v="127"/>
    <n v="141"/>
    <n v="12"/>
    <n v="0.33380681818181818"/>
    <n v="0.15340909090909091"/>
    <n v="0.26846590909090912"/>
    <n v="6.8181818181818177E-2"/>
    <n v="0.30113636363636365"/>
  </r>
  <r>
    <x v="187"/>
    <n v="0"/>
    <n v="235"/>
    <n v="0"/>
    <n v="108"/>
    <n v="2"/>
    <n v="191"/>
    <n v="0"/>
    <n v="48"/>
    <x v="6"/>
    <x v="26"/>
    <n v="0.45957446808510638"/>
    <n v="0.2513089005235602"/>
    <n v="127"/>
    <n v="143"/>
    <n v="12"/>
    <n v="0.33380681818181818"/>
    <n v="0.15340909090909091"/>
    <n v="0.27130681818181818"/>
    <n v="6.8181818181818177E-2"/>
    <n v="0.30255681818181818"/>
  </r>
  <r>
    <x v="188"/>
    <n v="0"/>
    <n v="235"/>
    <n v="0"/>
    <n v="108"/>
    <n v="1"/>
    <n v="192"/>
    <n v="0"/>
    <n v="48"/>
    <x v="6"/>
    <x v="27"/>
    <n v="0.45957446808510638"/>
    <n v="0.25"/>
    <n v="127"/>
    <n v="144"/>
    <n v="13"/>
    <n v="0.33380681818181818"/>
    <n v="0.15340909090909091"/>
    <n v="0.27272727272727271"/>
    <n v="6.8181818181818177E-2"/>
    <n v="0.30326704545454541"/>
  </r>
  <r>
    <x v="189"/>
    <n v="3"/>
    <n v="238"/>
    <n v="0"/>
    <n v="108"/>
    <n v="1"/>
    <n v="193"/>
    <n v="0"/>
    <n v="48"/>
    <x v="6"/>
    <x v="27"/>
    <n v="0.45378151260504201"/>
    <n v="0.24870466321243523"/>
    <n v="130"/>
    <n v="145"/>
    <n v="13"/>
    <n v="0.33806818181818182"/>
    <n v="0.15340909090909091"/>
    <n v="0.27414772727272729"/>
    <n v="6.8181818181818177E-2"/>
    <n v="0.30610795454545459"/>
  </r>
  <r>
    <x v="190"/>
    <n v="2"/>
    <n v="240"/>
    <n v="0"/>
    <n v="108"/>
    <n v="2"/>
    <n v="195"/>
    <n v="0"/>
    <n v="48"/>
    <x v="6"/>
    <x v="27"/>
    <n v="0.45"/>
    <n v="0.24615384615384617"/>
    <n v="132"/>
    <n v="147"/>
    <n v="13"/>
    <n v="0.34090909090909088"/>
    <n v="0.15340909090909091"/>
    <n v="0.27698863636363635"/>
    <n v="6.8181818181818177E-2"/>
    <n v="0.30894886363636365"/>
  </r>
  <r>
    <x v="191"/>
    <n v="3"/>
    <n v="243"/>
    <n v="0"/>
    <n v="108"/>
    <n v="3"/>
    <n v="198"/>
    <n v="0"/>
    <n v="48"/>
    <x v="6"/>
    <x v="27"/>
    <n v="0.44444444444444442"/>
    <n v="0.24242424242424243"/>
    <n v="135"/>
    <n v="150"/>
    <n v="13"/>
    <n v="0.34517045454545453"/>
    <n v="0.15340909090909091"/>
    <n v="0.28125"/>
    <n v="6.8181818181818177E-2"/>
    <n v="0.31321022727272729"/>
  </r>
  <r>
    <x v="192"/>
    <n v="2"/>
    <n v="245"/>
    <n v="0"/>
    <n v="108"/>
    <n v="2"/>
    <n v="200"/>
    <n v="0"/>
    <n v="48"/>
    <x v="6"/>
    <x v="27"/>
    <n v="0.44081632653061226"/>
    <n v="0.24"/>
    <n v="137"/>
    <n v="152"/>
    <n v="13"/>
    <n v="0.34801136363636365"/>
    <n v="0.15340909090909091"/>
    <n v="0.28409090909090912"/>
    <n v="6.8181818181818177E-2"/>
    <n v="0.31605113636363635"/>
  </r>
  <r>
    <x v="193"/>
    <n v="3"/>
    <n v="248"/>
    <n v="0"/>
    <n v="108"/>
    <n v="1"/>
    <n v="201"/>
    <n v="0"/>
    <n v="48"/>
    <x v="6"/>
    <x v="27"/>
    <n v="0.43548387096774194"/>
    <n v="0.23880597014925373"/>
    <n v="140"/>
    <n v="153"/>
    <n v="13"/>
    <n v="0.35227272727272729"/>
    <n v="0.15340909090909091"/>
    <n v="0.28551136363636365"/>
    <n v="6.8181818181818177E-2"/>
    <n v="0.31889204545454547"/>
  </r>
  <r>
    <x v="194"/>
    <n v="0"/>
    <n v="248"/>
    <n v="0"/>
    <n v="108"/>
    <n v="2"/>
    <n v="203"/>
    <n v="0"/>
    <n v="48"/>
    <x v="6"/>
    <x v="27"/>
    <n v="0.43548387096774194"/>
    <n v="0.23645320197044334"/>
    <n v="140"/>
    <n v="155"/>
    <n v="13"/>
    <n v="0.35227272727272729"/>
    <n v="0.15340909090909091"/>
    <n v="0.28835227272727271"/>
    <n v="6.8181818181818177E-2"/>
    <n v="0.3203125"/>
  </r>
  <r>
    <x v="195"/>
    <n v="0"/>
    <n v="248"/>
    <n v="0"/>
    <n v="108"/>
    <n v="3"/>
    <n v="206"/>
    <n v="0"/>
    <n v="48"/>
    <x v="6"/>
    <x v="28"/>
    <n v="0.43548387096774194"/>
    <n v="0.23300970873786409"/>
    <n v="140"/>
    <n v="158"/>
    <n v="2"/>
    <n v="0.35227272727272729"/>
    <n v="0.15340909090909091"/>
    <n v="0.29261363636363635"/>
    <n v="6.8181818181818177E-2"/>
    <n v="0.32244318181818182"/>
  </r>
  <r>
    <x v="196"/>
    <n v="2"/>
    <n v="250"/>
    <n v="0"/>
    <n v="108"/>
    <n v="0"/>
    <n v="206"/>
    <n v="0"/>
    <n v="48"/>
    <x v="6"/>
    <x v="28"/>
    <n v="0.432"/>
    <n v="0.23300970873786409"/>
    <n v="142"/>
    <n v="158"/>
    <n v="2"/>
    <n v="0.35511363636363635"/>
    <n v="0.15340909090909091"/>
    <n v="0.29261363636363635"/>
    <n v="6.8181818181818177E-2"/>
    <n v="0.32386363636363635"/>
  </r>
  <r>
    <x v="197"/>
    <n v="3"/>
    <n v="253"/>
    <n v="0"/>
    <n v="108"/>
    <n v="2"/>
    <n v="208"/>
    <n v="0"/>
    <n v="48"/>
    <x v="7"/>
    <x v="28"/>
    <n v="0.4268774703557312"/>
    <n v="0.23076923076923078"/>
    <n v="145"/>
    <n v="160"/>
    <n v="12"/>
    <n v="0.359375"/>
    <n v="0.15340909090909091"/>
    <n v="0.29545454545454547"/>
    <n v="6.8181818181818177E-2"/>
    <n v="0.32741477272727271"/>
  </r>
  <r>
    <x v="198"/>
    <n v="3"/>
    <n v="256"/>
    <n v="0"/>
    <n v="108"/>
    <n v="2"/>
    <n v="210"/>
    <n v="0"/>
    <n v="48"/>
    <x v="7"/>
    <x v="28"/>
    <n v="0.421875"/>
    <n v="0.22857142857142856"/>
    <n v="148"/>
    <n v="162"/>
    <n v="12"/>
    <n v="0.36363636363636365"/>
    <n v="0.15340909090909091"/>
    <n v="0.29829545454545453"/>
    <n v="6.8181818181818177E-2"/>
    <n v="0.33096590909090906"/>
  </r>
  <r>
    <x v="199"/>
    <n v="3"/>
    <n v="259"/>
    <n v="0"/>
    <n v="108"/>
    <n v="3"/>
    <n v="213"/>
    <n v="0"/>
    <n v="48"/>
    <x v="7"/>
    <x v="28"/>
    <n v="0.41698841698841699"/>
    <n v="0.22535211267605634"/>
    <n v="151"/>
    <n v="165"/>
    <n v="12"/>
    <n v="0.36789772727272729"/>
    <n v="0.15340909090909091"/>
    <n v="0.30255681818181818"/>
    <n v="6.8181818181818177E-2"/>
    <n v="0.33522727272727271"/>
  </r>
  <r>
    <x v="200"/>
    <n v="3"/>
    <n v="262"/>
    <n v="0"/>
    <n v="108"/>
    <n v="0"/>
    <n v="213"/>
    <n v="0"/>
    <n v="48"/>
    <x v="7"/>
    <x v="28"/>
    <n v="0.41221374045801529"/>
    <n v="0.22535211267605634"/>
    <n v="154"/>
    <n v="165"/>
    <n v="12"/>
    <n v="0.37215909090909088"/>
    <n v="0.15340909090909091"/>
    <n v="0.30255681818181818"/>
    <n v="6.8181818181818177E-2"/>
    <n v="0.33735795454545453"/>
  </r>
  <r>
    <x v="201"/>
    <n v="0"/>
    <n v="262"/>
    <n v="0"/>
    <n v="108"/>
    <n v="2"/>
    <n v="215"/>
    <n v="0"/>
    <n v="48"/>
    <x v="7"/>
    <x v="28"/>
    <n v="0.41221374045801529"/>
    <n v="0.22325581395348837"/>
    <n v="154"/>
    <n v="167"/>
    <n v="12"/>
    <n v="0.37215909090909088"/>
    <n v="0.15340909090909091"/>
    <n v="0.30539772727272729"/>
    <n v="6.8181818181818177E-2"/>
    <n v="0.33877840909090906"/>
  </r>
  <r>
    <x v="202"/>
    <n v="0"/>
    <n v="262"/>
    <n v="0"/>
    <n v="108"/>
    <n v="3"/>
    <n v="218"/>
    <n v="0"/>
    <n v="48"/>
    <x v="7"/>
    <x v="29"/>
    <n v="0.41221374045801529"/>
    <n v="0.22018348623853212"/>
    <n v="154"/>
    <n v="170"/>
    <n v="15"/>
    <n v="0.37215909090909088"/>
    <n v="0.15340909090909091"/>
    <n v="0.30965909090909088"/>
    <n v="6.8181818181818177E-2"/>
    <n v="0.34090909090909088"/>
  </r>
  <r>
    <x v="203"/>
    <n v="3"/>
    <n v="265"/>
    <n v="0"/>
    <n v="108"/>
    <n v="1"/>
    <n v="219"/>
    <n v="0"/>
    <n v="48"/>
    <x v="7"/>
    <x v="29"/>
    <n v="0.40754716981132078"/>
    <n v="0.21917808219178081"/>
    <n v="157"/>
    <n v="171"/>
    <n v="15"/>
    <n v="0.37642045454545453"/>
    <n v="0.15340909090909091"/>
    <n v="0.31107954545454547"/>
    <n v="6.8181818181818177E-2"/>
    <n v="0.34375"/>
  </r>
  <r>
    <x v="204"/>
    <n v="3"/>
    <n v="268"/>
    <n v="0"/>
    <n v="108"/>
    <n v="1"/>
    <n v="220"/>
    <n v="0"/>
    <n v="48"/>
    <x v="7"/>
    <x v="29"/>
    <n v="0.40298507462686567"/>
    <n v="0.21818181818181817"/>
    <n v="160"/>
    <n v="172"/>
    <n v="15"/>
    <n v="0.38068181818181818"/>
    <n v="0.15340909090909091"/>
    <n v="0.3125"/>
    <n v="6.8181818181818177E-2"/>
    <n v="0.34659090909090906"/>
  </r>
  <r>
    <x v="205"/>
    <n v="3"/>
    <n v="271"/>
    <n v="0"/>
    <n v="108"/>
    <n v="3"/>
    <n v="223"/>
    <n v="0"/>
    <n v="48"/>
    <x v="7"/>
    <x v="29"/>
    <n v="0.39852398523985239"/>
    <n v="0.21524663677130046"/>
    <n v="163"/>
    <n v="175"/>
    <n v="15"/>
    <n v="0.38494318181818182"/>
    <n v="0.15340909090909091"/>
    <n v="0.31676136363636365"/>
    <n v="6.8181818181818177E-2"/>
    <n v="0.35085227272727271"/>
  </r>
  <r>
    <x v="206"/>
    <n v="3"/>
    <n v="274"/>
    <n v="0"/>
    <n v="108"/>
    <n v="2"/>
    <n v="225"/>
    <n v="0"/>
    <n v="48"/>
    <x v="7"/>
    <x v="29"/>
    <n v="0.39416058394160586"/>
    <n v="0.21333333333333335"/>
    <n v="166"/>
    <n v="177"/>
    <n v="15"/>
    <n v="0.38920454545454547"/>
    <n v="0.15340909090909091"/>
    <n v="0.31960227272727271"/>
    <n v="6.8181818181818177E-2"/>
    <n v="0.35440340909090906"/>
  </r>
  <r>
    <x v="207"/>
    <n v="3"/>
    <n v="277"/>
    <n v="0"/>
    <n v="108"/>
    <n v="1"/>
    <n v="226"/>
    <n v="0"/>
    <n v="48"/>
    <x v="7"/>
    <x v="29"/>
    <n v="0.38989169675090252"/>
    <n v="0.21238938053097345"/>
    <n v="169"/>
    <n v="178"/>
    <n v="15"/>
    <n v="0.39346590909090912"/>
    <n v="0.15340909090909091"/>
    <n v="0.32102272727272729"/>
    <n v="6.8181818181818177E-2"/>
    <n v="0.35724431818181823"/>
  </r>
  <r>
    <x v="208"/>
    <n v="0"/>
    <n v="277"/>
    <n v="0"/>
    <n v="108"/>
    <n v="1"/>
    <n v="227"/>
    <n v="0"/>
    <n v="48"/>
    <x v="7"/>
    <x v="29"/>
    <n v="0.38989169675090252"/>
    <n v="0.21145374449339208"/>
    <n v="169"/>
    <n v="179"/>
    <n v="15"/>
    <n v="0.39346590909090912"/>
    <n v="0.15340909090909091"/>
    <n v="0.32244318181818182"/>
    <n v="6.8181818181818177E-2"/>
    <n v="0.35795454545454547"/>
  </r>
  <r>
    <x v="209"/>
    <n v="0"/>
    <n v="277"/>
    <n v="0"/>
    <n v="108"/>
    <n v="4"/>
    <n v="231"/>
    <n v="0"/>
    <n v="48"/>
    <x v="7"/>
    <x v="30"/>
    <n v="0.38989169675090252"/>
    <n v="0.20779220779220781"/>
    <n v="169"/>
    <n v="183"/>
    <n v="6"/>
    <n v="0.39346590909090912"/>
    <n v="0.15340909090909091"/>
    <n v="0.328125"/>
    <n v="6.8181818181818177E-2"/>
    <n v="0.36079545454545459"/>
  </r>
  <r>
    <x v="210"/>
    <n v="3"/>
    <n v="280"/>
    <n v="0"/>
    <n v="108"/>
    <n v="1"/>
    <n v="232"/>
    <n v="0"/>
    <n v="48"/>
    <x v="7"/>
    <x v="30"/>
    <n v="0.38571428571428573"/>
    <n v="0.20689655172413793"/>
    <n v="172"/>
    <n v="184"/>
    <n v="6"/>
    <n v="0.39772727272727271"/>
    <n v="0.15340909090909091"/>
    <n v="0.32954545454545453"/>
    <n v="6.8181818181818177E-2"/>
    <n v="0.36363636363636365"/>
  </r>
  <r>
    <x v="211"/>
    <n v="3"/>
    <n v="283"/>
    <n v="0"/>
    <n v="108"/>
    <n v="1"/>
    <n v="233"/>
    <n v="0"/>
    <n v="48"/>
    <x v="7"/>
    <x v="30"/>
    <n v="0.38162544169611307"/>
    <n v="0.20600858369098712"/>
    <n v="175"/>
    <n v="185"/>
    <n v="6"/>
    <n v="0.40198863636363635"/>
    <n v="0.15340909090909091"/>
    <n v="0.33096590909090912"/>
    <n v="6.8181818181818177E-2"/>
    <n v="0.36647727272727271"/>
  </r>
  <r>
    <x v="212"/>
    <n v="0"/>
    <n v="283"/>
    <n v="0"/>
    <n v="108"/>
    <n v="2"/>
    <n v="235"/>
    <n v="0"/>
    <n v="48"/>
    <x v="7"/>
    <x v="30"/>
    <n v="0.38162544169611307"/>
    <n v="0.20425531914893616"/>
    <n v="175"/>
    <n v="187"/>
    <n v="6"/>
    <n v="0.40198863636363635"/>
    <n v="0.15340909090909091"/>
    <n v="0.33380681818181818"/>
    <n v="6.8181818181818177E-2"/>
    <n v="0.36789772727272729"/>
  </r>
  <r>
    <x v="213"/>
    <n v="0"/>
    <n v="283"/>
    <n v="0"/>
    <n v="108"/>
    <n v="3"/>
    <n v="238"/>
    <n v="0"/>
    <n v="48"/>
    <x v="7"/>
    <x v="30"/>
    <n v="0.38162544169611307"/>
    <n v="0.20168067226890757"/>
    <n v="175"/>
    <n v="190"/>
    <n v="6"/>
    <n v="0.40198863636363635"/>
    <n v="0.15340909090909091"/>
    <n v="0.33806818181818182"/>
    <n v="6.8181818181818177E-2"/>
    <n v="0.37002840909090906"/>
  </r>
  <r>
    <x v="214"/>
    <n v="0"/>
    <n v="283"/>
    <n v="0"/>
    <n v="108"/>
    <n v="1"/>
    <n v="239"/>
    <n v="0"/>
    <n v="48"/>
    <x v="7"/>
    <x v="30"/>
    <n v="0.38162544169611307"/>
    <n v="0.20083682008368201"/>
    <n v="175"/>
    <n v="191"/>
    <n v="6"/>
    <n v="0.40198863636363635"/>
    <n v="0.15340909090909091"/>
    <n v="0.33948863636363635"/>
    <n v="6.8181818181818177E-2"/>
    <n v="0.37073863636363635"/>
  </r>
  <r>
    <x v="215"/>
    <n v="0"/>
    <n v="283"/>
    <n v="0"/>
    <n v="108"/>
    <n v="1"/>
    <n v="240"/>
    <n v="0"/>
    <n v="48"/>
    <x v="7"/>
    <x v="30"/>
    <n v="0.38162544169611307"/>
    <n v="0.2"/>
    <n v="175"/>
    <n v="192"/>
    <n v="6"/>
    <n v="0.40198863636363635"/>
    <n v="0.15340909090909091"/>
    <n v="0.34090909090909088"/>
    <n v="6.8181818181818177E-2"/>
    <n v="0.37144886363636365"/>
  </r>
  <r>
    <x v="216"/>
    <n v="0"/>
    <n v="283"/>
    <n v="0"/>
    <n v="108"/>
    <n v="3"/>
    <n v="243"/>
    <n v="0"/>
    <n v="48"/>
    <x v="7"/>
    <x v="31"/>
    <n v="0.38162544169611307"/>
    <n v="0.19753086419753085"/>
    <n v="175"/>
    <n v="195"/>
    <n v="15"/>
    <n v="0.40198863636363635"/>
    <n v="0.15340909090909091"/>
    <n v="0.34517045454545453"/>
    <n v="6.8181818181818177E-2"/>
    <n v="0.37357954545454541"/>
  </r>
  <r>
    <x v="217"/>
    <n v="3"/>
    <n v="286"/>
    <n v="0"/>
    <n v="108"/>
    <n v="2"/>
    <n v="245"/>
    <n v="0"/>
    <n v="48"/>
    <x v="7"/>
    <x v="31"/>
    <n v="0.3776223776223776"/>
    <n v="0.19591836734693877"/>
    <n v="178"/>
    <n v="197"/>
    <n v="15"/>
    <n v="0.40625"/>
    <n v="0.15340909090909091"/>
    <n v="0.34801136363636365"/>
    <n v="6.8181818181818177E-2"/>
    <n v="0.37713068181818182"/>
  </r>
  <r>
    <x v="218"/>
    <n v="3"/>
    <n v="289"/>
    <n v="0"/>
    <n v="108"/>
    <n v="1"/>
    <n v="246"/>
    <n v="0"/>
    <n v="48"/>
    <x v="7"/>
    <x v="31"/>
    <n v="0.37370242214532873"/>
    <n v="0.1951219512195122"/>
    <n v="181"/>
    <n v="198"/>
    <n v="15"/>
    <n v="0.41051136363636365"/>
    <n v="0.15340909090909091"/>
    <n v="0.34943181818181818"/>
    <n v="6.8181818181818177E-2"/>
    <n v="0.37997159090909094"/>
  </r>
  <r>
    <x v="219"/>
    <n v="3"/>
    <n v="292"/>
    <n v="0"/>
    <n v="108"/>
    <n v="2"/>
    <n v="248"/>
    <n v="0"/>
    <n v="48"/>
    <x v="7"/>
    <x v="31"/>
    <n v="0.36986301369863012"/>
    <n v="0.19354838709677419"/>
    <n v="184"/>
    <n v="200"/>
    <n v="15"/>
    <n v="0.41477272727272729"/>
    <n v="0.15340909090909091"/>
    <n v="0.35227272727272729"/>
    <n v="6.8181818181818177E-2"/>
    <n v="0.38352272727272729"/>
  </r>
  <r>
    <x v="220"/>
    <n v="3"/>
    <n v="295"/>
    <n v="0"/>
    <n v="108"/>
    <n v="3"/>
    <n v="251"/>
    <n v="0"/>
    <n v="48"/>
    <x v="7"/>
    <x v="31"/>
    <n v="0.36610169491525424"/>
    <n v="0.19123505976095617"/>
    <n v="187"/>
    <n v="203"/>
    <n v="15"/>
    <n v="0.41903409090909088"/>
    <n v="0.15340909090909091"/>
    <n v="0.35653409090909088"/>
    <n v="6.8181818181818177E-2"/>
    <n v="0.38778409090909088"/>
  </r>
  <r>
    <x v="221"/>
    <n v="3"/>
    <n v="298"/>
    <n v="0"/>
    <n v="108"/>
    <n v="2"/>
    <n v="253"/>
    <n v="0"/>
    <n v="48"/>
    <x v="7"/>
    <x v="31"/>
    <n v="0.36241610738255031"/>
    <n v="0.18972332015810275"/>
    <n v="190"/>
    <n v="205"/>
    <n v="15"/>
    <n v="0.42329545454545453"/>
    <n v="0.15340909090909091"/>
    <n v="0.359375"/>
    <n v="6.8181818181818177E-2"/>
    <n v="0.39133522727272729"/>
  </r>
  <r>
    <x v="222"/>
    <n v="0"/>
    <n v="298"/>
    <n v="0"/>
    <n v="108"/>
    <n v="0"/>
    <n v="253"/>
    <n v="0"/>
    <n v="48"/>
    <x v="7"/>
    <x v="31"/>
    <n v="0.36241610738255031"/>
    <n v="0.18972332015810275"/>
    <n v="190"/>
    <n v="205"/>
    <n v="15"/>
    <n v="0.42329545454545453"/>
    <n v="0.15340909090909091"/>
    <n v="0.359375"/>
    <n v="6.8181818181818177E-2"/>
    <n v="0.39133522727272729"/>
  </r>
  <r>
    <x v="223"/>
    <n v="0"/>
    <n v="298"/>
    <n v="0"/>
    <n v="108"/>
    <n v="4"/>
    <n v="257"/>
    <n v="0"/>
    <n v="48"/>
    <x v="7"/>
    <x v="32"/>
    <n v="0.36241610738255031"/>
    <n v="0.1867704280155642"/>
    <n v="190"/>
    <n v="209"/>
    <n v="9"/>
    <n v="0.42329545454545453"/>
    <n v="0.15340909090909091"/>
    <n v="0.36505681818181818"/>
    <n v="6.8181818181818177E-2"/>
    <n v="0.39417613636363635"/>
  </r>
  <r>
    <x v="224"/>
    <n v="3"/>
    <n v="301"/>
    <n v="0"/>
    <n v="108"/>
    <n v="1"/>
    <n v="258"/>
    <n v="0"/>
    <n v="48"/>
    <x v="7"/>
    <x v="32"/>
    <n v="0.35880398671096347"/>
    <n v="0.18604651162790697"/>
    <n v="193"/>
    <n v="210"/>
    <n v="9"/>
    <n v="0.42755681818181818"/>
    <n v="0.15340909090909091"/>
    <n v="0.36647727272727271"/>
    <n v="6.8181818181818177E-2"/>
    <n v="0.39701704545454541"/>
  </r>
  <r>
    <x v="225"/>
    <n v="3"/>
    <n v="304"/>
    <n v="0"/>
    <n v="108"/>
    <n v="1"/>
    <n v="259"/>
    <n v="0"/>
    <n v="48"/>
    <x v="7"/>
    <x v="32"/>
    <n v="0.35526315789473684"/>
    <n v="0.18532818532818532"/>
    <n v="196"/>
    <n v="211"/>
    <n v="9"/>
    <n v="0.43181818181818182"/>
    <n v="0.15340909090909091"/>
    <n v="0.36789772727272729"/>
    <n v="6.8181818181818177E-2"/>
    <n v="0.39985795454545459"/>
  </r>
  <r>
    <x v="226"/>
    <n v="3"/>
    <n v="307"/>
    <n v="0"/>
    <n v="108"/>
    <n v="3"/>
    <n v="262"/>
    <n v="0"/>
    <n v="48"/>
    <x v="7"/>
    <x v="32"/>
    <n v="0.3517915309446254"/>
    <n v="0.18320610687022901"/>
    <n v="199"/>
    <n v="214"/>
    <n v="9"/>
    <n v="0.43607954545454547"/>
    <n v="0.15340909090909091"/>
    <n v="0.37215909090909088"/>
    <n v="6.8181818181818177E-2"/>
    <n v="0.40411931818181818"/>
  </r>
  <r>
    <x v="227"/>
    <n v="3"/>
    <n v="310"/>
    <n v="0"/>
    <n v="108"/>
    <n v="3"/>
    <n v="265"/>
    <n v="0"/>
    <n v="48"/>
    <x v="8"/>
    <x v="32"/>
    <n v="0.34838709677419355"/>
    <n v="0.1811320754716981"/>
    <n v="202"/>
    <n v="217"/>
    <n v="6"/>
    <n v="0.44034090909090912"/>
    <n v="0.15340909090909091"/>
    <n v="0.37642045454545453"/>
    <n v="6.8181818181818177E-2"/>
    <n v="0.40838068181818182"/>
  </r>
  <r>
    <x v="228"/>
    <n v="3"/>
    <n v="313"/>
    <n v="0"/>
    <n v="108"/>
    <n v="2"/>
    <n v="267"/>
    <n v="0"/>
    <n v="48"/>
    <x v="8"/>
    <x v="32"/>
    <n v="0.34504792332268369"/>
    <n v="0.1797752808988764"/>
    <n v="205"/>
    <n v="219"/>
    <n v="6"/>
    <n v="0.44460227272727271"/>
    <n v="0.15340909090909091"/>
    <n v="0.37926136363636365"/>
    <n v="6.8181818181818177E-2"/>
    <n v="0.41193181818181818"/>
  </r>
  <r>
    <x v="229"/>
    <n v="0"/>
    <n v="313"/>
    <n v="0"/>
    <n v="108"/>
    <n v="2"/>
    <n v="269"/>
    <n v="0"/>
    <n v="48"/>
    <x v="8"/>
    <x v="32"/>
    <n v="0.34504792332268369"/>
    <n v="0.17843866171003717"/>
    <n v="205"/>
    <n v="221"/>
    <n v="6"/>
    <n v="0.44460227272727271"/>
    <n v="0.15340909090909091"/>
    <n v="0.38210227272727271"/>
    <n v="6.8181818181818177E-2"/>
    <n v="0.41335227272727271"/>
  </r>
  <r>
    <x v="230"/>
    <n v="0"/>
    <n v="313"/>
    <n v="0"/>
    <n v="108"/>
    <n v="2"/>
    <n v="271"/>
    <n v="0"/>
    <n v="48"/>
    <x v="8"/>
    <x v="33"/>
    <n v="0.34504792332268369"/>
    <n v="0.17712177121771217"/>
    <n v="205"/>
    <n v="223"/>
    <n v="15"/>
    <n v="0.44460227272727271"/>
    <n v="0.15340909090909091"/>
    <n v="0.38494318181818182"/>
    <n v="6.8181818181818177E-2"/>
    <n v="0.41477272727272729"/>
  </r>
  <r>
    <x v="231"/>
    <n v="3"/>
    <n v="316"/>
    <n v="0"/>
    <n v="108"/>
    <n v="1"/>
    <n v="272"/>
    <n v="0"/>
    <n v="48"/>
    <x v="8"/>
    <x v="33"/>
    <n v="0.34177215189873417"/>
    <n v="0.17647058823529413"/>
    <n v="208"/>
    <n v="224"/>
    <n v="15"/>
    <n v="0.44886363636363635"/>
    <n v="0.15340909090909091"/>
    <n v="0.38636363636363635"/>
    <n v="6.8181818181818177E-2"/>
    <n v="0.41761363636363635"/>
  </r>
  <r>
    <x v="232"/>
    <n v="3"/>
    <n v="319"/>
    <n v="0"/>
    <n v="108"/>
    <n v="0"/>
    <n v="272"/>
    <n v="0"/>
    <n v="48"/>
    <x v="8"/>
    <x v="33"/>
    <n v="0.33855799373040751"/>
    <n v="0.17647058823529413"/>
    <n v="211"/>
    <n v="224"/>
    <n v="15"/>
    <n v="0.453125"/>
    <n v="0.15340909090909091"/>
    <n v="0.38636363636363635"/>
    <n v="6.8181818181818177E-2"/>
    <n v="0.41974431818181818"/>
  </r>
  <r>
    <x v="233"/>
    <n v="3"/>
    <n v="322"/>
    <n v="0"/>
    <n v="108"/>
    <n v="1"/>
    <n v="273"/>
    <n v="0"/>
    <n v="48"/>
    <x v="8"/>
    <x v="33"/>
    <n v="0.33540372670807456"/>
    <n v="0.17582417582417584"/>
    <n v="214"/>
    <n v="225"/>
    <n v="15"/>
    <n v="0.45738636363636365"/>
    <n v="0.15340909090909091"/>
    <n v="0.38778409090909088"/>
    <n v="6.8181818181818177E-2"/>
    <n v="0.42258522727272729"/>
  </r>
  <r>
    <x v="234"/>
    <n v="3"/>
    <n v="325"/>
    <n v="0"/>
    <n v="108"/>
    <n v="2"/>
    <n v="275"/>
    <n v="0"/>
    <n v="48"/>
    <x v="8"/>
    <x v="33"/>
    <n v="0.3323076923076923"/>
    <n v="0.17454545454545456"/>
    <n v="217"/>
    <n v="227"/>
    <n v="15"/>
    <n v="0.46164772727272729"/>
    <n v="0.15340909090909091"/>
    <n v="0.390625"/>
    <n v="6.8181818181818177E-2"/>
    <n v="0.42613636363636365"/>
  </r>
  <r>
    <x v="235"/>
    <n v="3"/>
    <n v="328"/>
    <n v="0"/>
    <n v="108"/>
    <n v="2"/>
    <n v="277"/>
    <n v="0"/>
    <n v="48"/>
    <x v="8"/>
    <x v="33"/>
    <n v="0.32926829268292684"/>
    <n v="0.17328519855595667"/>
    <n v="220"/>
    <n v="229"/>
    <n v="15"/>
    <n v="0.46590909090909088"/>
    <n v="0.15340909090909091"/>
    <n v="0.39346590909090912"/>
    <n v="6.8181818181818177E-2"/>
    <n v="0.4296875"/>
  </r>
  <r>
    <x v="236"/>
    <n v="0"/>
    <n v="328"/>
    <n v="0"/>
    <n v="108"/>
    <n v="1"/>
    <n v="278"/>
    <n v="0"/>
    <n v="48"/>
    <x v="8"/>
    <x v="33"/>
    <n v="0.32926829268292684"/>
    <n v="0.17266187050359713"/>
    <n v="220"/>
    <n v="230"/>
    <n v="15"/>
    <n v="0.46590909090909088"/>
    <n v="0.15340909090909091"/>
    <n v="0.39488636363636365"/>
    <n v="6.8181818181818177E-2"/>
    <n v="0.43039772727272729"/>
  </r>
  <r>
    <x v="237"/>
    <n v="0"/>
    <n v="328"/>
    <n v="0"/>
    <n v="108"/>
    <n v="3"/>
    <n v="281"/>
    <n v="0"/>
    <n v="48"/>
    <x v="8"/>
    <x v="34"/>
    <n v="0.32926829268292684"/>
    <n v="0.1708185053380783"/>
    <n v="220"/>
    <n v="233"/>
    <n v="15"/>
    <n v="0.46590909090909088"/>
    <n v="0.15340909090909091"/>
    <n v="0.39914772727272729"/>
    <n v="6.8181818181818177E-2"/>
    <n v="0.43252840909090906"/>
  </r>
  <r>
    <x v="238"/>
    <n v="3"/>
    <n v="331"/>
    <n v="0"/>
    <n v="108"/>
    <n v="2"/>
    <n v="283"/>
    <n v="0"/>
    <n v="48"/>
    <x v="8"/>
    <x v="34"/>
    <n v="0.32628398791540786"/>
    <n v="0.16961130742049471"/>
    <n v="223"/>
    <n v="235"/>
    <n v="15"/>
    <n v="0.47017045454545453"/>
    <n v="0.15340909090909091"/>
    <n v="0.40198863636363635"/>
    <n v="6.8181818181818177E-2"/>
    <n v="0.43607954545454541"/>
  </r>
  <r>
    <x v="239"/>
    <n v="3"/>
    <n v="334"/>
    <n v="0"/>
    <n v="108"/>
    <n v="1"/>
    <n v="284"/>
    <n v="0"/>
    <n v="48"/>
    <x v="8"/>
    <x v="34"/>
    <n v="0.32335329341317365"/>
    <n v="0.16901408450704225"/>
    <n v="226"/>
    <n v="236"/>
    <n v="15"/>
    <n v="0.47443181818181818"/>
    <n v="0.15340909090909091"/>
    <n v="0.40340909090909088"/>
    <n v="6.8181818181818177E-2"/>
    <n v="0.43892045454545453"/>
  </r>
  <r>
    <x v="240"/>
    <n v="3"/>
    <n v="337"/>
    <n v="0"/>
    <n v="108"/>
    <n v="3"/>
    <n v="287"/>
    <n v="0"/>
    <n v="48"/>
    <x v="8"/>
    <x v="34"/>
    <n v="0.32047477744807124"/>
    <n v="0.1672473867595819"/>
    <n v="229"/>
    <n v="239"/>
    <n v="15"/>
    <n v="0.47869318181818182"/>
    <n v="0.15340909090909091"/>
    <n v="0.40767045454545453"/>
    <n v="6.8181818181818177E-2"/>
    <n v="0.44318181818181818"/>
  </r>
  <r>
    <x v="241"/>
    <n v="3"/>
    <n v="340"/>
    <n v="0"/>
    <n v="108"/>
    <n v="4"/>
    <n v="291"/>
    <n v="0"/>
    <n v="48"/>
    <x v="8"/>
    <x v="34"/>
    <n v="0.31764705882352939"/>
    <n v="0.16494845360824742"/>
    <n v="232"/>
    <n v="243"/>
    <n v="15"/>
    <n v="0.48295454545454547"/>
    <n v="0.15340909090909091"/>
    <n v="0.41335227272727271"/>
    <n v="6.8181818181818177E-2"/>
    <n v="0.44815340909090906"/>
  </r>
  <r>
    <x v="242"/>
    <n v="3"/>
    <n v="343"/>
    <n v="0"/>
    <n v="108"/>
    <n v="0"/>
    <n v="291"/>
    <n v="0"/>
    <n v="48"/>
    <x v="8"/>
    <x v="34"/>
    <n v="0.31486880466472306"/>
    <n v="0.16494845360824742"/>
    <n v="235"/>
    <n v="243"/>
    <n v="15"/>
    <n v="0.48721590909090912"/>
    <n v="0.15340909090909091"/>
    <n v="0.41335227272727271"/>
    <n v="6.8181818181818177E-2"/>
    <n v="0.45028409090909094"/>
  </r>
  <r>
    <x v="243"/>
    <n v="0"/>
    <n v="343"/>
    <n v="0"/>
    <n v="108"/>
    <n v="0"/>
    <n v="291"/>
    <n v="0"/>
    <n v="48"/>
    <x v="8"/>
    <x v="34"/>
    <n v="0.31486880466472306"/>
    <n v="0.16494845360824742"/>
    <n v="235"/>
    <n v="243"/>
    <n v="15"/>
    <n v="0.48721590909090912"/>
    <n v="0.15340909090909091"/>
    <n v="0.41335227272727271"/>
    <n v="6.8181818181818177E-2"/>
    <n v="0.45028409090909094"/>
  </r>
  <r>
    <x v="244"/>
    <n v="0"/>
    <n v="343"/>
    <n v="0"/>
    <n v="108"/>
    <n v="2"/>
    <n v="293"/>
    <n v="0"/>
    <n v="48"/>
    <x v="8"/>
    <x v="35"/>
    <n v="0.31486880466472306"/>
    <n v="0.16382252559726962"/>
    <n v="235"/>
    <n v="245"/>
    <n v="15"/>
    <n v="0.48721590909090912"/>
    <n v="0.15340909090909091"/>
    <n v="0.41619318181818182"/>
    <n v="6.8181818181818177E-2"/>
    <n v="0.45170454545454547"/>
  </r>
  <r>
    <x v="245"/>
    <n v="3"/>
    <n v="346"/>
    <n v="0"/>
    <n v="108"/>
    <n v="1"/>
    <n v="294"/>
    <n v="0"/>
    <n v="48"/>
    <x v="8"/>
    <x v="35"/>
    <n v="0.31213872832369943"/>
    <n v="0.16326530612244897"/>
    <n v="238"/>
    <n v="246"/>
    <n v="15"/>
    <n v="0.49147727272727271"/>
    <n v="0.15340909090909091"/>
    <n v="0.41761363636363635"/>
    <n v="6.8181818181818177E-2"/>
    <n v="0.45454545454545453"/>
  </r>
  <r>
    <x v="246"/>
    <n v="3"/>
    <n v="349"/>
    <n v="0"/>
    <n v="108"/>
    <n v="1"/>
    <n v="295"/>
    <n v="0"/>
    <n v="48"/>
    <x v="8"/>
    <x v="35"/>
    <n v="0.30945558739255014"/>
    <n v="0.16271186440677965"/>
    <n v="241"/>
    <n v="247"/>
    <n v="15"/>
    <n v="0.49573863636363635"/>
    <n v="0.15340909090909091"/>
    <n v="0.41903409090909088"/>
    <n v="6.8181818181818177E-2"/>
    <n v="0.45738636363636365"/>
  </r>
  <r>
    <x v="247"/>
    <n v="3"/>
    <n v="352"/>
    <n v="0"/>
    <n v="108"/>
    <n v="3"/>
    <n v="298"/>
    <n v="0"/>
    <n v="48"/>
    <x v="8"/>
    <x v="35"/>
    <n v="0.30681818181818182"/>
    <n v="0.16107382550335569"/>
    <n v="244"/>
    <n v="250"/>
    <n v="15"/>
    <n v="0.5"/>
    <n v="0.15340909090909091"/>
    <n v="0.42329545454545453"/>
    <n v="6.8181818181818177E-2"/>
    <n v="0.46164772727272729"/>
  </r>
  <r>
    <x v="248"/>
    <n v="3"/>
    <n v="355"/>
    <n v="0"/>
    <n v="108"/>
    <n v="3"/>
    <n v="301"/>
    <n v="0"/>
    <n v="48"/>
    <x v="8"/>
    <x v="35"/>
    <n v="0.30422535211267604"/>
    <n v="0.15946843853820597"/>
    <n v="247"/>
    <n v="253"/>
    <n v="15"/>
    <n v="0.50426136363636365"/>
    <n v="0.15340909090909091"/>
    <n v="0.42755681818181818"/>
    <n v="6.8181818181818177E-2"/>
    <n v="0.46590909090909094"/>
  </r>
  <r>
    <x v="249"/>
    <n v="3"/>
    <n v="358"/>
    <n v="0"/>
    <n v="108"/>
    <n v="2"/>
    <n v="303"/>
    <n v="0"/>
    <n v="48"/>
    <x v="8"/>
    <x v="35"/>
    <n v="0.3016759776536313"/>
    <n v="0.15841584158415842"/>
    <n v="250"/>
    <n v="255"/>
    <n v="15"/>
    <n v="0.50852272727272729"/>
    <n v="0.15340909090909091"/>
    <n v="0.43039772727272729"/>
    <n v="6.8181818181818177E-2"/>
    <n v="0.46946022727272729"/>
  </r>
  <r>
    <x v="250"/>
    <n v="0"/>
    <n v="358"/>
    <n v="0"/>
    <n v="108"/>
    <n v="2"/>
    <n v="305"/>
    <n v="0"/>
    <n v="48"/>
    <x v="8"/>
    <x v="35"/>
    <n v="0.3016759776536313"/>
    <n v="0.15737704918032788"/>
    <n v="250"/>
    <n v="257"/>
    <n v="15"/>
    <n v="0.50852272727272729"/>
    <n v="0.15340909090909091"/>
    <n v="0.43323863636363635"/>
    <n v="6.8181818181818177E-2"/>
    <n v="0.47088068181818182"/>
  </r>
  <r>
    <x v="251"/>
    <n v="0"/>
    <n v="358"/>
    <n v="0"/>
    <n v="108"/>
    <n v="2"/>
    <n v="307"/>
    <n v="0"/>
    <n v="48"/>
    <x v="8"/>
    <x v="36"/>
    <n v="0.3016759776536313"/>
    <n v="0.15635179153094461"/>
    <n v="250"/>
    <n v="259"/>
    <n v="15"/>
    <n v="0.50852272727272729"/>
    <n v="0.15340909090909091"/>
    <n v="0.43607954545454547"/>
    <n v="6.8181818181818177E-2"/>
    <n v="0.47230113636363635"/>
  </r>
  <r>
    <x v="252"/>
    <n v="3"/>
    <n v="361"/>
    <n v="0"/>
    <n v="108"/>
    <n v="1"/>
    <n v="308"/>
    <n v="0"/>
    <n v="48"/>
    <x v="8"/>
    <x v="36"/>
    <n v="0.29916897506925205"/>
    <n v="0.15584415584415584"/>
    <n v="253"/>
    <n v="260"/>
    <n v="15"/>
    <n v="0.51278409090909094"/>
    <n v="0.15340909090909091"/>
    <n v="0.4375"/>
    <n v="6.8181818181818177E-2"/>
    <n v="0.47514204545454547"/>
  </r>
  <r>
    <x v="253"/>
    <n v="3"/>
    <n v="364"/>
    <n v="0"/>
    <n v="108"/>
    <n v="2"/>
    <n v="310"/>
    <n v="0"/>
    <n v="48"/>
    <x v="8"/>
    <x v="36"/>
    <n v="0.2967032967032967"/>
    <n v="0.15483870967741936"/>
    <n v="256"/>
    <n v="262"/>
    <n v="15"/>
    <n v="0.51704545454545459"/>
    <n v="0.15340909090909091"/>
    <n v="0.44034090909090912"/>
    <n v="6.8181818181818177E-2"/>
    <n v="0.47869318181818188"/>
  </r>
  <r>
    <x v="254"/>
    <n v="3"/>
    <n v="367"/>
    <n v="0"/>
    <n v="108"/>
    <n v="3"/>
    <n v="313"/>
    <n v="0"/>
    <n v="48"/>
    <x v="8"/>
    <x v="36"/>
    <n v="0.29427792915531337"/>
    <n v="0.15335463258785942"/>
    <n v="259"/>
    <n v="265"/>
    <n v="15"/>
    <n v="0.52130681818181823"/>
    <n v="0.15340909090909091"/>
    <n v="0.44460227272727271"/>
    <n v="6.8181818181818177E-2"/>
    <n v="0.48295454545454547"/>
  </r>
  <r>
    <x v="255"/>
    <n v="3"/>
    <n v="370"/>
    <n v="0"/>
    <n v="108"/>
    <n v="3"/>
    <n v="316"/>
    <n v="0"/>
    <n v="48"/>
    <x v="8"/>
    <x v="36"/>
    <n v="0.29189189189189191"/>
    <n v="0.15189873417721519"/>
    <n v="262"/>
    <n v="268"/>
    <n v="15"/>
    <n v="0.52556818181818177"/>
    <n v="0.15340909090909091"/>
    <n v="0.44886363636363635"/>
    <n v="6.8181818181818177E-2"/>
    <n v="0.48721590909090906"/>
  </r>
  <r>
    <x v="256"/>
    <n v="3"/>
    <n v="373"/>
    <n v="0"/>
    <n v="108"/>
    <n v="2"/>
    <n v="318"/>
    <n v="0"/>
    <n v="48"/>
    <x v="8"/>
    <x v="36"/>
    <n v="0.289544235924933"/>
    <n v="0.15094339622641509"/>
    <n v="265"/>
    <n v="270"/>
    <n v="15"/>
    <n v="0.52982954545454541"/>
    <n v="0.15340909090909091"/>
    <n v="0.45170454545454547"/>
    <n v="6.8181818181818177E-2"/>
    <n v="0.49076704545454541"/>
  </r>
  <r>
    <x v="257"/>
    <n v="0"/>
    <n v="373"/>
    <n v="0"/>
    <n v="108"/>
    <n v="1"/>
    <n v="319"/>
    <n v="0"/>
    <n v="48"/>
    <x v="8"/>
    <x v="36"/>
    <n v="0.289544235924933"/>
    <n v="0.15047021943573669"/>
    <n v="265"/>
    <n v="271"/>
    <n v="15"/>
    <n v="0.52982954545454541"/>
    <n v="0.15340909090909091"/>
    <n v="0.453125"/>
    <n v="6.8181818181818177E-2"/>
    <n v="0.49147727272727271"/>
  </r>
  <r>
    <x v="258"/>
    <n v="0"/>
    <n v="373"/>
    <n v="0"/>
    <n v="108"/>
    <n v="2"/>
    <n v="321"/>
    <n v="0"/>
    <n v="48"/>
    <x v="9"/>
    <x v="37"/>
    <n v="0.289544235924933"/>
    <n v="0.14953271028037382"/>
    <n v="265"/>
    <n v="273"/>
    <n v="15"/>
    <n v="0.52982954545454541"/>
    <n v="0.15340909090909091"/>
    <n v="0.45596590909090912"/>
    <n v="6.8181818181818177E-2"/>
    <n v="0.49289772727272729"/>
  </r>
  <r>
    <x v="259"/>
    <n v="3"/>
    <n v="376"/>
    <n v="0"/>
    <n v="108"/>
    <n v="2"/>
    <n v="323"/>
    <n v="0"/>
    <n v="48"/>
    <x v="9"/>
    <x v="37"/>
    <n v="0.28723404255319152"/>
    <n v="0.14860681114551083"/>
    <n v="268"/>
    <n v="275"/>
    <n v="15"/>
    <n v="0.53409090909090906"/>
    <n v="0.15340909090909091"/>
    <n v="0.45880681818181818"/>
    <n v="6.8181818181818177E-2"/>
    <n v="0.49644886363636365"/>
  </r>
  <r>
    <x v="260"/>
    <n v="3"/>
    <n v="379"/>
    <n v="0"/>
    <n v="108"/>
    <n v="2"/>
    <n v="325"/>
    <n v="0"/>
    <n v="48"/>
    <x v="9"/>
    <x v="37"/>
    <n v="0.28496042216358841"/>
    <n v="0.14769230769230771"/>
    <n v="271"/>
    <n v="277"/>
    <n v="15"/>
    <n v="0.53835227272727271"/>
    <n v="0.15340909090909091"/>
    <n v="0.46164772727272729"/>
    <n v="6.8181818181818177E-2"/>
    <n v="0.5"/>
  </r>
  <r>
    <x v="261"/>
    <n v="3"/>
    <n v="382"/>
    <n v="0"/>
    <n v="108"/>
    <n v="3"/>
    <n v="328"/>
    <n v="0"/>
    <n v="48"/>
    <x v="9"/>
    <x v="37"/>
    <n v="0.28272251308900526"/>
    <n v="0.14634146341463414"/>
    <n v="274"/>
    <n v="280"/>
    <n v="15"/>
    <n v="0.54261363636363635"/>
    <n v="0.15340909090909091"/>
    <n v="0.46590909090909088"/>
    <n v="6.8181818181818177E-2"/>
    <n v="0.50426136363636365"/>
  </r>
  <r>
    <x v="262"/>
    <n v="3"/>
    <n v="385"/>
    <n v="0"/>
    <n v="108"/>
    <n v="3"/>
    <n v="331"/>
    <n v="0"/>
    <n v="48"/>
    <x v="9"/>
    <x v="37"/>
    <n v="0.2805194805194805"/>
    <n v="0.14501510574018128"/>
    <n v="277"/>
    <n v="283"/>
    <n v="15"/>
    <n v="0.546875"/>
    <n v="0.15340909090909091"/>
    <n v="0.47017045454545453"/>
    <n v="6.8181818181818177E-2"/>
    <n v="0.50852272727272729"/>
  </r>
  <r>
    <x v="263"/>
    <n v="3"/>
    <n v="388"/>
    <n v="0"/>
    <n v="108"/>
    <n v="1"/>
    <n v="332"/>
    <n v="0"/>
    <n v="48"/>
    <x v="9"/>
    <x v="37"/>
    <n v="0.27835051546391754"/>
    <n v="0.14457831325301204"/>
    <n v="280"/>
    <n v="284"/>
    <n v="15"/>
    <n v="0.55113636363636365"/>
    <n v="0.15340909090909091"/>
    <n v="0.47159090909090912"/>
    <n v="6.8181818181818177E-2"/>
    <n v="0.51136363636363635"/>
  </r>
  <r>
    <x v="264"/>
    <n v="0"/>
    <n v="388"/>
    <n v="0"/>
    <n v="108"/>
    <n v="1"/>
    <n v="333"/>
    <n v="0"/>
    <n v="48"/>
    <x v="9"/>
    <x v="37"/>
    <n v="0.27835051546391754"/>
    <n v="0.14414414414414414"/>
    <n v="280"/>
    <n v="285"/>
    <n v="15"/>
    <n v="0.55113636363636365"/>
    <n v="0.15340909090909091"/>
    <n v="0.47301136363636365"/>
    <n v="6.8181818181818177E-2"/>
    <n v="0.51207386363636365"/>
  </r>
  <r>
    <x v="265"/>
    <n v="0"/>
    <n v="388"/>
    <n v="0"/>
    <n v="108"/>
    <n v="4"/>
    <n v="337"/>
    <n v="0"/>
    <n v="48"/>
    <x v="9"/>
    <x v="38"/>
    <n v="0.27835051546391754"/>
    <n v="0.14243323442136499"/>
    <n v="280"/>
    <n v="289"/>
    <n v="15"/>
    <n v="0.55113636363636365"/>
    <n v="0.15340909090909091"/>
    <n v="0.47869318181818182"/>
    <n v="6.8181818181818177E-2"/>
    <n v="0.51491477272727271"/>
  </r>
  <r>
    <x v="266"/>
    <n v="3"/>
    <n v="391"/>
    <n v="0"/>
    <n v="108"/>
    <n v="2"/>
    <n v="339"/>
    <n v="0"/>
    <n v="48"/>
    <x v="9"/>
    <x v="38"/>
    <n v="0.27621483375959077"/>
    <n v="0.1415929203539823"/>
    <n v="283"/>
    <n v="291"/>
    <n v="15"/>
    <n v="0.55539772727272729"/>
    <n v="0.15340909090909091"/>
    <n v="0.48153409090909088"/>
    <n v="6.8181818181818177E-2"/>
    <n v="0.51846590909090906"/>
  </r>
  <r>
    <x v="267"/>
    <n v="3"/>
    <n v="394"/>
    <n v="0"/>
    <n v="108"/>
    <n v="1"/>
    <n v="340"/>
    <n v="0"/>
    <n v="48"/>
    <x v="9"/>
    <x v="38"/>
    <n v="0.27411167512690354"/>
    <n v="0.14117647058823529"/>
    <n v="286"/>
    <n v="292"/>
    <n v="15"/>
    <n v="0.55965909090909094"/>
    <n v="0.15340909090909091"/>
    <n v="0.48295454545454547"/>
    <n v="6.8181818181818177E-2"/>
    <n v="0.52130681818181823"/>
  </r>
  <r>
    <x v="268"/>
    <n v="3"/>
    <n v="397"/>
    <n v="0"/>
    <n v="108"/>
    <n v="3"/>
    <n v="343"/>
    <n v="0"/>
    <n v="48"/>
    <x v="9"/>
    <x v="38"/>
    <n v="0.27204030226700254"/>
    <n v="0.13994169096209913"/>
    <n v="289"/>
    <n v="295"/>
    <n v="15"/>
    <n v="0.56392045454545459"/>
    <n v="0.15340909090909091"/>
    <n v="0.48721590909090912"/>
    <n v="6.8181818181818177E-2"/>
    <n v="0.52556818181818188"/>
  </r>
  <r>
    <x v="269"/>
    <n v="3"/>
    <n v="400"/>
    <n v="0"/>
    <n v="108"/>
    <n v="3"/>
    <n v="346"/>
    <n v="0"/>
    <n v="48"/>
    <x v="9"/>
    <x v="38"/>
    <n v="0.27"/>
    <n v="0.13872832369942195"/>
    <n v="292"/>
    <n v="298"/>
    <n v="15"/>
    <n v="0.56818181818181823"/>
    <n v="0.15340909090909091"/>
    <n v="0.49147727272727271"/>
    <n v="6.8181818181818177E-2"/>
    <n v="0.52982954545454541"/>
  </r>
  <r>
    <x v="270"/>
    <n v="3"/>
    <n v="403"/>
    <n v="0"/>
    <n v="108"/>
    <n v="1"/>
    <n v="347"/>
    <n v="0"/>
    <n v="48"/>
    <x v="9"/>
    <x v="38"/>
    <n v="0.26799007444168732"/>
    <n v="0.13832853025936601"/>
    <n v="295"/>
    <n v="299"/>
    <n v="15"/>
    <n v="0.57244318181818177"/>
    <n v="0.15340909090909091"/>
    <n v="0.49289772727272729"/>
    <n v="6.8181818181818177E-2"/>
    <n v="0.53267045454545459"/>
  </r>
  <r>
    <x v="271"/>
    <n v="0"/>
    <n v="403"/>
    <n v="0"/>
    <n v="108"/>
    <n v="2"/>
    <n v="349"/>
    <n v="0"/>
    <n v="48"/>
    <x v="9"/>
    <x v="38"/>
    <n v="0.26799007444168732"/>
    <n v="0.13753581661891118"/>
    <n v="295"/>
    <n v="301"/>
    <n v="15"/>
    <n v="0.57244318181818177"/>
    <n v="0.15340909090909091"/>
    <n v="0.49573863636363635"/>
    <n v="6.8181818181818177E-2"/>
    <n v="0.53409090909090906"/>
  </r>
  <r>
    <x v="272"/>
    <n v="0"/>
    <n v="403"/>
    <n v="0"/>
    <n v="108"/>
    <n v="4"/>
    <n v="353"/>
    <n v="0"/>
    <n v="48"/>
    <x v="9"/>
    <x v="39"/>
    <n v="0.26799007444168732"/>
    <n v="0.1359773371104816"/>
    <n v="295"/>
    <n v="305"/>
    <n v="15"/>
    <n v="0.57244318181818177"/>
    <n v="0.15340909090909091"/>
    <n v="0.50142045454545459"/>
    <n v="6.8181818181818177E-2"/>
    <n v="0.53693181818181812"/>
  </r>
  <r>
    <x v="273"/>
    <n v="3"/>
    <n v="406"/>
    <n v="0"/>
    <n v="108"/>
    <n v="1"/>
    <n v="354"/>
    <n v="0"/>
    <n v="48"/>
    <x v="9"/>
    <x v="39"/>
    <n v="0.26600985221674878"/>
    <n v="0.13559322033898305"/>
    <n v="298"/>
    <n v="306"/>
    <n v="15"/>
    <n v="0.57670454545454541"/>
    <n v="0.15340909090909091"/>
    <n v="0.50284090909090906"/>
    <n v="6.8181818181818177E-2"/>
    <n v="0.53977272727272729"/>
  </r>
  <r>
    <x v="274"/>
    <n v="3"/>
    <n v="409"/>
    <n v="0"/>
    <n v="108"/>
    <n v="1"/>
    <n v="355"/>
    <n v="0"/>
    <n v="48"/>
    <x v="9"/>
    <x v="39"/>
    <n v="0.26405867970660146"/>
    <n v="0.13521126760563379"/>
    <n v="301"/>
    <n v="307"/>
    <n v="15"/>
    <n v="0.58096590909090906"/>
    <n v="0.15340909090909091"/>
    <n v="0.50426136363636365"/>
    <n v="6.8181818181818177E-2"/>
    <n v="0.54261363636363635"/>
  </r>
  <r>
    <x v="275"/>
    <n v="3"/>
    <n v="412"/>
    <n v="0"/>
    <n v="108"/>
    <n v="3"/>
    <n v="358"/>
    <n v="0"/>
    <n v="48"/>
    <x v="9"/>
    <x v="39"/>
    <n v="0.26213592233009708"/>
    <n v="0.13407821229050279"/>
    <n v="304"/>
    <n v="310"/>
    <n v="15"/>
    <n v="0.58522727272727271"/>
    <n v="0.15340909090909091"/>
    <n v="0.50852272727272729"/>
    <n v="6.8181818181818177E-2"/>
    <n v="0.546875"/>
  </r>
  <r>
    <x v="276"/>
    <n v="3"/>
    <n v="415"/>
    <n v="0"/>
    <n v="108"/>
    <n v="3"/>
    <n v="361"/>
    <n v="0"/>
    <n v="48"/>
    <x v="9"/>
    <x v="39"/>
    <n v="0.26024096385542167"/>
    <n v="0.1329639889196676"/>
    <n v="307"/>
    <n v="313"/>
    <n v="15"/>
    <n v="0.58948863636363635"/>
    <n v="0.15340909090909091"/>
    <n v="0.51278409090909094"/>
    <n v="6.8181818181818177E-2"/>
    <n v="0.55113636363636365"/>
  </r>
  <r>
    <x v="277"/>
    <n v="3"/>
    <n v="418"/>
    <n v="0"/>
    <n v="108"/>
    <n v="2"/>
    <n v="363"/>
    <n v="0"/>
    <n v="48"/>
    <x v="9"/>
    <x v="39"/>
    <n v="0.25837320574162681"/>
    <n v="0.13223140495867769"/>
    <n v="310"/>
    <n v="315"/>
    <n v="15"/>
    <n v="0.59375"/>
    <n v="0.15340909090909091"/>
    <n v="0.515625"/>
    <n v="6.8181818181818177E-2"/>
    <n v="0.5546875"/>
  </r>
  <r>
    <x v="278"/>
    <n v="0"/>
    <n v="418"/>
    <n v="0"/>
    <n v="108"/>
    <n v="2"/>
    <n v="365"/>
    <n v="0"/>
    <n v="48"/>
    <x v="9"/>
    <x v="39"/>
    <n v="0.25837320574162681"/>
    <n v="0.13150684931506848"/>
    <n v="310"/>
    <n v="317"/>
    <n v="15"/>
    <n v="0.59375"/>
    <n v="0.15340909090909091"/>
    <n v="0.51846590909090906"/>
    <n v="6.8181818181818177E-2"/>
    <n v="0.55610795454545459"/>
  </r>
  <r>
    <x v="279"/>
    <n v="0"/>
    <n v="418"/>
    <n v="0"/>
    <n v="108"/>
    <n v="2"/>
    <n v="367"/>
    <n v="0"/>
    <n v="48"/>
    <x v="9"/>
    <x v="40"/>
    <n v="0.25837320574162681"/>
    <n v="0.13079019073569481"/>
    <n v="310"/>
    <n v="319"/>
    <n v="15"/>
    <n v="0.59375"/>
    <n v="0.15340909090909091"/>
    <n v="0.52130681818181823"/>
    <n v="6.8181818181818177E-2"/>
    <n v="0.55752840909090917"/>
  </r>
  <r>
    <x v="280"/>
    <n v="3"/>
    <n v="421"/>
    <n v="0"/>
    <n v="108"/>
    <n v="1"/>
    <n v="368"/>
    <n v="0"/>
    <n v="48"/>
    <x v="9"/>
    <x v="40"/>
    <n v="0.25653206650831356"/>
    <n v="0.13043478260869565"/>
    <n v="313"/>
    <n v="320"/>
    <n v="15"/>
    <n v="0.59801136363636365"/>
    <n v="0.15340909090909091"/>
    <n v="0.52272727272727271"/>
    <n v="6.8181818181818177E-2"/>
    <n v="0.56036931818181812"/>
  </r>
  <r>
    <x v="281"/>
    <n v="3"/>
    <n v="424"/>
    <n v="0"/>
    <n v="108"/>
    <n v="2"/>
    <n v="370"/>
    <n v="0"/>
    <n v="48"/>
    <x v="9"/>
    <x v="40"/>
    <n v="0.25471698113207547"/>
    <n v="0.12972972972972974"/>
    <n v="316"/>
    <n v="322"/>
    <n v="15"/>
    <n v="0.60227272727272729"/>
    <n v="0.15340909090909091"/>
    <n v="0.52556818181818177"/>
    <n v="6.8181818181818177E-2"/>
    <n v="0.56392045454545459"/>
  </r>
  <r>
    <x v="282"/>
    <n v="3"/>
    <n v="427"/>
    <n v="0"/>
    <n v="108"/>
    <n v="3"/>
    <n v="373"/>
    <n v="0"/>
    <n v="48"/>
    <x v="9"/>
    <x v="40"/>
    <n v="0.25292740046838408"/>
    <n v="0.12868632707774799"/>
    <n v="319"/>
    <n v="325"/>
    <n v="15"/>
    <n v="0.60653409090909094"/>
    <n v="0.15340909090909091"/>
    <n v="0.52982954545454541"/>
    <n v="6.8181818181818177E-2"/>
    <n v="0.56818181818181812"/>
  </r>
  <r>
    <x v="283"/>
    <n v="3"/>
    <n v="430"/>
    <n v="0"/>
    <n v="108"/>
    <n v="3"/>
    <n v="376"/>
    <n v="0"/>
    <n v="48"/>
    <x v="9"/>
    <x v="40"/>
    <n v="0.25116279069767444"/>
    <n v="0.1276595744680851"/>
    <n v="322"/>
    <n v="328"/>
    <n v="15"/>
    <n v="0.61079545454545459"/>
    <n v="0.15340909090909091"/>
    <n v="0.53409090909090906"/>
    <n v="6.8181818181818177E-2"/>
    <n v="0.57244318181818188"/>
  </r>
  <r>
    <x v="284"/>
    <n v="3"/>
    <n v="433"/>
    <n v="0"/>
    <n v="108"/>
    <n v="2"/>
    <n v="378"/>
    <n v="0"/>
    <n v="48"/>
    <x v="9"/>
    <x v="40"/>
    <n v="0.24942263279445728"/>
    <n v="0.12698412698412698"/>
    <n v="325"/>
    <n v="330"/>
    <n v="15"/>
    <n v="0.61505681818181823"/>
    <n v="0.15340909090909091"/>
    <n v="0.53693181818181823"/>
    <n v="6.8181818181818177E-2"/>
    <n v="0.57599431818181823"/>
  </r>
  <r>
    <x v="285"/>
    <n v="0"/>
    <n v="433"/>
    <n v="0"/>
    <n v="108"/>
    <n v="1"/>
    <n v="379"/>
    <n v="0"/>
    <n v="48"/>
    <x v="9"/>
    <x v="40"/>
    <n v="0.24942263279445728"/>
    <n v="0.12664907651715041"/>
    <n v="325"/>
    <n v="331"/>
    <n v="15"/>
    <n v="0.61505681818181823"/>
    <n v="0.15340909090909091"/>
    <n v="0.53835227272727271"/>
    <n v="6.8181818181818177E-2"/>
    <n v="0.57670454545454541"/>
  </r>
  <r>
    <x v="286"/>
    <n v="0"/>
    <n v="433"/>
    <n v="0"/>
    <n v="108"/>
    <n v="2"/>
    <n v="381"/>
    <n v="0"/>
    <n v="48"/>
    <x v="9"/>
    <x v="41"/>
    <n v="0.24942263279445728"/>
    <n v="0.12598425196850394"/>
    <n v="325"/>
    <n v="333"/>
    <n v="3"/>
    <n v="0.61505681818181823"/>
    <n v="0.15340909090909091"/>
    <n v="0.54119318181818177"/>
    <n v="6.8181818181818177E-2"/>
    <n v="0.578125"/>
  </r>
  <r>
    <x v="287"/>
    <n v="3"/>
    <n v="436"/>
    <n v="0"/>
    <n v="108"/>
    <n v="2"/>
    <n v="383"/>
    <n v="0"/>
    <n v="48"/>
    <x v="9"/>
    <x v="41"/>
    <n v="0.24770642201834864"/>
    <n v="0.12532637075718014"/>
    <n v="328"/>
    <n v="335"/>
    <n v="3"/>
    <n v="0.61931818181818177"/>
    <n v="0.15340909090909091"/>
    <n v="0.54403409090909094"/>
    <n v="6.8181818181818177E-2"/>
    <n v="0.58167613636363635"/>
  </r>
  <r>
    <x v="288"/>
    <n v="3"/>
    <n v="439"/>
    <n v="0"/>
    <n v="108"/>
    <n v="2"/>
    <n v="385"/>
    <n v="0"/>
    <n v="48"/>
    <x v="10"/>
    <x v="41"/>
    <n v="0.24601366742596811"/>
    <n v="0.12467532467532468"/>
    <n v="331"/>
    <n v="337"/>
    <n v="12"/>
    <n v="0.62357954545454541"/>
    <n v="0.15340909090909091"/>
    <n v="0.546875"/>
    <n v="6.8181818181818177E-2"/>
    <n v="0.58522727272727271"/>
  </r>
  <r>
    <x v="289"/>
    <n v="3"/>
    <n v="442"/>
    <n v="0"/>
    <n v="108"/>
    <n v="3"/>
    <n v="388"/>
    <n v="0"/>
    <n v="48"/>
    <x v="10"/>
    <x v="41"/>
    <n v="0.24434389140271492"/>
    <n v="0.12371134020618557"/>
    <n v="334"/>
    <n v="340"/>
    <n v="12"/>
    <n v="0.62784090909090906"/>
    <n v="0.15340909090909091"/>
    <n v="0.55113636363636365"/>
    <n v="6.8181818181818177E-2"/>
    <n v="0.58948863636363635"/>
  </r>
  <r>
    <x v="290"/>
    <n v="3"/>
    <n v="445"/>
    <n v="0"/>
    <n v="108"/>
    <n v="3"/>
    <n v="391"/>
    <n v="0"/>
    <n v="48"/>
    <x v="10"/>
    <x v="41"/>
    <n v="0.24269662921348314"/>
    <n v="0.12276214833759591"/>
    <n v="337"/>
    <n v="343"/>
    <n v="12"/>
    <n v="0.63210227272727271"/>
    <n v="0.15340909090909091"/>
    <n v="0.55539772727272729"/>
    <n v="6.8181818181818177E-2"/>
    <n v="0.59375"/>
  </r>
  <r>
    <x v="291"/>
    <n v="3"/>
    <n v="448"/>
    <n v="0"/>
    <n v="108"/>
    <n v="1"/>
    <n v="392"/>
    <n v="0"/>
    <n v="48"/>
    <x v="10"/>
    <x v="41"/>
    <n v="0.24107142857142858"/>
    <n v="0.12244897959183673"/>
    <n v="340"/>
    <n v="344"/>
    <n v="12"/>
    <n v="0.63636363636363635"/>
    <n v="0.15340909090909091"/>
    <n v="0.55681818181818177"/>
    <n v="6.8181818181818177E-2"/>
    <n v="0.59659090909090906"/>
  </r>
  <r>
    <x v="292"/>
    <n v="0"/>
    <n v="448"/>
    <n v="0"/>
    <n v="108"/>
    <n v="1"/>
    <n v="393"/>
    <n v="0"/>
    <n v="48"/>
    <x v="10"/>
    <x v="41"/>
    <n v="0.24107142857142858"/>
    <n v="0.12213740458015267"/>
    <n v="340"/>
    <n v="345"/>
    <n v="12"/>
    <n v="0.63636363636363635"/>
    <n v="0.15340909090909091"/>
    <n v="0.55823863636363635"/>
    <n v="6.8181818181818177E-2"/>
    <n v="0.59730113636363635"/>
  </r>
  <r>
    <x v="293"/>
    <n v="0"/>
    <n v="448"/>
    <n v="0"/>
    <n v="108"/>
    <n v="4"/>
    <n v="397"/>
    <n v="0"/>
    <n v="48"/>
    <x v="10"/>
    <x v="42"/>
    <n v="0.24107142857142858"/>
    <n v="0.12090680100755667"/>
    <n v="340"/>
    <n v="349"/>
    <n v="12"/>
    <n v="0.63636363636363635"/>
    <n v="0.15340909090909091"/>
    <n v="0.56392045454545459"/>
    <n v="6.8181818181818177E-2"/>
    <n v="0.60014204545454541"/>
  </r>
  <r>
    <x v="294"/>
    <n v="3"/>
    <n v="451"/>
    <n v="0"/>
    <n v="108"/>
    <n v="2"/>
    <n v="399"/>
    <n v="0"/>
    <n v="48"/>
    <x v="10"/>
    <x v="42"/>
    <n v="0.23946784922394679"/>
    <n v="0.12030075187969924"/>
    <n v="343"/>
    <n v="351"/>
    <n v="12"/>
    <n v="0.640625"/>
    <n v="0.15340909090909091"/>
    <n v="0.56676136363636365"/>
    <n v="6.8181818181818177E-2"/>
    <n v="0.60369318181818188"/>
  </r>
  <r>
    <x v="295"/>
    <n v="0"/>
    <n v="451"/>
    <n v="0"/>
    <n v="108"/>
    <n v="1"/>
    <n v="400"/>
    <n v="0"/>
    <n v="48"/>
    <x v="10"/>
    <x v="42"/>
    <n v="0.23946784922394679"/>
    <n v="0.12"/>
    <n v="343"/>
    <n v="352"/>
    <n v="12"/>
    <n v="0.640625"/>
    <n v="0.15340909090909091"/>
    <n v="0.56818181818181823"/>
    <n v="6.8181818181818177E-2"/>
    <n v="0.60440340909090917"/>
  </r>
  <r>
    <x v="296"/>
    <n v="3"/>
    <n v="454"/>
    <n v="0"/>
    <n v="108"/>
    <n v="3"/>
    <n v="403"/>
    <n v="0"/>
    <n v="48"/>
    <x v="10"/>
    <x v="42"/>
    <n v="0.23788546255506607"/>
    <n v="0.11910669975186104"/>
    <n v="346"/>
    <n v="355"/>
    <n v="12"/>
    <n v="0.64488636363636365"/>
    <n v="0.15340909090909091"/>
    <n v="0.57244318181818177"/>
    <n v="6.8181818181818177E-2"/>
    <n v="0.60866477272727271"/>
  </r>
  <r>
    <x v="297"/>
    <n v="3"/>
    <n v="457"/>
    <n v="0"/>
    <n v="108"/>
    <n v="3"/>
    <n v="406"/>
    <n v="0"/>
    <n v="48"/>
    <x v="10"/>
    <x v="42"/>
    <n v="0.23632385120350111"/>
    <n v="0.11822660098522167"/>
    <n v="349"/>
    <n v="358"/>
    <n v="12"/>
    <n v="0.64914772727272729"/>
    <n v="0.15340909090909091"/>
    <n v="0.57670454545454541"/>
    <n v="6.8181818181818177E-2"/>
    <n v="0.61292613636363635"/>
  </r>
  <r>
    <x v="298"/>
    <n v="3"/>
    <n v="460"/>
    <n v="0"/>
    <n v="108"/>
    <n v="1"/>
    <n v="407"/>
    <n v="0"/>
    <n v="48"/>
    <x v="10"/>
    <x v="42"/>
    <n v="0.23478260869565218"/>
    <n v="0.11793611793611794"/>
    <n v="352"/>
    <n v="359"/>
    <n v="12"/>
    <n v="0.65340909090909094"/>
    <n v="0.15340909090909091"/>
    <n v="0.578125"/>
    <n v="6.8181818181818177E-2"/>
    <n v="0.61576704545454541"/>
  </r>
  <r>
    <x v="299"/>
    <n v="0"/>
    <n v="460"/>
    <n v="0"/>
    <n v="108"/>
    <n v="2"/>
    <n v="409"/>
    <n v="0"/>
    <n v="48"/>
    <x v="10"/>
    <x v="42"/>
    <n v="0.23478260869565218"/>
    <n v="0.11735941320293398"/>
    <n v="352"/>
    <n v="361"/>
    <n v="12"/>
    <n v="0.65340909090909094"/>
    <n v="0.15340909090909091"/>
    <n v="0.58096590909090906"/>
    <n v="6.8181818181818177E-2"/>
    <n v="0.6171875"/>
  </r>
  <r>
    <x v="300"/>
    <n v="0"/>
    <n v="460"/>
    <n v="0"/>
    <n v="108"/>
    <n v="4"/>
    <n v="413"/>
    <n v="0"/>
    <n v="48"/>
    <x v="10"/>
    <x v="43"/>
    <n v="0.23478260869565218"/>
    <n v="0.11622276029055691"/>
    <n v="352"/>
    <n v="365"/>
    <n v="15"/>
    <n v="0.65340909090909094"/>
    <n v="0.15340909090909091"/>
    <n v="0.58664772727272729"/>
    <n v="6.8181818181818177E-2"/>
    <n v="0.62002840909090917"/>
  </r>
  <r>
    <x v="301"/>
    <n v="3"/>
    <n v="463"/>
    <n v="0"/>
    <n v="108"/>
    <n v="1"/>
    <n v="414"/>
    <n v="0"/>
    <n v="48"/>
    <x v="10"/>
    <x v="43"/>
    <n v="0.23326133909287258"/>
    <n v="0.11594202898550725"/>
    <n v="355"/>
    <n v="366"/>
    <n v="15"/>
    <n v="0.65767045454545459"/>
    <n v="0.15340909090909091"/>
    <n v="0.58806818181818177"/>
    <n v="6.8181818181818177E-2"/>
    <n v="0.62286931818181812"/>
  </r>
  <r>
    <x v="302"/>
    <n v="3"/>
    <n v="466"/>
    <n v="0"/>
    <n v="108"/>
    <n v="1"/>
    <n v="415"/>
    <n v="0"/>
    <n v="48"/>
    <x v="10"/>
    <x v="43"/>
    <n v="0.23175965665236051"/>
    <n v="0.11566265060240964"/>
    <n v="358"/>
    <n v="367"/>
    <n v="15"/>
    <n v="0.66193181818181823"/>
    <n v="0.15340909090909091"/>
    <n v="0.58948863636363635"/>
    <n v="6.8181818181818177E-2"/>
    <n v="0.62571022727272729"/>
  </r>
  <r>
    <x v="303"/>
    <n v="3"/>
    <n v="469"/>
    <n v="0"/>
    <n v="108"/>
    <n v="3"/>
    <n v="418"/>
    <n v="0"/>
    <n v="48"/>
    <x v="10"/>
    <x v="43"/>
    <n v="0.2302771855010661"/>
    <n v="0.11483253588516747"/>
    <n v="361"/>
    <n v="370"/>
    <n v="15"/>
    <n v="0.66619318181818177"/>
    <n v="0.15340909090909091"/>
    <n v="0.59375"/>
    <n v="6.8181818181818177E-2"/>
    <n v="0.62997159090909083"/>
  </r>
  <r>
    <x v="304"/>
    <n v="3"/>
    <n v="472"/>
    <n v="0"/>
    <n v="108"/>
    <n v="3"/>
    <n v="421"/>
    <n v="0"/>
    <n v="48"/>
    <x v="10"/>
    <x v="43"/>
    <n v="0.2288135593220339"/>
    <n v="0.11401425178147269"/>
    <n v="364"/>
    <n v="373"/>
    <n v="15"/>
    <n v="0.67045454545454541"/>
    <n v="0.15340909090909091"/>
    <n v="0.59801136363636365"/>
    <n v="6.8181818181818177E-2"/>
    <n v="0.63423295454545459"/>
  </r>
  <r>
    <x v="305"/>
    <n v="3"/>
    <n v="475"/>
    <n v="0"/>
    <n v="108"/>
    <n v="2"/>
    <n v="423"/>
    <n v="0"/>
    <n v="48"/>
    <x v="10"/>
    <x v="43"/>
    <n v="0.22736842105263158"/>
    <n v="0.11347517730496454"/>
    <n v="367"/>
    <n v="375"/>
    <n v="15"/>
    <n v="0.67471590909090906"/>
    <n v="0.15340909090909091"/>
    <n v="0.60085227272727271"/>
    <n v="6.8181818181818177E-2"/>
    <n v="0.63778409090909083"/>
  </r>
  <r>
    <x v="306"/>
    <n v="0"/>
    <n v="475"/>
    <n v="0"/>
    <n v="108"/>
    <n v="2"/>
    <n v="425"/>
    <n v="0"/>
    <n v="48"/>
    <x v="10"/>
    <x v="43"/>
    <n v="0.22736842105263158"/>
    <n v="0.11294117647058824"/>
    <n v="367"/>
    <n v="377"/>
    <n v="15"/>
    <n v="0.67471590909090906"/>
    <n v="0.15340909090909091"/>
    <n v="0.60369318181818177"/>
    <n v="6.8181818181818177E-2"/>
    <n v="0.63920454545454541"/>
  </r>
  <r>
    <x v="307"/>
    <n v="0"/>
    <n v="475"/>
    <n v="0"/>
    <n v="108"/>
    <n v="2"/>
    <n v="427"/>
    <n v="0"/>
    <n v="48"/>
    <x v="10"/>
    <x v="44"/>
    <n v="0.22736842105263158"/>
    <n v="0.11241217798594848"/>
    <n v="367"/>
    <n v="379"/>
    <n v="9"/>
    <n v="0.67471590909090906"/>
    <n v="0.15340909090909091"/>
    <n v="0.60653409090909094"/>
    <n v="6.8181818181818177E-2"/>
    <n v="0.640625"/>
  </r>
  <r>
    <x v="308"/>
    <n v="3"/>
    <n v="478"/>
    <n v="0"/>
    <n v="108"/>
    <n v="1"/>
    <n v="428"/>
    <n v="0"/>
    <n v="48"/>
    <x v="10"/>
    <x v="44"/>
    <n v="0.22594142259414227"/>
    <n v="0.11214953271028037"/>
    <n v="370"/>
    <n v="380"/>
    <n v="9"/>
    <n v="0.67897727272727271"/>
    <n v="0.15340909090909091"/>
    <n v="0.60795454545454541"/>
    <n v="6.8181818181818177E-2"/>
    <n v="0.64346590909090906"/>
  </r>
  <r>
    <x v="309"/>
    <n v="3"/>
    <n v="481"/>
    <n v="0"/>
    <n v="108"/>
    <n v="2"/>
    <n v="430"/>
    <n v="0"/>
    <n v="48"/>
    <x v="10"/>
    <x v="44"/>
    <n v="0.22453222453222454"/>
    <n v="0.11162790697674418"/>
    <n v="373"/>
    <n v="382"/>
    <n v="9"/>
    <n v="0.68323863636363635"/>
    <n v="0.15340909090909091"/>
    <n v="0.61079545454545459"/>
    <n v="6.8181818181818177E-2"/>
    <n v="0.64701704545454541"/>
  </r>
  <r>
    <x v="310"/>
    <n v="3"/>
    <n v="484"/>
    <n v="0"/>
    <n v="108"/>
    <n v="3"/>
    <n v="433"/>
    <n v="0"/>
    <n v="48"/>
    <x v="10"/>
    <x v="44"/>
    <n v="0.2231404958677686"/>
    <n v="0.11085450346420324"/>
    <n v="376"/>
    <n v="385"/>
    <n v="9"/>
    <n v="0.6875"/>
    <n v="0.15340909090909091"/>
    <n v="0.61505681818181823"/>
    <n v="6.8181818181818177E-2"/>
    <n v="0.65127840909090917"/>
  </r>
  <r>
    <x v="311"/>
    <n v="0"/>
    <n v="484"/>
    <n v="0"/>
    <n v="108"/>
    <n v="3"/>
    <n v="436"/>
    <n v="0"/>
    <n v="48"/>
    <x v="10"/>
    <x v="44"/>
    <n v="0.2231404958677686"/>
    <n v="0.11009174311926606"/>
    <n v="376"/>
    <n v="388"/>
    <n v="9"/>
    <n v="0.6875"/>
    <n v="0.15340909090909091"/>
    <n v="0.61931818181818177"/>
    <n v="6.8181818181818177E-2"/>
    <n v="0.65340909090909083"/>
  </r>
  <r>
    <x v="312"/>
    <n v="0"/>
    <n v="484"/>
    <n v="0"/>
    <n v="108"/>
    <n v="2"/>
    <n v="438"/>
    <n v="0"/>
    <n v="48"/>
    <x v="10"/>
    <x v="44"/>
    <n v="0.2231404958677686"/>
    <n v="0.1095890410958904"/>
    <n v="376"/>
    <n v="390"/>
    <n v="9"/>
    <n v="0.6875"/>
    <n v="0.15340909090909091"/>
    <n v="0.62215909090909094"/>
    <n v="6.8181818181818177E-2"/>
    <n v="0.65482954545454541"/>
  </r>
  <r>
    <x v="313"/>
    <n v="0"/>
    <n v="484"/>
    <n v="0"/>
    <n v="108"/>
    <n v="1"/>
    <n v="439"/>
    <n v="0"/>
    <n v="48"/>
    <x v="10"/>
    <x v="44"/>
    <n v="0.2231404958677686"/>
    <n v="0.10933940774487472"/>
    <n v="376"/>
    <n v="391"/>
    <n v="9"/>
    <n v="0.6875"/>
    <n v="0.15340909090909091"/>
    <n v="0.62357954545454541"/>
    <n v="6.8181818181818177E-2"/>
    <n v="0.65553977272727271"/>
  </r>
  <r>
    <x v="314"/>
    <n v="0"/>
    <n v="484"/>
    <n v="0"/>
    <n v="108"/>
    <n v="2"/>
    <n v="441"/>
    <n v="0"/>
    <n v="48"/>
    <x v="10"/>
    <x v="45"/>
    <n v="0.2231404958677686"/>
    <n v="0.10884353741496598"/>
    <n v="376"/>
    <n v="393"/>
    <n v="9"/>
    <n v="0.6875"/>
    <n v="0.15340909090909091"/>
    <n v="0.62642045454545459"/>
    <n v="6.8181818181818177E-2"/>
    <n v="0.65696022727272729"/>
  </r>
  <r>
    <x v="315"/>
    <n v="3"/>
    <n v="487"/>
    <n v="0"/>
    <n v="108"/>
    <n v="0"/>
    <n v="441"/>
    <n v="0"/>
    <n v="48"/>
    <x v="10"/>
    <x v="45"/>
    <n v="0.22176591375770022"/>
    <n v="0.10884353741496598"/>
    <n v="379"/>
    <n v="393"/>
    <n v="9"/>
    <n v="0.69176136363636365"/>
    <n v="0.15340909090909091"/>
    <n v="0.62642045454545459"/>
    <n v="6.8181818181818177E-2"/>
    <n v="0.65909090909090917"/>
  </r>
  <r>
    <x v="316"/>
    <n v="3"/>
    <n v="490"/>
    <n v="0"/>
    <n v="108"/>
    <n v="2"/>
    <n v="443"/>
    <n v="0"/>
    <n v="48"/>
    <x v="10"/>
    <x v="45"/>
    <n v="0.22040816326530613"/>
    <n v="0.10835214446952596"/>
    <n v="382"/>
    <n v="395"/>
    <n v="9"/>
    <n v="0.69602272727272729"/>
    <n v="0.15340909090909091"/>
    <n v="0.62926136363636365"/>
    <n v="6.8181818181818177E-2"/>
    <n v="0.66264204545454541"/>
  </r>
  <r>
    <x v="317"/>
    <n v="3"/>
    <n v="493"/>
    <n v="0"/>
    <n v="108"/>
    <n v="4"/>
    <n v="447"/>
    <n v="0"/>
    <n v="48"/>
    <x v="10"/>
    <x v="45"/>
    <n v="0.21906693711967545"/>
    <n v="0.10738255033557047"/>
    <n v="385"/>
    <n v="399"/>
    <n v="9"/>
    <n v="0.70028409090909094"/>
    <n v="0.15340909090909091"/>
    <n v="0.63494318181818177"/>
    <n v="6.8181818181818177E-2"/>
    <n v="0.66761363636363635"/>
  </r>
  <r>
    <x v="318"/>
    <n v="0"/>
    <n v="493"/>
    <n v="0"/>
    <n v="108"/>
    <n v="3"/>
    <n v="450"/>
    <n v="0"/>
    <n v="48"/>
    <x v="10"/>
    <x v="45"/>
    <n v="0.21906693711967545"/>
    <n v="0.10666666666666667"/>
    <n v="385"/>
    <n v="402"/>
    <n v="9"/>
    <n v="0.70028409090909094"/>
    <n v="0.15340909090909091"/>
    <n v="0.63920454545454541"/>
    <n v="6.8181818181818177E-2"/>
    <n v="0.66974431818181812"/>
  </r>
  <r>
    <x v="319"/>
    <n v="0"/>
    <n v="493"/>
    <n v="0"/>
    <n v="108"/>
    <n v="1"/>
    <n v="451"/>
    <n v="0"/>
    <n v="48"/>
    <x v="11"/>
    <x v="46"/>
    <n v="0.21906693711967545"/>
    <n v="0.10643015521064302"/>
    <n v="385"/>
    <n v="403"/>
    <n v="0"/>
    <n v="0.70028409090909094"/>
    <n v="0.15340909090909091"/>
    <n v="0.640625"/>
    <n v="6.8181818181818177E-2"/>
    <n v="0.67045454545454541"/>
  </r>
  <r>
    <x v="320"/>
    <n v="0"/>
    <n v="493"/>
    <n v="0"/>
    <n v="108"/>
    <n v="1"/>
    <n v="452"/>
    <n v="0"/>
    <n v="48"/>
    <x v="11"/>
    <x v="46"/>
    <n v="0.21906693711967545"/>
    <n v="0.10619469026548672"/>
    <n v="385"/>
    <n v="404"/>
    <n v="0"/>
    <n v="0.70028409090909094"/>
    <n v="0.15340909090909091"/>
    <n v="0.64204545454545459"/>
    <n v="6.8181818181818177E-2"/>
    <n v="0.67116477272727271"/>
  </r>
  <r>
    <x v="321"/>
    <n v="0"/>
    <n v="493"/>
    <n v="0"/>
    <n v="108"/>
    <n v="3"/>
    <n v="455"/>
    <n v="0"/>
    <n v="48"/>
    <x v="11"/>
    <x v="47"/>
    <n v="0.21906693711967545"/>
    <n v="0.10549450549450549"/>
    <n v="385"/>
    <n v="407"/>
    <n v="15"/>
    <n v="0.70028409090909094"/>
    <n v="0.15340909090909091"/>
    <n v="0.64630681818181823"/>
    <n v="6.8181818181818177E-2"/>
    <n v="0.67329545454545459"/>
  </r>
  <r>
    <x v="322"/>
    <n v="3"/>
    <n v="496"/>
    <n v="0"/>
    <n v="108"/>
    <n v="2"/>
    <n v="457"/>
    <n v="0"/>
    <n v="48"/>
    <x v="11"/>
    <x v="47"/>
    <n v="0.21774193548387097"/>
    <n v="0.10503282275711159"/>
    <n v="388"/>
    <n v="409"/>
    <n v="15"/>
    <n v="0.70454545454545459"/>
    <n v="0.15340909090909091"/>
    <n v="0.64914772727272729"/>
    <n v="6.8181818181818177E-2"/>
    <n v="0.67684659090909094"/>
  </r>
  <r>
    <x v="323"/>
    <n v="3"/>
    <n v="499"/>
    <n v="0"/>
    <n v="108"/>
    <n v="2"/>
    <n v="459"/>
    <n v="0"/>
    <n v="48"/>
    <x v="11"/>
    <x v="47"/>
    <n v="0.21643286573146292"/>
    <n v="0.10457516339869281"/>
    <n v="391"/>
    <n v="411"/>
    <n v="15"/>
    <n v="0.70880681818181823"/>
    <n v="0.15340909090909091"/>
    <n v="0.65198863636363635"/>
    <n v="6.8181818181818177E-2"/>
    <n v="0.68039772727272729"/>
  </r>
  <r>
    <x v="324"/>
    <n v="3"/>
    <n v="502"/>
    <n v="0"/>
    <n v="108"/>
    <n v="3"/>
    <n v="462"/>
    <n v="0"/>
    <n v="48"/>
    <x v="11"/>
    <x v="47"/>
    <n v="0.2151394422310757"/>
    <n v="0.1038961038961039"/>
    <n v="394"/>
    <n v="414"/>
    <n v="15"/>
    <n v="0.71306818181818177"/>
    <n v="0.15340909090909091"/>
    <n v="0.65625"/>
    <n v="6.8181818181818177E-2"/>
    <n v="0.68465909090909083"/>
  </r>
  <r>
    <x v="325"/>
    <n v="3"/>
    <n v="505"/>
    <n v="0"/>
    <n v="108"/>
    <n v="1"/>
    <n v="463"/>
    <n v="0"/>
    <n v="48"/>
    <x v="11"/>
    <x v="47"/>
    <n v="0.21386138613861386"/>
    <n v="0.10367170626349892"/>
    <n v="397"/>
    <n v="415"/>
    <n v="15"/>
    <n v="0.71732954545454541"/>
    <n v="0.15340909090909091"/>
    <n v="0.65767045454545459"/>
    <n v="6.8181818181818177E-2"/>
    <n v="0.6875"/>
  </r>
  <r>
    <x v="326"/>
    <n v="3"/>
    <n v="508"/>
    <n v="0"/>
    <n v="108"/>
    <n v="1"/>
    <n v="464"/>
    <n v="0"/>
    <n v="48"/>
    <x v="11"/>
    <x v="47"/>
    <n v="0.2125984251968504"/>
    <n v="0.10344827586206896"/>
    <n v="400"/>
    <n v="416"/>
    <n v="15"/>
    <n v="0.72159090909090906"/>
    <n v="0.15340909090909091"/>
    <n v="0.65909090909090906"/>
    <n v="6.8181818181818177E-2"/>
    <n v="0.69034090909090906"/>
  </r>
  <r>
    <x v="327"/>
    <n v="0"/>
    <n v="508"/>
    <n v="0"/>
    <n v="108"/>
    <n v="1"/>
    <n v="465"/>
    <n v="0"/>
    <n v="48"/>
    <x v="11"/>
    <x v="47"/>
    <n v="0.2125984251968504"/>
    <n v="0.1032258064516129"/>
    <n v="400"/>
    <n v="417"/>
    <n v="15"/>
    <n v="0.72159090909090906"/>
    <n v="0.15340909090909091"/>
    <n v="0.66051136363636365"/>
    <n v="6.8181818181818177E-2"/>
    <n v="0.69105113636363635"/>
  </r>
  <r>
    <x v="328"/>
    <n v="0"/>
    <n v="508"/>
    <n v="0"/>
    <n v="108"/>
    <n v="4"/>
    <n v="469"/>
    <n v="0"/>
    <n v="48"/>
    <x v="11"/>
    <x v="48"/>
    <n v="0.2125984251968504"/>
    <n v="0.1023454157782516"/>
    <n v="400"/>
    <n v="421"/>
    <n v="15"/>
    <n v="0.72159090909090906"/>
    <n v="0.15340909090909091"/>
    <n v="0.66619318181818177"/>
    <n v="6.8181818181818177E-2"/>
    <n v="0.69389204545454541"/>
  </r>
  <r>
    <x v="329"/>
    <n v="3"/>
    <n v="511"/>
    <n v="0"/>
    <n v="108"/>
    <n v="2"/>
    <n v="471"/>
    <n v="0"/>
    <n v="48"/>
    <x v="11"/>
    <x v="48"/>
    <n v="0.21135029354207435"/>
    <n v="0.10191082802547771"/>
    <n v="403"/>
    <n v="423"/>
    <n v="15"/>
    <n v="0.72585227272727271"/>
    <n v="0.15340909090909091"/>
    <n v="0.66903409090909094"/>
    <n v="6.8181818181818177E-2"/>
    <n v="0.69744318181818188"/>
  </r>
  <r>
    <x v="330"/>
    <n v="3"/>
    <n v="514"/>
    <n v="0"/>
    <n v="108"/>
    <n v="1"/>
    <n v="472"/>
    <n v="0"/>
    <n v="48"/>
    <x v="11"/>
    <x v="48"/>
    <n v="0.21011673151750973"/>
    <n v="0.10169491525423729"/>
    <n v="406"/>
    <n v="424"/>
    <n v="15"/>
    <n v="0.73011363636363635"/>
    <n v="0.15340909090909091"/>
    <n v="0.67045454545454541"/>
    <n v="6.8181818181818177E-2"/>
    <n v="0.70028409090909083"/>
  </r>
  <r>
    <x v="331"/>
    <n v="3"/>
    <n v="517"/>
    <n v="0"/>
    <n v="108"/>
    <n v="2"/>
    <n v="474"/>
    <n v="0"/>
    <n v="48"/>
    <x v="11"/>
    <x v="48"/>
    <n v="0.20889748549323017"/>
    <n v="0.10126582278481013"/>
    <n v="409"/>
    <n v="426"/>
    <n v="15"/>
    <n v="0.734375"/>
    <n v="0.15340909090909091"/>
    <n v="0.67329545454545459"/>
    <n v="6.8181818181818177E-2"/>
    <n v="0.70383522727272729"/>
  </r>
  <r>
    <x v="332"/>
    <n v="3"/>
    <n v="520"/>
    <n v="0"/>
    <n v="108"/>
    <n v="1"/>
    <n v="475"/>
    <n v="0"/>
    <n v="48"/>
    <x v="11"/>
    <x v="48"/>
    <n v="0.2076923076923077"/>
    <n v="0.10105263157894737"/>
    <n v="412"/>
    <n v="427"/>
    <n v="15"/>
    <n v="0.73863636363636365"/>
    <n v="0.15340909090909091"/>
    <n v="0.67471590909090906"/>
    <n v="6.8181818181818177E-2"/>
    <n v="0.70667613636363635"/>
  </r>
  <r>
    <x v="333"/>
    <n v="3"/>
    <n v="523"/>
    <n v="0"/>
    <n v="108"/>
    <n v="1"/>
    <n v="476"/>
    <n v="0"/>
    <n v="48"/>
    <x v="11"/>
    <x v="48"/>
    <n v="0.20650095602294455"/>
    <n v="0.10084033613445378"/>
    <n v="415"/>
    <n v="428"/>
    <n v="15"/>
    <n v="0.74289772727272729"/>
    <n v="0.15340909090909091"/>
    <n v="0.67613636363636365"/>
    <n v="6.8181818181818177E-2"/>
    <n v="0.70951704545454541"/>
  </r>
  <r>
    <x v="334"/>
    <n v="0"/>
    <n v="523"/>
    <n v="0"/>
    <n v="108"/>
    <n v="2"/>
    <n v="478"/>
    <n v="0"/>
    <n v="48"/>
    <x v="11"/>
    <x v="48"/>
    <n v="0.20650095602294455"/>
    <n v="0.100418410041841"/>
    <n v="415"/>
    <n v="430"/>
    <n v="15"/>
    <n v="0.74289772727272729"/>
    <n v="0.15340909090909091"/>
    <n v="0.67897727272727271"/>
    <n v="6.8181818181818177E-2"/>
    <n v="0.7109375"/>
  </r>
  <r>
    <x v="335"/>
    <n v="0"/>
    <n v="523"/>
    <n v="0"/>
    <n v="108"/>
    <n v="3"/>
    <n v="481"/>
    <n v="0"/>
    <n v="48"/>
    <x v="11"/>
    <x v="49"/>
    <n v="0.20650095602294455"/>
    <n v="9.9792099792099798E-2"/>
    <n v="415"/>
    <n v="433"/>
    <n v="15"/>
    <n v="0.74289772727272729"/>
    <n v="0.15340909090909091"/>
    <n v="0.68323863636363635"/>
    <n v="6.8181818181818177E-2"/>
    <n v="0.71306818181818188"/>
  </r>
  <r>
    <x v="336"/>
    <n v="3"/>
    <n v="526"/>
    <n v="0"/>
    <n v="108"/>
    <n v="2"/>
    <n v="483"/>
    <n v="0"/>
    <n v="48"/>
    <x v="11"/>
    <x v="49"/>
    <n v="0.20532319391634982"/>
    <n v="9.9378881987577633E-2"/>
    <n v="418"/>
    <n v="435"/>
    <n v="15"/>
    <n v="0.74715909090909094"/>
    <n v="0.15340909090909091"/>
    <n v="0.68607954545454541"/>
    <n v="6.8181818181818177E-2"/>
    <n v="0.71661931818181812"/>
  </r>
  <r>
    <x v="337"/>
    <n v="3"/>
    <n v="529"/>
    <n v="0"/>
    <n v="108"/>
    <n v="2"/>
    <n v="485"/>
    <n v="0"/>
    <n v="48"/>
    <x v="11"/>
    <x v="49"/>
    <n v="0.20415879017013233"/>
    <n v="9.8969072164948449E-2"/>
    <n v="421"/>
    <n v="437"/>
    <n v="15"/>
    <n v="0.75142045454545459"/>
    <n v="0.15340909090909091"/>
    <n v="0.68892045454545459"/>
    <n v="6.8181818181818177E-2"/>
    <n v="0.72017045454545459"/>
  </r>
  <r>
    <x v="338"/>
    <n v="3"/>
    <n v="532"/>
    <n v="0"/>
    <n v="108"/>
    <n v="1"/>
    <n v="486"/>
    <n v="0"/>
    <n v="48"/>
    <x v="11"/>
    <x v="49"/>
    <n v="0.20300751879699247"/>
    <n v="9.8765432098765427E-2"/>
    <n v="424"/>
    <n v="438"/>
    <n v="15"/>
    <n v="0.75568181818181823"/>
    <n v="0.15340909090909091"/>
    <n v="0.69034090909090906"/>
    <n v="6.8181818181818177E-2"/>
    <n v="0.72301136363636365"/>
  </r>
  <r>
    <x v="339"/>
    <n v="3"/>
    <n v="535"/>
    <n v="0"/>
    <n v="108"/>
    <n v="1"/>
    <n v="487"/>
    <n v="0"/>
    <n v="48"/>
    <x v="11"/>
    <x v="49"/>
    <n v="0.20186915887850468"/>
    <n v="9.856262833675565E-2"/>
    <n v="427"/>
    <n v="439"/>
    <n v="15"/>
    <n v="0.75994318181818177"/>
    <n v="0.15340909090909091"/>
    <n v="0.69176136363636365"/>
    <n v="6.8181818181818177E-2"/>
    <n v="0.72585227272727271"/>
  </r>
  <r>
    <x v="340"/>
    <n v="3"/>
    <n v="538"/>
    <n v="0"/>
    <n v="108"/>
    <n v="2"/>
    <n v="489"/>
    <n v="0"/>
    <n v="48"/>
    <x v="11"/>
    <x v="49"/>
    <n v="0.20074349442379183"/>
    <n v="9.815950920245399E-2"/>
    <n v="430"/>
    <n v="441"/>
    <n v="15"/>
    <n v="0.76420454545454541"/>
    <n v="0.15340909090909091"/>
    <n v="0.69460227272727271"/>
    <n v="6.8181818181818177E-2"/>
    <n v="0.72940340909090906"/>
  </r>
  <r>
    <x v="341"/>
    <n v="0"/>
    <n v="538"/>
    <n v="0"/>
    <n v="108"/>
    <n v="0"/>
    <n v="489"/>
    <n v="0"/>
    <n v="48"/>
    <x v="11"/>
    <x v="49"/>
    <n v="0.20074349442379183"/>
    <n v="9.815950920245399E-2"/>
    <n v="430"/>
    <n v="441"/>
    <n v="15"/>
    <n v="0.76420454545454541"/>
    <n v="0.15340909090909091"/>
    <n v="0.69460227272727271"/>
    <n v="6.8181818181818177E-2"/>
    <n v="0.72940340909090906"/>
  </r>
  <r>
    <x v="342"/>
    <n v="0"/>
    <n v="538"/>
    <n v="0"/>
    <n v="108"/>
    <n v="1"/>
    <n v="490"/>
    <n v="0"/>
    <n v="48"/>
    <x v="11"/>
    <x v="50"/>
    <n v="0.20074349442379183"/>
    <n v="9.7959183673469383E-2"/>
    <n v="430"/>
    <n v="442"/>
    <n v="15"/>
    <n v="0.76420454545454541"/>
    <n v="0.15340909090909091"/>
    <n v="0.69602272727272729"/>
    <n v="6.8181818181818177E-2"/>
    <n v="0.73011363636363635"/>
  </r>
  <r>
    <x v="343"/>
    <n v="3"/>
    <n v="541"/>
    <n v="0"/>
    <n v="108"/>
    <n v="1"/>
    <n v="491"/>
    <n v="0"/>
    <n v="48"/>
    <x v="11"/>
    <x v="50"/>
    <n v="0.19963031423290203"/>
    <n v="9.775967413441955E-2"/>
    <n v="433"/>
    <n v="443"/>
    <n v="15"/>
    <n v="0.76846590909090906"/>
    <n v="0.15340909090909091"/>
    <n v="0.69744318181818177"/>
    <n v="6.8181818181818177E-2"/>
    <n v="0.73295454545454541"/>
  </r>
  <r>
    <x v="344"/>
    <n v="3"/>
    <n v="544"/>
    <n v="0"/>
    <n v="108"/>
    <n v="2"/>
    <n v="493"/>
    <n v="0"/>
    <n v="48"/>
    <x v="11"/>
    <x v="50"/>
    <n v="0.19852941176470587"/>
    <n v="9.7363083164300201E-2"/>
    <n v="436"/>
    <n v="445"/>
    <n v="15"/>
    <n v="0.77272727272727271"/>
    <n v="0.15340909090909091"/>
    <n v="0.70028409090909094"/>
    <n v="6.8181818181818177E-2"/>
    <n v="0.73650568181818188"/>
  </r>
  <r>
    <x v="345"/>
    <n v="3"/>
    <n v="547"/>
    <n v="0"/>
    <n v="108"/>
    <n v="4"/>
    <n v="497"/>
    <n v="0"/>
    <n v="48"/>
    <x v="11"/>
    <x v="50"/>
    <n v="0.19744058500914077"/>
    <n v="9.6579476861166996E-2"/>
    <n v="439"/>
    <n v="449"/>
    <n v="15"/>
    <n v="0.77698863636363635"/>
    <n v="0.15340909090909091"/>
    <n v="0.70596590909090906"/>
    <n v="6.8181818181818177E-2"/>
    <n v="0.74147727272727271"/>
  </r>
  <r>
    <x v="346"/>
    <n v="3"/>
    <n v="550"/>
    <n v="0"/>
    <n v="108"/>
    <n v="2"/>
    <n v="499"/>
    <n v="0"/>
    <n v="48"/>
    <x v="11"/>
    <x v="50"/>
    <n v="0.19636363636363635"/>
    <n v="9.6192384769539077E-2"/>
    <n v="442"/>
    <n v="451"/>
    <n v="15"/>
    <n v="0.78125"/>
    <n v="0.15340909090909091"/>
    <n v="0.70880681818181823"/>
    <n v="6.8181818181818177E-2"/>
    <n v="0.74502840909090917"/>
  </r>
  <r>
    <x v="347"/>
    <n v="3"/>
    <n v="553"/>
    <n v="0"/>
    <n v="108"/>
    <n v="1"/>
    <n v="500"/>
    <n v="0"/>
    <n v="48"/>
    <x v="11"/>
    <x v="50"/>
    <n v="0.19529837251356238"/>
    <n v="9.6000000000000002E-2"/>
    <n v="445"/>
    <n v="452"/>
    <n v="15"/>
    <n v="0.78551136363636365"/>
    <n v="0.15340909090909091"/>
    <n v="0.71022727272727271"/>
    <n v="6.8181818181818177E-2"/>
    <n v="0.74786931818181812"/>
  </r>
  <r>
    <x v="348"/>
    <n v="0"/>
    <n v="553"/>
    <n v="0"/>
    <n v="108"/>
    <n v="0"/>
    <n v="500"/>
    <n v="0"/>
    <n v="48"/>
    <x v="11"/>
    <x v="50"/>
    <n v="0.19529837251356238"/>
    <n v="9.6000000000000002E-2"/>
    <n v="445"/>
    <n v="452"/>
    <n v="15"/>
    <n v="0.78551136363636365"/>
    <n v="0.15340909090909091"/>
    <n v="0.71022727272727271"/>
    <n v="6.8181818181818177E-2"/>
    <n v="0.74786931818181812"/>
  </r>
  <r>
    <x v="349"/>
    <n v="0"/>
    <n v="553"/>
    <n v="0"/>
    <n v="108"/>
    <n v="1"/>
    <n v="501"/>
    <n v="0"/>
    <n v="48"/>
    <x v="11"/>
    <x v="51"/>
    <n v="0.19529837251356238"/>
    <n v="9.580838323353294E-2"/>
    <n v="445"/>
    <n v="453"/>
    <n v="0"/>
    <n v="0.78551136363636365"/>
    <n v="0.15340909090909091"/>
    <n v="0.71164772727272729"/>
    <n v="6.8181818181818177E-2"/>
    <n v="0.74857954545454541"/>
  </r>
  <r>
    <x v="350"/>
    <n v="3"/>
    <n v="556"/>
    <n v="0"/>
    <n v="108"/>
    <n v="2"/>
    <n v="503"/>
    <n v="0"/>
    <n v="48"/>
    <x v="0"/>
    <x v="51"/>
    <n v="0.19424460431654678"/>
    <n v="9.5427435387673953E-2"/>
    <n v="448"/>
    <n v="455"/>
    <n v="15"/>
    <n v="0.78977272727272729"/>
    <n v="0.15340909090909091"/>
    <n v="0.71448863636363635"/>
    <n v="6.8181818181818177E-2"/>
    <n v="0.75213068181818188"/>
  </r>
  <r>
    <x v="351"/>
    <n v="3"/>
    <n v="559"/>
    <n v="0"/>
    <n v="108"/>
    <n v="2"/>
    <n v="505"/>
    <n v="0"/>
    <n v="48"/>
    <x v="0"/>
    <x v="51"/>
    <n v="0.19320214669051877"/>
    <n v="9.5049504950495051E-2"/>
    <n v="451"/>
    <n v="457"/>
    <n v="15"/>
    <n v="0.79403409090909094"/>
    <n v="0.15340909090909091"/>
    <n v="0.71732954545454541"/>
    <n v="6.8181818181818177E-2"/>
    <n v="0.75568181818181812"/>
  </r>
  <r>
    <x v="352"/>
    <n v="3"/>
    <n v="562"/>
    <n v="0"/>
    <n v="108"/>
    <n v="3"/>
    <n v="508"/>
    <n v="0"/>
    <n v="48"/>
    <x v="0"/>
    <x v="51"/>
    <n v="0.19217081850533807"/>
    <n v="9.4488188976377951E-2"/>
    <n v="454"/>
    <n v="460"/>
    <n v="15"/>
    <n v="0.79829545454545459"/>
    <n v="0.15340909090909091"/>
    <n v="0.72159090909090906"/>
    <n v="6.8181818181818177E-2"/>
    <n v="0.75994318181818188"/>
  </r>
  <r>
    <x v="353"/>
    <n v="3"/>
    <n v="565"/>
    <n v="0"/>
    <n v="108"/>
    <n v="3"/>
    <n v="511"/>
    <n v="0"/>
    <n v="48"/>
    <x v="0"/>
    <x v="51"/>
    <n v="0.1911504424778761"/>
    <n v="9.393346379647749E-2"/>
    <n v="457"/>
    <n v="463"/>
    <n v="15"/>
    <n v="0.80255681818181823"/>
    <n v="0.15340909090909091"/>
    <n v="0.72585227272727271"/>
    <n v="6.8181818181818177E-2"/>
    <n v="0.76420454545454541"/>
  </r>
  <r>
    <x v="354"/>
    <n v="3"/>
    <n v="568"/>
    <n v="0"/>
    <n v="108"/>
    <n v="1"/>
    <n v="512"/>
    <n v="0"/>
    <n v="48"/>
    <x v="0"/>
    <x v="51"/>
    <n v="0.19014084507042253"/>
    <n v="9.375E-2"/>
    <n v="460"/>
    <n v="464"/>
    <n v="15"/>
    <n v="0.80681818181818177"/>
    <n v="0.15340909090909091"/>
    <n v="0.72727272727272729"/>
    <n v="6.8181818181818177E-2"/>
    <n v="0.76704545454545459"/>
  </r>
  <r>
    <x v="355"/>
    <n v="0"/>
    <n v="568"/>
    <n v="0"/>
    <n v="108"/>
    <n v="1"/>
    <n v="513"/>
    <n v="0"/>
    <n v="48"/>
    <x v="0"/>
    <x v="51"/>
    <n v="0.19014084507042253"/>
    <n v="9.3567251461988299E-2"/>
    <n v="460"/>
    <n v="465"/>
    <n v="15"/>
    <n v="0.80681818181818177"/>
    <n v="0.15340909090909091"/>
    <n v="0.72869318181818177"/>
    <n v="6.8181818181818177E-2"/>
    <n v="0.76775568181818177"/>
  </r>
  <r>
    <x v="356"/>
    <n v="0"/>
    <n v="568"/>
    <n v="0"/>
    <n v="108"/>
    <n v="4"/>
    <n v="517"/>
    <n v="0"/>
    <n v="48"/>
    <x v="0"/>
    <x v="52"/>
    <n v="0.19014084507042253"/>
    <n v="9.2843326885880081E-2"/>
    <n v="460"/>
    <n v="469"/>
    <n v="15"/>
    <n v="0.80681818181818177"/>
    <n v="0.15340909090909091"/>
    <n v="0.734375"/>
    <n v="6.8181818181818177E-2"/>
    <n v="0.77059659090909083"/>
  </r>
  <r>
    <x v="357"/>
    <n v="3"/>
    <n v="571"/>
    <n v="0"/>
    <n v="108"/>
    <n v="2"/>
    <n v="519"/>
    <n v="0"/>
    <n v="48"/>
    <x v="0"/>
    <x v="52"/>
    <n v="0.18914185639229422"/>
    <n v="9.2485549132947972E-2"/>
    <n v="463"/>
    <n v="471"/>
    <n v="15"/>
    <n v="0.81107954545454541"/>
    <n v="0.15340909090909091"/>
    <n v="0.73721590909090906"/>
    <n v="6.8181818181818177E-2"/>
    <n v="0.77414772727272729"/>
  </r>
  <r>
    <x v="358"/>
    <n v="3"/>
    <n v="574"/>
    <n v="0"/>
    <n v="108"/>
    <n v="1"/>
    <n v="520"/>
    <n v="0"/>
    <n v="48"/>
    <x v="0"/>
    <x v="52"/>
    <n v="0.18815331010452963"/>
    <n v="9.2307692307692313E-2"/>
    <n v="466"/>
    <n v="472"/>
    <n v="15"/>
    <n v="0.81534090909090906"/>
    <n v="0.15340909090909091"/>
    <n v="0.73863636363636365"/>
    <n v="6.8181818181818177E-2"/>
    <n v="0.77698863636363635"/>
  </r>
  <r>
    <x v="359"/>
    <n v="3"/>
    <n v="577"/>
    <n v="0"/>
    <n v="108"/>
    <n v="3"/>
    <n v="523"/>
    <n v="0"/>
    <n v="48"/>
    <x v="0"/>
    <x v="52"/>
    <n v="0.18717504332755633"/>
    <n v="9.1778202676864248E-2"/>
    <n v="469"/>
    <n v="475"/>
    <n v="15"/>
    <n v="0.81960227272727271"/>
    <n v="0.15340909090909091"/>
    <n v="0.74289772727272729"/>
    <n v="6.8181818181818177E-2"/>
    <n v="0.78125"/>
  </r>
  <r>
    <x v="360"/>
    <n v="3"/>
    <n v="580"/>
    <n v="0"/>
    <n v="108"/>
    <n v="3"/>
    <n v="526"/>
    <n v="0"/>
    <n v="48"/>
    <x v="0"/>
    <x v="52"/>
    <n v="0.18620689655172415"/>
    <n v="9.125475285171103E-2"/>
    <n v="472"/>
    <n v="478"/>
    <n v="15"/>
    <n v="0.82386363636363635"/>
    <n v="0.15340909090909091"/>
    <n v="0.74715909090909094"/>
    <n v="6.8181818181818177E-2"/>
    <n v="0.78551136363636365"/>
  </r>
  <r>
    <x v="361"/>
    <n v="3"/>
    <n v="583"/>
    <n v="0"/>
    <n v="108"/>
    <n v="1"/>
    <n v="527"/>
    <n v="0"/>
    <n v="48"/>
    <x v="0"/>
    <x v="52"/>
    <n v="0.18524871355060035"/>
    <n v="9.1081593927893736E-2"/>
    <n v="475"/>
    <n v="479"/>
    <n v="15"/>
    <n v="0.828125"/>
    <n v="0.15340909090909091"/>
    <n v="0.74857954545454541"/>
    <n v="6.8181818181818177E-2"/>
    <n v="0.78835227272727271"/>
  </r>
  <r>
    <x v="362"/>
    <n v="0"/>
    <n v="583"/>
    <n v="0"/>
    <n v="108"/>
    <n v="2"/>
    <n v="529"/>
    <n v="0"/>
    <n v="48"/>
    <x v="0"/>
    <x v="52"/>
    <n v="0.18524871355060035"/>
    <n v="9.0737240075614373E-2"/>
    <n v="475"/>
    <n v="481"/>
    <n v="15"/>
    <n v="0.828125"/>
    <n v="0.15340909090909091"/>
    <n v="0.75142045454545459"/>
    <n v="6.8181818181818177E-2"/>
    <n v="0.78977272727272729"/>
  </r>
  <r>
    <x v="363"/>
    <n v="0"/>
    <n v="583"/>
    <n v="0"/>
    <n v="108"/>
    <n v="4"/>
    <n v="533"/>
    <n v="0"/>
    <n v="48"/>
    <x v="0"/>
    <x v="0"/>
    <n v="0.18524871355060035"/>
    <n v="9.0056285178236398E-2"/>
    <n v="475"/>
    <n v="485"/>
    <n v="15"/>
    <n v="0.828125"/>
    <n v="0.15340909090909091"/>
    <n v="0.75710227272727271"/>
    <n v="6.8181818181818177E-2"/>
    <n v="0.79261363636363635"/>
  </r>
  <r>
    <x v="364"/>
    <n v="3"/>
    <n v="586"/>
    <n v="0"/>
    <n v="108"/>
    <n v="1"/>
    <n v="534"/>
    <n v="0"/>
    <n v="48"/>
    <x v="0"/>
    <x v="0"/>
    <n v="0.18430034129692832"/>
    <n v="8.98876404494382E-2"/>
    <n v="478"/>
    <n v="486"/>
    <n v="15"/>
    <n v="0.83238636363636365"/>
    <n v="0.15340909090909091"/>
    <n v="0.75852272727272729"/>
    <n v="6.8181818181818177E-2"/>
    <n v="0.79545454545454541"/>
  </r>
  <r>
    <x v="365"/>
    <n v="3"/>
    <n v="589"/>
    <n v="0"/>
    <n v="108"/>
    <n v="1"/>
    <n v="535"/>
    <n v="0"/>
    <n v="48"/>
    <x v="0"/>
    <x v="0"/>
    <n v="0.18336162988115451"/>
    <n v="8.9719626168224292E-2"/>
    <n v="481"/>
    <n v="487"/>
    <n v="15"/>
    <n v="0.83664772727272729"/>
    <n v="0.15340909090909091"/>
    <n v="0.75994318181818177"/>
    <n v="6.8181818181818177E-2"/>
    <n v="0.79829545454545459"/>
  </r>
  <r>
    <x v="366"/>
    <n v="3"/>
    <n v="592"/>
    <n v="0"/>
    <n v="108"/>
    <n v="3"/>
    <n v="538"/>
    <n v="0"/>
    <n v="48"/>
    <x v="0"/>
    <x v="0"/>
    <n v="0.18243243243243243"/>
    <n v="8.9219330855018583E-2"/>
    <n v="484"/>
    <n v="490"/>
    <n v="15"/>
    <n v="0.84090909090909094"/>
    <n v="0.15340909090909091"/>
    <n v="0.76420454545454541"/>
    <n v="6.8181818181818177E-2"/>
    <n v="0.80255681818181812"/>
  </r>
  <r>
    <x v="367"/>
    <n v="3"/>
    <n v="595"/>
    <n v="0"/>
    <n v="108"/>
    <n v="3"/>
    <n v="541"/>
    <n v="0"/>
    <n v="48"/>
    <x v="0"/>
    <x v="0"/>
    <n v="0.1815126050420168"/>
    <n v="8.8724584103512014E-2"/>
    <n v="487"/>
    <n v="493"/>
    <n v="15"/>
    <n v="0.84517045454545459"/>
    <n v="0.15340909090909091"/>
    <n v="0.76846590909090906"/>
    <n v="6.8181818181818177E-2"/>
    <n v="0.80681818181818188"/>
  </r>
  <r>
    <x v="368"/>
    <n v="3"/>
    <n v="598"/>
    <n v="0"/>
    <n v="108"/>
    <n v="2"/>
    <n v="543"/>
    <n v="0"/>
    <n v="48"/>
    <x v="0"/>
    <x v="0"/>
    <n v="0.1806020066889632"/>
    <n v="8.8397790055248615E-2"/>
    <n v="490"/>
    <n v="495"/>
    <n v="15"/>
    <n v="0.84943181818181823"/>
    <n v="0.15340909090909091"/>
    <n v="0.77130681818181823"/>
    <n v="6.8181818181818177E-2"/>
    <n v="0.81036931818181823"/>
  </r>
  <r>
    <x v="369"/>
    <n v="0"/>
    <n v="598"/>
    <n v="0"/>
    <n v="108"/>
    <n v="2"/>
    <n v="545"/>
    <n v="0"/>
    <n v="48"/>
    <x v="0"/>
    <x v="0"/>
    <n v="0.1806020066889632"/>
    <n v="8.8073394495412849E-2"/>
    <n v="490"/>
    <n v="497"/>
    <n v="15"/>
    <n v="0.84943181818181823"/>
    <n v="0.15340909090909091"/>
    <n v="0.77414772727272729"/>
    <n v="6.8181818181818177E-2"/>
    <n v="0.81178977272727271"/>
  </r>
  <r>
    <x v="370"/>
    <n v="0"/>
    <n v="598"/>
    <n v="0"/>
    <n v="108"/>
    <n v="2"/>
    <n v="547"/>
    <n v="0"/>
    <n v="48"/>
    <x v="0"/>
    <x v="1"/>
    <n v="0.1806020066889632"/>
    <n v="8.7751371115173671E-2"/>
    <n v="490"/>
    <n v="499"/>
    <n v="15"/>
    <n v="0.84943181818181823"/>
    <n v="0.15340909090909091"/>
    <n v="0.77698863636363635"/>
    <n v="6.8181818181818177E-2"/>
    <n v="0.81321022727272729"/>
  </r>
  <r>
    <x v="371"/>
    <n v="3"/>
    <n v="601"/>
    <n v="0"/>
    <n v="108"/>
    <n v="1"/>
    <n v="548"/>
    <n v="0"/>
    <n v="48"/>
    <x v="0"/>
    <x v="1"/>
    <n v="0.17970049916805325"/>
    <n v="8.7591240875912413E-2"/>
    <n v="493"/>
    <n v="500"/>
    <n v="15"/>
    <n v="0.85369318181818177"/>
    <n v="0.15340909090909091"/>
    <n v="0.77840909090909094"/>
    <n v="6.8181818181818177E-2"/>
    <n v="0.81605113636363635"/>
  </r>
  <r>
    <x v="372"/>
    <n v="3"/>
    <n v="604"/>
    <n v="0"/>
    <n v="108"/>
    <n v="2"/>
    <n v="550"/>
    <n v="0"/>
    <n v="48"/>
    <x v="0"/>
    <x v="1"/>
    <n v="0.17880794701986755"/>
    <n v="8.727272727272728E-2"/>
    <n v="496"/>
    <n v="502"/>
    <n v="15"/>
    <n v="0.85795454545454541"/>
    <n v="0.15340909090909091"/>
    <n v="0.78125"/>
    <n v="6.8181818181818177E-2"/>
    <n v="0.81960227272727271"/>
  </r>
  <r>
    <x v="373"/>
    <n v="3"/>
    <n v="607"/>
    <n v="0"/>
    <n v="108"/>
    <n v="3"/>
    <n v="553"/>
    <n v="0"/>
    <n v="48"/>
    <x v="0"/>
    <x v="1"/>
    <n v="0.17792421746293247"/>
    <n v="8.6799276672694395E-2"/>
    <n v="499"/>
    <n v="505"/>
    <n v="15"/>
    <n v="0.86221590909090906"/>
    <n v="0.15340909090909091"/>
    <n v="0.78551136363636365"/>
    <n v="6.8181818181818177E-2"/>
    <n v="0.82386363636363635"/>
  </r>
  <r>
    <x v="374"/>
    <n v="3"/>
    <n v="610"/>
    <n v="0"/>
    <n v="108"/>
    <n v="3"/>
    <n v="556"/>
    <n v="0"/>
    <n v="48"/>
    <x v="0"/>
    <x v="1"/>
    <n v="0.17704918032786884"/>
    <n v="8.6330935251798566E-2"/>
    <n v="502"/>
    <n v="508"/>
    <n v="15"/>
    <n v="0.86647727272727271"/>
    <n v="0.15340909090909091"/>
    <n v="0.78977272727272729"/>
    <n v="6.8181818181818177E-2"/>
    <n v="0.828125"/>
  </r>
  <r>
    <x v="375"/>
    <n v="3"/>
    <n v="613"/>
    <n v="0"/>
    <n v="108"/>
    <n v="2"/>
    <n v="558"/>
    <n v="0"/>
    <n v="48"/>
    <x v="0"/>
    <x v="1"/>
    <n v="0.17618270799347471"/>
    <n v="8.6021505376344093E-2"/>
    <n v="505"/>
    <n v="510"/>
    <n v="15"/>
    <n v="0.87073863636363635"/>
    <n v="0.15340909090909091"/>
    <n v="0.79261363636363635"/>
    <n v="6.8181818181818177E-2"/>
    <n v="0.83167613636363635"/>
  </r>
  <r>
    <x v="376"/>
    <n v="0"/>
    <n v="613"/>
    <n v="0"/>
    <n v="108"/>
    <n v="1"/>
    <n v="559"/>
    <n v="0"/>
    <n v="48"/>
    <x v="0"/>
    <x v="1"/>
    <n v="0.17618270799347471"/>
    <n v="8.5867620751341675E-2"/>
    <n v="505"/>
    <n v="511"/>
    <n v="15"/>
    <n v="0.87073863636363635"/>
    <n v="0.15340909090909091"/>
    <n v="0.79403409090909094"/>
    <n v="6.8181818181818177E-2"/>
    <n v="0.83238636363636365"/>
  </r>
  <r>
    <x v="377"/>
    <n v="0"/>
    <n v="613"/>
    <n v="0"/>
    <n v="108"/>
    <n v="2"/>
    <n v="561"/>
    <n v="0"/>
    <n v="48"/>
    <x v="0"/>
    <x v="2"/>
    <n v="0.17618270799347471"/>
    <n v="8.5561497326203204E-2"/>
    <n v="505"/>
    <n v="513"/>
    <n v="0"/>
    <n v="0.87073863636363635"/>
    <n v="0.15340909090909091"/>
    <n v="0.796875"/>
    <n v="6.8181818181818177E-2"/>
    <n v="0.83380681818181812"/>
  </r>
  <r>
    <x v="378"/>
    <n v="3"/>
    <n v="616"/>
    <n v="0"/>
    <n v="108"/>
    <n v="2"/>
    <n v="563"/>
    <n v="0"/>
    <n v="48"/>
    <x v="1"/>
    <x v="2"/>
    <n v="0.17532467532467533"/>
    <n v="8.5257548845470696E-2"/>
    <n v="508"/>
    <n v="515"/>
    <n v="15"/>
    <n v="0.875"/>
    <n v="0.15340909090909091"/>
    <n v="0.79971590909090906"/>
    <n v="6.8181818181818177E-2"/>
    <n v="0.83735795454545459"/>
  </r>
  <r>
    <x v="379"/>
    <n v="3"/>
    <n v="619"/>
    <n v="0"/>
    <n v="108"/>
    <n v="2"/>
    <n v="565"/>
    <n v="0"/>
    <n v="48"/>
    <x v="1"/>
    <x v="2"/>
    <n v="0.17447495961227788"/>
    <n v="8.4955752212389379E-2"/>
    <n v="511"/>
    <n v="517"/>
    <n v="15"/>
    <n v="0.87926136363636365"/>
    <n v="0.15340909090909091"/>
    <n v="0.80255681818181823"/>
    <n v="6.8181818181818177E-2"/>
    <n v="0.84090909090909094"/>
  </r>
  <r>
    <x v="380"/>
    <n v="3"/>
    <n v="622"/>
    <n v="0"/>
    <n v="108"/>
    <n v="3"/>
    <n v="568"/>
    <n v="0"/>
    <n v="48"/>
    <x v="1"/>
    <x v="2"/>
    <n v="0.17363344051446947"/>
    <n v="8.4507042253521125E-2"/>
    <n v="514"/>
    <n v="520"/>
    <n v="15"/>
    <n v="0.88352272727272729"/>
    <n v="0.15340909090909091"/>
    <n v="0.80681818181818177"/>
    <n v="6.8181818181818177E-2"/>
    <n v="0.84517045454545459"/>
  </r>
  <r>
    <x v="381"/>
    <n v="3"/>
    <n v="625"/>
    <n v="0"/>
    <n v="108"/>
    <n v="3"/>
    <n v="571"/>
    <n v="0"/>
    <n v="48"/>
    <x v="1"/>
    <x v="2"/>
    <n v="0.17280000000000001"/>
    <n v="8.4063047285464099E-2"/>
    <n v="517"/>
    <n v="523"/>
    <n v="15"/>
    <n v="0.88778409090909094"/>
    <n v="0.15340909090909091"/>
    <n v="0.81107954545454541"/>
    <n v="6.8181818181818177E-2"/>
    <n v="0.84943181818181812"/>
  </r>
  <r>
    <x v="382"/>
    <n v="3"/>
    <n v="628"/>
    <n v="0"/>
    <n v="108"/>
    <n v="1"/>
    <n v="572"/>
    <n v="0"/>
    <n v="48"/>
    <x v="1"/>
    <x v="2"/>
    <n v="0.17197452229299362"/>
    <n v="8.3916083916083919E-2"/>
    <n v="520"/>
    <n v="524"/>
    <n v="15"/>
    <n v="0.89204545454545459"/>
    <n v="0.15340909090909091"/>
    <n v="0.8125"/>
    <n v="6.8181818181818177E-2"/>
    <n v="0.85227272727272729"/>
  </r>
  <r>
    <x v="383"/>
    <n v="0"/>
    <n v="628"/>
    <n v="0"/>
    <n v="108"/>
    <n v="1"/>
    <n v="573"/>
    <n v="0"/>
    <n v="48"/>
    <x v="1"/>
    <x v="2"/>
    <n v="0.17197452229299362"/>
    <n v="8.3769633507853408E-2"/>
    <n v="520"/>
    <n v="525"/>
    <n v="15"/>
    <n v="0.89204545454545459"/>
    <n v="0.15340909090909091"/>
    <n v="0.81392045454545459"/>
    <n v="6.8181818181818177E-2"/>
    <n v="0.85298295454545459"/>
  </r>
  <r>
    <x v="384"/>
    <n v="0"/>
    <n v="628"/>
    <n v="0"/>
    <n v="108"/>
    <n v="4"/>
    <n v="577"/>
    <n v="0"/>
    <n v="48"/>
    <x v="1"/>
    <x v="3"/>
    <n v="0.17197452229299362"/>
    <n v="8.3188908145580595E-2"/>
    <n v="520"/>
    <n v="529"/>
    <n v="15"/>
    <n v="0.89204545454545459"/>
    <n v="0.15340909090909091"/>
    <n v="0.81960227272727271"/>
    <n v="6.8181818181818177E-2"/>
    <n v="0.85582386363636365"/>
  </r>
  <r>
    <x v="385"/>
    <n v="3"/>
    <n v="631"/>
    <n v="0"/>
    <n v="108"/>
    <n v="2"/>
    <n v="579"/>
    <n v="0"/>
    <n v="48"/>
    <x v="1"/>
    <x v="3"/>
    <n v="0.17115689381933438"/>
    <n v="8.2901554404145081E-2"/>
    <n v="523"/>
    <n v="531"/>
    <n v="15"/>
    <n v="0.89630681818181823"/>
    <n v="0.15340909090909091"/>
    <n v="0.82244318181818177"/>
    <n v="6.8181818181818177E-2"/>
    <n v="0.859375"/>
  </r>
  <r>
    <x v="386"/>
    <n v="3"/>
    <n v="634"/>
    <n v="0"/>
    <n v="108"/>
    <n v="1"/>
    <n v="580"/>
    <n v="0"/>
    <n v="48"/>
    <x v="1"/>
    <x v="3"/>
    <n v="0.17034700315457413"/>
    <n v="8.2758620689655171E-2"/>
    <n v="526"/>
    <n v="532"/>
    <n v="15"/>
    <n v="0.90056818181818177"/>
    <n v="0.15340909090909091"/>
    <n v="0.82386363636363635"/>
    <n v="6.8181818181818177E-2"/>
    <n v="0.86221590909090906"/>
  </r>
  <r>
    <x v="387"/>
    <n v="3"/>
    <n v="637"/>
    <n v="0"/>
    <n v="108"/>
    <n v="3"/>
    <n v="583"/>
    <n v="0"/>
    <n v="48"/>
    <x v="1"/>
    <x v="3"/>
    <n v="0.1695447409733124"/>
    <n v="8.2332761578044603E-2"/>
    <n v="529"/>
    <n v="535"/>
    <n v="15"/>
    <n v="0.90482954545454541"/>
    <n v="0.15340909090909091"/>
    <n v="0.828125"/>
    <n v="6.8181818181818177E-2"/>
    <n v="0.86647727272727271"/>
  </r>
  <r>
    <x v="388"/>
    <n v="3"/>
    <n v="640"/>
    <n v="0"/>
    <n v="108"/>
    <n v="3"/>
    <n v="586"/>
    <n v="0"/>
    <n v="48"/>
    <x v="1"/>
    <x v="3"/>
    <n v="0.16875000000000001"/>
    <n v="8.191126279863481E-2"/>
    <n v="532"/>
    <n v="538"/>
    <n v="15"/>
    <n v="0.90909090909090906"/>
    <n v="0.15340909090909091"/>
    <n v="0.83238636363636365"/>
    <n v="6.8181818181818177E-2"/>
    <n v="0.87073863636363635"/>
  </r>
  <r>
    <x v="389"/>
    <n v="3"/>
    <n v="643"/>
    <n v="0"/>
    <n v="108"/>
    <n v="1"/>
    <n v="587"/>
    <n v="0"/>
    <n v="48"/>
    <x v="1"/>
    <x v="3"/>
    <n v="0.16796267496111975"/>
    <n v="8.1771720613287899E-2"/>
    <n v="535"/>
    <n v="539"/>
    <n v="15"/>
    <n v="0.91335227272727271"/>
    <n v="0.15340909090909091"/>
    <n v="0.83380681818181823"/>
    <n v="6.8181818181818177E-2"/>
    <n v="0.87357954545454541"/>
  </r>
  <r>
    <x v="390"/>
    <n v="0"/>
    <n v="643"/>
    <n v="0"/>
    <n v="108"/>
    <n v="2"/>
    <n v="589"/>
    <n v="0"/>
    <n v="48"/>
    <x v="1"/>
    <x v="3"/>
    <n v="0.16796267496111975"/>
    <n v="8.1494057724957561E-2"/>
    <n v="535"/>
    <n v="541"/>
    <n v="15"/>
    <n v="0.91335227272727271"/>
    <n v="0.15340909090909091"/>
    <n v="0.83664772727272729"/>
    <n v="6.8181818181818177E-2"/>
    <n v="0.875"/>
  </r>
  <r>
    <x v="391"/>
    <n v="0"/>
    <n v="643"/>
    <n v="0"/>
    <n v="108"/>
    <n v="4"/>
    <n v="593"/>
    <n v="0"/>
    <n v="48"/>
    <x v="1"/>
    <x v="4"/>
    <n v="0.16796267496111975"/>
    <n v="8.0944350758853284E-2"/>
    <n v="535"/>
    <n v="545"/>
    <n v="15"/>
    <n v="0.91335227272727271"/>
    <n v="0.15340909090909091"/>
    <n v="0.84232954545454541"/>
    <n v="6.8181818181818177E-2"/>
    <n v="0.87784090909090906"/>
  </r>
  <r>
    <x v="392"/>
    <n v="3"/>
    <n v="646"/>
    <n v="0"/>
    <n v="108"/>
    <n v="1"/>
    <n v="594"/>
    <n v="0"/>
    <n v="48"/>
    <x v="1"/>
    <x v="4"/>
    <n v="0.16718266253869968"/>
    <n v="8.0808080808080815E-2"/>
    <n v="538"/>
    <n v="546"/>
    <n v="15"/>
    <n v="0.91761363636363635"/>
    <n v="0.15340909090909091"/>
    <n v="0.84375"/>
    <n v="6.8181818181818177E-2"/>
    <n v="0.88068181818181812"/>
  </r>
  <r>
    <x v="393"/>
    <n v="3"/>
    <n v="649"/>
    <n v="0"/>
    <n v="108"/>
    <n v="1"/>
    <n v="595"/>
    <n v="0"/>
    <n v="48"/>
    <x v="1"/>
    <x v="4"/>
    <n v="0.16640986132511557"/>
    <n v="8.067226890756303E-2"/>
    <n v="541"/>
    <n v="547"/>
    <n v="15"/>
    <n v="0.921875"/>
    <n v="0.15340909090909091"/>
    <n v="0.84517045454545459"/>
    <n v="6.8181818181818177E-2"/>
    <n v="0.88352272727272729"/>
  </r>
  <r>
    <x v="394"/>
    <n v="3"/>
    <n v="652"/>
    <n v="0"/>
    <n v="108"/>
    <n v="3"/>
    <n v="598"/>
    <n v="0"/>
    <n v="48"/>
    <x v="1"/>
    <x v="4"/>
    <n v="0.16564417177914109"/>
    <n v="8.0267558528428096E-2"/>
    <n v="544"/>
    <n v="550"/>
    <n v="15"/>
    <n v="0.92613636363636365"/>
    <n v="0.15340909090909091"/>
    <n v="0.84943181818181823"/>
    <n v="6.8181818181818177E-2"/>
    <n v="0.88778409090909094"/>
  </r>
  <r>
    <x v="395"/>
    <n v="3"/>
    <n v="655"/>
    <n v="0"/>
    <n v="108"/>
    <n v="3"/>
    <n v="601"/>
    <n v="0"/>
    <n v="48"/>
    <x v="1"/>
    <x v="4"/>
    <n v="0.16488549618320611"/>
    <n v="7.9866888519134774E-2"/>
    <n v="547"/>
    <n v="553"/>
    <n v="15"/>
    <n v="0.93039772727272729"/>
    <n v="0.15340909090909091"/>
    <n v="0.85369318181818177"/>
    <n v="6.8181818181818177E-2"/>
    <n v="0.89204545454545459"/>
  </r>
  <r>
    <x v="396"/>
    <n v="3"/>
    <n v="658"/>
    <n v="0"/>
    <n v="108"/>
    <n v="2"/>
    <n v="603"/>
    <n v="0"/>
    <n v="48"/>
    <x v="1"/>
    <x v="4"/>
    <n v="0.1641337386018237"/>
    <n v="7.9601990049751242E-2"/>
    <n v="550"/>
    <n v="555"/>
    <n v="15"/>
    <n v="0.93465909090909094"/>
    <n v="0.15340909090909091"/>
    <n v="0.85653409090909094"/>
    <n v="6.8181818181818177E-2"/>
    <n v="0.89559659090909094"/>
  </r>
  <r>
    <x v="397"/>
    <n v="0"/>
    <n v="658"/>
    <n v="0"/>
    <n v="108"/>
    <n v="2"/>
    <n v="605"/>
    <n v="0"/>
    <n v="48"/>
    <x v="1"/>
    <x v="4"/>
    <n v="0.1641337386018237"/>
    <n v="7.9338842975206617E-2"/>
    <n v="550"/>
    <n v="557"/>
    <n v="15"/>
    <n v="0.93465909090909094"/>
    <n v="0.15340909090909091"/>
    <n v="0.859375"/>
    <n v="6.8181818181818177E-2"/>
    <n v="0.89701704545454541"/>
  </r>
  <r>
    <x v="398"/>
    <n v="0"/>
    <n v="658"/>
    <n v="0"/>
    <n v="108"/>
    <n v="2"/>
    <n v="607"/>
    <n v="0"/>
    <n v="48"/>
    <x v="1"/>
    <x v="5"/>
    <n v="0.1641337386018237"/>
    <n v="7.907742998352553E-2"/>
    <n v="550"/>
    <n v="559"/>
    <n v="15"/>
    <n v="0.93465909090909094"/>
    <n v="0.15340909090909091"/>
    <n v="0.86221590909090906"/>
    <n v="6.8181818181818177E-2"/>
    <n v="0.8984375"/>
  </r>
  <r>
    <x v="399"/>
    <n v="3"/>
    <n v="661"/>
    <n v="0"/>
    <n v="108"/>
    <n v="1"/>
    <n v="608"/>
    <n v="0"/>
    <n v="48"/>
    <x v="1"/>
    <x v="5"/>
    <n v="0.16338880484114976"/>
    <n v="7.8947368421052627E-2"/>
    <n v="553"/>
    <n v="560"/>
    <n v="15"/>
    <n v="0.93892045454545459"/>
    <n v="0.15340909090909091"/>
    <n v="0.86363636363636365"/>
    <n v="6.8181818181818177E-2"/>
    <n v="0.90127840909090917"/>
  </r>
  <r>
    <x v="400"/>
    <n v="3"/>
    <n v="664"/>
    <n v="0"/>
    <n v="108"/>
    <n v="2"/>
    <n v="610"/>
    <n v="0"/>
    <n v="48"/>
    <x v="1"/>
    <x v="5"/>
    <n v="0.16265060240963855"/>
    <n v="7.8688524590163941E-2"/>
    <n v="556"/>
    <n v="562"/>
    <n v="15"/>
    <n v="0.94318181818181823"/>
    <n v="0.15340909090909091"/>
    <n v="0.86647727272727271"/>
    <n v="6.8181818181818177E-2"/>
    <n v="0.90482954545454541"/>
  </r>
  <r>
    <x v="401"/>
    <n v="3"/>
    <n v="667"/>
    <n v="0"/>
    <n v="108"/>
    <n v="3"/>
    <n v="613"/>
    <n v="0"/>
    <n v="48"/>
    <x v="1"/>
    <x v="5"/>
    <n v="0.16191904047976011"/>
    <n v="7.8303425774877644E-2"/>
    <n v="559"/>
    <n v="565"/>
    <n v="15"/>
    <n v="0.94744318181818177"/>
    <n v="0.15340909090909091"/>
    <n v="0.87073863636363635"/>
    <n v="6.8181818181818177E-2"/>
    <n v="0.90909090909090906"/>
  </r>
  <r>
    <x v="402"/>
    <n v="3"/>
    <n v="670"/>
    <n v="0"/>
    <n v="108"/>
    <n v="3"/>
    <n v="616"/>
    <n v="0"/>
    <n v="48"/>
    <x v="1"/>
    <x v="5"/>
    <n v="0.16119402985074627"/>
    <n v="7.792207792207792E-2"/>
    <n v="562"/>
    <n v="568"/>
    <n v="15"/>
    <n v="0.95170454545454541"/>
    <n v="0.15340909090909091"/>
    <n v="0.875"/>
    <n v="6.8181818181818177E-2"/>
    <n v="0.91335227272727271"/>
  </r>
  <r>
    <x v="403"/>
    <n v="3"/>
    <n v="673"/>
    <n v="0"/>
    <n v="108"/>
    <n v="2"/>
    <n v="618"/>
    <n v="0"/>
    <n v="48"/>
    <x v="1"/>
    <x v="5"/>
    <n v="0.16047548291233285"/>
    <n v="7.7669902912621352E-2"/>
    <n v="565"/>
    <n v="570"/>
    <n v="15"/>
    <n v="0.95596590909090906"/>
    <n v="0.15340909090909091"/>
    <n v="0.87784090909090906"/>
    <n v="6.8181818181818177E-2"/>
    <n v="0.91690340909090906"/>
  </r>
  <r>
    <x v="404"/>
    <n v="0"/>
    <n v="673"/>
    <n v="0"/>
    <n v="108"/>
    <n v="1"/>
    <n v="619"/>
    <n v="0"/>
    <n v="48"/>
    <x v="1"/>
    <x v="5"/>
    <n v="0.16047548291233285"/>
    <n v="7.7544426494345717E-2"/>
    <n v="565"/>
    <n v="571"/>
    <n v="15"/>
    <n v="0.95596590909090906"/>
    <n v="0.15340909090909091"/>
    <n v="0.87926136363636365"/>
    <n v="6.8181818181818177E-2"/>
    <n v="0.91761363636363635"/>
  </r>
  <r>
    <x v="405"/>
    <n v="0"/>
    <n v="673"/>
    <n v="0"/>
    <n v="108"/>
    <n v="2"/>
    <n v="621"/>
    <n v="0"/>
    <n v="48"/>
    <x v="1"/>
    <x v="6"/>
    <n v="0.16047548291233285"/>
    <n v="7.7294685990338161E-2"/>
    <n v="565"/>
    <n v="573"/>
    <n v="9"/>
    <n v="0.95596590909090906"/>
    <n v="0.15340909090909091"/>
    <n v="0.88210227272727271"/>
    <n v="6.8181818181818177E-2"/>
    <n v="0.91903409090909083"/>
  </r>
  <r>
    <x v="406"/>
    <n v="3"/>
    <n v="676"/>
    <n v="0"/>
    <n v="108"/>
    <n v="2"/>
    <n v="623"/>
    <n v="0"/>
    <n v="48"/>
    <x v="1"/>
    <x v="6"/>
    <n v="0.15976331360946747"/>
    <n v="7.7046548956661312E-2"/>
    <n v="568"/>
    <n v="575"/>
    <n v="9"/>
    <n v="0.96022727272727271"/>
    <n v="0.15340909090909091"/>
    <n v="0.88494318181818177"/>
    <n v="6.8181818181818177E-2"/>
    <n v="0.92258522727272729"/>
  </r>
  <r>
    <x v="407"/>
    <n v="3"/>
    <n v="679"/>
    <n v="0"/>
    <n v="108"/>
    <n v="2"/>
    <n v="625"/>
    <n v="0"/>
    <n v="48"/>
    <x v="1"/>
    <x v="6"/>
    <n v="0.15905743740795286"/>
    <n v="7.6799999999999993E-2"/>
    <n v="571"/>
    <n v="577"/>
    <n v="9"/>
    <n v="0.96448863636363635"/>
    <n v="0.15340909090909091"/>
    <n v="0.88778409090909094"/>
    <n v="6.8181818181818177E-2"/>
    <n v="0.92613636363636365"/>
  </r>
  <r>
    <x v="408"/>
    <n v="3"/>
    <n v="682"/>
    <n v="0"/>
    <n v="108"/>
    <n v="3"/>
    <n v="628"/>
    <n v="0"/>
    <n v="48"/>
    <x v="1"/>
    <x v="6"/>
    <n v="0.15835777126099707"/>
    <n v="7.6433121019108277E-2"/>
    <n v="574"/>
    <n v="580"/>
    <n v="9"/>
    <n v="0.96875"/>
    <n v="0.15340909090909091"/>
    <n v="0.89204545454545459"/>
    <n v="6.8181818181818177E-2"/>
    <n v="0.93039772727272729"/>
  </r>
  <r>
    <x v="409"/>
    <n v="3"/>
    <n v="685"/>
    <n v="0"/>
    <n v="108"/>
    <n v="3"/>
    <n v="631"/>
    <n v="0"/>
    <n v="48"/>
    <x v="2"/>
    <x v="6"/>
    <n v="0.15766423357664233"/>
    <n v="7.6069730586370843E-2"/>
    <n v="577"/>
    <n v="583"/>
    <n v="6"/>
    <n v="0.97301136363636365"/>
    <n v="0.15340909090909091"/>
    <n v="0.89630681818181823"/>
    <n v="6.8181818181818177E-2"/>
    <n v="0.93465909090909094"/>
  </r>
  <r>
    <x v="410"/>
    <n v="3"/>
    <n v="688"/>
    <n v="0"/>
    <n v="108"/>
    <n v="1"/>
    <n v="632"/>
    <n v="0"/>
    <n v="48"/>
    <x v="2"/>
    <x v="6"/>
    <n v="0.15697674418604651"/>
    <n v="7.5949367088607597E-2"/>
    <n v="580"/>
    <n v="584"/>
    <n v="6"/>
    <n v="0.97727272727272729"/>
    <n v="0.15340909090909091"/>
    <n v="0.89772727272727271"/>
    <n v="6.8181818181818177E-2"/>
    <n v="0.9375"/>
  </r>
  <r>
    <x v="411"/>
    <n v="0"/>
    <n v="688"/>
    <n v="0"/>
    <n v="108"/>
    <n v="1"/>
    <n v="633"/>
    <n v="0"/>
    <n v="48"/>
    <x v="2"/>
    <x v="6"/>
    <n v="0.15697674418604651"/>
    <n v="7.582938388625593E-2"/>
    <n v="580"/>
    <n v="585"/>
    <n v="6"/>
    <n v="0.97727272727272729"/>
    <n v="0.15340909090909091"/>
    <n v="0.89914772727272729"/>
    <n v="6.8181818181818177E-2"/>
    <n v="0.93821022727272729"/>
  </r>
  <r>
    <x v="412"/>
    <n v="0"/>
    <n v="688"/>
    <n v="0"/>
    <n v="108"/>
    <n v="4"/>
    <n v="637"/>
    <n v="0"/>
    <n v="48"/>
    <x v="2"/>
    <x v="7"/>
    <n v="0.15697674418604651"/>
    <n v="7.5353218210361061E-2"/>
    <n v="580"/>
    <n v="589"/>
    <n v="15"/>
    <n v="0.97727272727272729"/>
    <n v="0.15340909090909091"/>
    <n v="0.90482954545454541"/>
    <n v="6.8181818181818177E-2"/>
    <n v="0.94105113636363635"/>
  </r>
  <r>
    <x v="413"/>
    <n v="3"/>
    <n v="691"/>
    <n v="0"/>
    <n v="108"/>
    <n v="2"/>
    <n v="639"/>
    <n v="0"/>
    <n v="48"/>
    <x v="2"/>
    <x v="7"/>
    <n v="0.15629522431259044"/>
    <n v="7.5117370892018781E-2"/>
    <n v="583"/>
    <n v="591"/>
    <n v="15"/>
    <n v="0.98153409090909094"/>
    <n v="0.15340909090909091"/>
    <n v="0.90767045454545459"/>
    <n v="6.8181818181818177E-2"/>
    <n v="0.94460227272727271"/>
  </r>
  <r>
    <x v="414"/>
    <n v="3"/>
    <n v="694"/>
    <n v="0"/>
    <n v="108"/>
    <n v="1"/>
    <n v="640"/>
    <n v="0"/>
    <n v="48"/>
    <x v="2"/>
    <x v="7"/>
    <n v="0.15561959654178675"/>
    <n v="7.4999999999999997E-2"/>
    <n v="586"/>
    <n v="592"/>
    <n v="15"/>
    <n v="0.98579545454545459"/>
    <n v="0.15340909090909091"/>
    <n v="0.90909090909090906"/>
    <n v="6.8181818181818177E-2"/>
    <n v="0.94744318181818188"/>
  </r>
  <r>
    <x v="415"/>
    <n v="3"/>
    <n v="697"/>
    <n v="0"/>
    <n v="108"/>
    <n v="3"/>
    <n v="643"/>
    <n v="0"/>
    <n v="48"/>
    <x v="2"/>
    <x v="7"/>
    <n v="0.15494978479196556"/>
    <n v="7.4650077760497674E-2"/>
    <n v="589"/>
    <n v="595"/>
    <n v="15"/>
    <n v="0.99005681818181823"/>
    <n v="0.15340909090909091"/>
    <n v="0.91335227272727271"/>
    <n v="6.8181818181818177E-2"/>
    <n v="0.95170454545454541"/>
  </r>
  <r>
    <x v="416"/>
    <n v="3"/>
    <n v="700"/>
    <n v="0"/>
    <n v="108"/>
    <n v="3"/>
    <n v="646"/>
    <n v="0"/>
    <n v="48"/>
    <x v="2"/>
    <x v="7"/>
    <n v="0.15428571428571428"/>
    <n v="7.4303405572755415E-2"/>
    <n v="592"/>
    <n v="598"/>
    <n v="15"/>
    <n v="0.99431818181818177"/>
    <n v="0.15340909090909091"/>
    <n v="0.91761363636363635"/>
    <n v="6.8181818181818177E-2"/>
    <n v="0.95596590909090906"/>
  </r>
  <r>
    <x v="417"/>
    <n v="3"/>
    <n v="703"/>
    <n v="0"/>
    <n v="108"/>
    <n v="1"/>
    <n v="647"/>
    <n v="0"/>
    <n v="48"/>
    <x v="2"/>
    <x v="7"/>
    <n v="0.15362731152204837"/>
    <n v="7.4188562596599686E-2"/>
    <n v="595"/>
    <n v="599"/>
    <n v="15"/>
    <n v="0.99857954545454541"/>
    <n v="0.15340909090909091"/>
    <n v="0.91903409090909094"/>
    <n v="6.8181818181818177E-2"/>
    <n v="0.95880681818181812"/>
  </r>
  <r>
    <x v="418"/>
    <n v="0"/>
    <n v="703"/>
    <n v="0"/>
    <n v="108"/>
    <n v="2"/>
    <n v="649"/>
    <n v="0"/>
    <n v="48"/>
    <x v="2"/>
    <x v="7"/>
    <n v="0.15362731152204837"/>
    <n v="7.3959938366718034E-2"/>
    <n v="595"/>
    <n v="601"/>
    <n v="15"/>
    <n v="0.99857954545454541"/>
    <n v="0.15340909090909091"/>
    <n v="0.921875"/>
    <n v="6.8181818181818177E-2"/>
    <n v="0.96022727272727271"/>
  </r>
  <r>
    <x v="419"/>
    <n v="0"/>
    <n v="703"/>
    <n v="0"/>
    <n v="108"/>
    <n v="4"/>
    <n v="653"/>
    <n v="0"/>
    <n v="48"/>
    <x v="2"/>
    <x v="8"/>
    <n v="0.15362731152204837"/>
    <n v="7.3506891271056668E-2"/>
    <n v="595"/>
    <n v="605"/>
    <n v="1"/>
    <n v="0.99857954545454541"/>
    <n v="0.15340909090909091"/>
    <n v="0.92755681818181823"/>
    <n v="6.8181818181818177E-2"/>
    <n v="0.96306818181818188"/>
  </r>
  <r>
    <x v="420"/>
    <n v="1"/>
    <n v="704"/>
    <n v="0"/>
    <n v="108"/>
    <n v="1"/>
    <n v="654"/>
    <n v="0"/>
    <n v="48"/>
    <x v="2"/>
    <x v="8"/>
    <n v="0.15340909090909091"/>
    <n v="7.3394495412844041E-2"/>
    <n v="596"/>
    <n v="606"/>
    <n v="1"/>
    <n v="1"/>
    <n v="0.15340909090909091"/>
    <n v="0.92897727272727271"/>
    <n v="6.8181818181818177E-2"/>
    <n v="0.96448863636363635"/>
  </r>
  <r>
    <x v="421"/>
    <n v="0"/>
    <n v="704"/>
    <n v="0"/>
    <n v="108"/>
    <n v="1"/>
    <n v="655"/>
    <n v="0"/>
    <n v="48"/>
    <x v="2"/>
    <x v="8"/>
    <n v="0.15340909090909091"/>
    <n v="7.3282442748091606E-2"/>
    <n v="596"/>
    <n v="607"/>
    <n v="1"/>
    <n v="1"/>
    <n v="0.15340909090909091"/>
    <n v="0.93039772727272729"/>
    <n v="6.8181818181818177E-2"/>
    <n v="0.96519886363636365"/>
  </r>
  <r>
    <x v="422"/>
    <n v="0"/>
    <n v="704"/>
    <n v="0"/>
    <n v="108"/>
    <n v="3"/>
    <n v="658"/>
    <n v="0"/>
    <n v="48"/>
    <x v="2"/>
    <x v="8"/>
    <n v="0.15340909090909091"/>
    <n v="7.29483282674772E-2"/>
    <n v="596"/>
    <n v="610"/>
    <n v="1"/>
    <n v="1"/>
    <n v="0.15340909090909091"/>
    <n v="0.93465909090909094"/>
    <n v="6.8181818181818177E-2"/>
    <n v="0.96732954545454541"/>
  </r>
  <r>
    <x v="423"/>
    <n v="0"/>
    <n v="704"/>
    <n v="0"/>
    <n v="108"/>
    <n v="3"/>
    <n v="661"/>
    <n v="0"/>
    <n v="48"/>
    <x v="2"/>
    <x v="8"/>
    <n v="0.15340909090909091"/>
    <n v="7.2617246596066568E-2"/>
    <n v="596"/>
    <n v="613"/>
    <n v="1"/>
    <n v="1"/>
    <n v="0.15340909090909091"/>
    <n v="0.93892045454545459"/>
    <n v="6.8181818181818177E-2"/>
    <n v="0.96946022727272729"/>
  </r>
  <r>
    <x v="424"/>
    <n v="0"/>
    <n v="704"/>
    <n v="0"/>
    <n v="108"/>
    <n v="2"/>
    <n v="663"/>
    <n v="0"/>
    <n v="48"/>
    <x v="2"/>
    <x v="8"/>
    <n v="0.15340909090909091"/>
    <n v="7.2398190045248875E-2"/>
    <n v="596"/>
    <n v="615"/>
    <n v="1"/>
    <n v="1"/>
    <n v="0.15340909090909091"/>
    <n v="0.94176136363636365"/>
    <n v="6.8181818181818177E-2"/>
    <n v="0.97088068181818188"/>
  </r>
  <r>
    <x v="425"/>
    <n v="0"/>
    <n v="704"/>
    <n v="0"/>
    <n v="108"/>
    <n v="2"/>
    <n v="665"/>
    <n v="0"/>
    <n v="48"/>
    <x v="2"/>
    <x v="8"/>
    <n v="0.15340909090909091"/>
    <n v="7.2180451127819553E-2"/>
    <n v="596"/>
    <n v="617"/>
    <n v="1"/>
    <n v="1"/>
    <n v="0.15340909090909091"/>
    <n v="0.94460227272727271"/>
    <n v="6.8181818181818177E-2"/>
    <n v="0.97230113636363635"/>
  </r>
  <r>
    <x v="426"/>
    <n v="0"/>
    <n v="704"/>
    <n v="0"/>
    <n v="108"/>
    <n v="2"/>
    <n v="667"/>
    <n v="0"/>
    <n v="48"/>
    <x v="2"/>
    <x v="9"/>
    <n v="0.15340909090909091"/>
    <n v="7.1964017991004492E-2"/>
    <n v="596"/>
    <n v="619"/>
    <n v="0"/>
    <n v="1"/>
    <n v="0.15340909090909091"/>
    <n v="0.94744318181818177"/>
    <n v="6.8181818181818177E-2"/>
    <n v="0.97372159090909083"/>
  </r>
  <r>
    <x v="427"/>
    <n v="0"/>
    <n v="704"/>
    <n v="0"/>
    <n v="108"/>
    <n v="1"/>
    <n v="668"/>
    <n v="0"/>
    <n v="48"/>
    <x v="2"/>
    <x v="9"/>
    <n v="0.15340909090909091"/>
    <n v="7.1856287425149698E-2"/>
    <n v="596"/>
    <n v="620"/>
    <n v="0"/>
    <n v="1"/>
    <n v="0.15340909090909091"/>
    <n v="0.94886363636363635"/>
    <n v="6.8181818181818177E-2"/>
    <n v="0.97443181818181812"/>
  </r>
  <r>
    <x v="428"/>
    <n v="0"/>
    <n v="704"/>
    <n v="0"/>
    <n v="108"/>
    <n v="2"/>
    <n v="670"/>
    <n v="0"/>
    <n v="48"/>
    <x v="2"/>
    <x v="9"/>
    <n v="0.15340909090909091"/>
    <n v="7.1641791044776124E-2"/>
    <n v="596"/>
    <n v="622"/>
    <n v="0"/>
    <n v="1"/>
    <n v="0.15340909090909091"/>
    <n v="0.95170454545454541"/>
    <n v="6.8181818181818177E-2"/>
    <n v="0.97585227272727271"/>
  </r>
  <r>
    <x v="429"/>
    <n v="0"/>
    <n v="704"/>
    <n v="0"/>
    <n v="108"/>
    <n v="3"/>
    <n v="673"/>
    <n v="0"/>
    <n v="48"/>
    <x v="2"/>
    <x v="9"/>
    <n v="0.15340909090909091"/>
    <n v="7.1322436849925702E-2"/>
    <n v="596"/>
    <n v="625"/>
    <n v="0"/>
    <n v="1"/>
    <n v="0.15340909090909091"/>
    <n v="0.95596590909090906"/>
    <n v="6.8181818181818177E-2"/>
    <n v="0.97798295454545459"/>
  </r>
  <r>
    <x v="430"/>
    <n v="0"/>
    <n v="704"/>
    <n v="0"/>
    <n v="108"/>
    <n v="3"/>
    <n v="676"/>
    <n v="0"/>
    <n v="48"/>
    <x v="2"/>
    <x v="9"/>
    <n v="0.15340909090909091"/>
    <n v="7.1005917159763315E-2"/>
    <n v="596"/>
    <n v="628"/>
    <n v="0"/>
    <n v="1"/>
    <n v="0.15340909090909091"/>
    <n v="0.96022727272727271"/>
    <n v="6.8181818181818177E-2"/>
    <n v="0.98011363636363635"/>
  </r>
  <r>
    <x v="431"/>
    <n v="0"/>
    <n v="704"/>
    <n v="0"/>
    <n v="108"/>
    <n v="2"/>
    <n v="678"/>
    <n v="0"/>
    <n v="48"/>
    <x v="2"/>
    <x v="9"/>
    <n v="0.15340909090909091"/>
    <n v="7.0796460176991149E-2"/>
    <n v="596"/>
    <n v="630"/>
    <n v="0"/>
    <n v="1"/>
    <n v="0.15340909090909091"/>
    <n v="0.96306818181818177"/>
    <n v="6.8181818181818177E-2"/>
    <n v="0.98153409090909083"/>
  </r>
  <r>
    <x v="432"/>
    <n v="0"/>
    <n v="704"/>
    <n v="0"/>
    <n v="108"/>
    <n v="1"/>
    <n v="679"/>
    <n v="0"/>
    <n v="48"/>
    <x v="2"/>
    <x v="9"/>
    <n v="0.15340909090909091"/>
    <n v="7.0692194403534608E-2"/>
    <n v="596"/>
    <n v="631"/>
    <n v="0"/>
    <n v="1"/>
    <n v="0.15340909090909091"/>
    <n v="0.96448863636363635"/>
    <n v="6.8181818181818177E-2"/>
    <n v="0.98224431818181812"/>
  </r>
  <r>
    <x v="433"/>
    <n v="0"/>
    <n v="704"/>
    <n v="0"/>
    <n v="108"/>
    <n v="2"/>
    <n v="681"/>
    <n v="0"/>
    <n v="48"/>
    <x v="2"/>
    <x v="10"/>
    <n v="0.15340909090909091"/>
    <n v="7.0484581497797363E-2"/>
    <n v="596"/>
    <n v="633"/>
    <n v="0"/>
    <n v="1"/>
    <n v="0.15340909090909091"/>
    <n v="0.96732954545454541"/>
    <n v="6.8181818181818177E-2"/>
    <n v="0.98366477272727271"/>
  </r>
  <r>
    <x v="434"/>
    <n v="0"/>
    <n v="704"/>
    <n v="0"/>
    <n v="108"/>
    <n v="2"/>
    <n v="683"/>
    <n v="0"/>
    <n v="48"/>
    <x v="2"/>
    <x v="10"/>
    <n v="0.15340909090909091"/>
    <n v="7.0278184480234263E-2"/>
    <n v="596"/>
    <n v="635"/>
    <n v="0"/>
    <n v="1"/>
    <n v="0.15340909090909091"/>
    <n v="0.97017045454545459"/>
    <n v="6.8181818181818177E-2"/>
    <n v="0.98508522727272729"/>
  </r>
  <r>
    <x v="435"/>
    <n v="0"/>
    <n v="704"/>
    <n v="0"/>
    <n v="108"/>
    <n v="2"/>
    <n v="685"/>
    <n v="0"/>
    <n v="48"/>
    <x v="2"/>
    <x v="10"/>
    <n v="0.15340909090909091"/>
    <n v="7.0072992700729933E-2"/>
    <n v="596"/>
    <n v="637"/>
    <n v="0"/>
    <n v="1"/>
    <n v="0.15340909090909091"/>
    <n v="0.97301136363636365"/>
    <n v="6.8181818181818177E-2"/>
    <n v="0.98650568181818188"/>
  </r>
  <r>
    <x v="436"/>
    <n v="0"/>
    <n v="704"/>
    <n v="0"/>
    <n v="108"/>
    <n v="3"/>
    <n v="688"/>
    <n v="0"/>
    <n v="48"/>
    <x v="2"/>
    <x v="10"/>
    <n v="0.15340909090909091"/>
    <n v="6.9767441860465115E-2"/>
    <n v="596"/>
    <n v="640"/>
    <n v="0"/>
    <n v="1"/>
    <n v="0.15340909090909091"/>
    <n v="0.97727272727272729"/>
    <n v="6.8181818181818177E-2"/>
    <n v="0.98863636363636365"/>
  </r>
  <r>
    <x v="437"/>
    <n v="0"/>
    <n v="704"/>
    <n v="0"/>
    <n v="108"/>
    <n v="3"/>
    <n v="691"/>
    <n v="0"/>
    <n v="48"/>
    <x v="2"/>
    <x v="10"/>
    <n v="0.15340909090909091"/>
    <n v="6.9464544138929094E-2"/>
    <n v="596"/>
    <n v="643"/>
    <n v="0"/>
    <n v="1"/>
    <n v="0.15340909090909091"/>
    <n v="0.98153409090909094"/>
    <n v="6.8181818181818177E-2"/>
    <n v="0.99076704545454541"/>
  </r>
  <r>
    <x v="438"/>
    <n v="0"/>
    <n v="704"/>
    <n v="0"/>
    <n v="108"/>
    <n v="1"/>
    <n v="692"/>
    <n v="0"/>
    <n v="48"/>
    <x v="2"/>
    <x v="10"/>
    <n v="0.15340909090909091"/>
    <n v="6.9364161849710976E-2"/>
    <n v="596"/>
    <n v="644"/>
    <n v="0"/>
    <n v="1"/>
    <n v="0.15340909090909091"/>
    <n v="0.98295454545454541"/>
    <n v="6.8181818181818177E-2"/>
    <n v="0.99147727272727271"/>
  </r>
  <r>
    <x v="439"/>
    <n v="0"/>
    <n v="704"/>
    <n v="0"/>
    <n v="108"/>
    <n v="1"/>
    <n v="693"/>
    <n v="0"/>
    <n v="48"/>
    <x v="3"/>
    <x v="10"/>
    <n v="0.15340909090909091"/>
    <n v="6.9264069264069264E-2"/>
    <n v="596"/>
    <n v="645"/>
    <n v="0"/>
    <n v="1"/>
    <n v="0.15340909090909091"/>
    <n v="0.984375"/>
    <n v="6.8181818181818177E-2"/>
    <n v="0.9921875"/>
  </r>
  <r>
    <x v="440"/>
    <n v="0"/>
    <n v="704"/>
    <n v="0"/>
    <n v="108"/>
    <n v="3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1"/>
    <n v="0"/>
    <n v="704"/>
    <n v="0"/>
    <n v="108"/>
    <n v="0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2"/>
    <n v="0"/>
    <n v="704"/>
    <n v="0"/>
    <n v="108"/>
    <n v="0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3"/>
    <n v="0"/>
    <n v="704"/>
    <n v="0"/>
    <n v="108"/>
    <n v="2"/>
    <n v="698"/>
    <n v="0"/>
    <n v="48"/>
    <x v="3"/>
    <x v="11"/>
    <n v="0.15340909090909091"/>
    <n v="6.8767908309455589E-2"/>
    <n v="596"/>
    <n v="650"/>
    <n v="0"/>
    <n v="1"/>
    <n v="0.15340909090909091"/>
    <n v="0.99147727272727271"/>
    <n v="6.8181818181818177E-2"/>
    <n v="0.99573863636363635"/>
  </r>
  <r>
    <x v="444"/>
    <n v="0"/>
    <n v="704"/>
    <n v="0"/>
    <n v="108"/>
    <n v="1"/>
    <n v="699"/>
    <n v="0"/>
    <n v="48"/>
    <x v="3"/>
    <x v="11"/>
    <n v="0.15340909090909091"/>
    <n v="6.8669527896995708E-2"/>
    <n v="596"/>
    <n v="651"/>
    <n v="0"/>
    <n v="1"/>
    <n v="0.15340909090909091"/>
    <n v="0.99289772727272729"/>
    <n v="6.8181818181818177E-2"/>
    <n v="0.99644886363636365"/>
  </r>
  <r>
    <x v="445"/>
    <n v="0"/>
    <n v="704"/>
    <n v="0"/>
    <n v="108"/>
    <n v="1"/>
    <n v="700"/>
    <n v="0"/>
    <n v="48"/>
    <x v="3"/>
    <x v="11"/>
    <n v="0.15340909090909091"/>
    <n v="6.8571428571428575E-2"/>
    <n v="596"/>
    <n v="652"/>
    <n v="0"/>
    <n v="1"/>
    <n v="0.15340909090909091"/>
    <n v="0.99431818181818177"/>
    <n v="6.8181818181818177E-2"/>
    <n v="0.99715909090909083"/>
  </r>
  <r>
    <x v="446"/>
    <n v="0"/>
    <n v="704"/>
    <n v="0"/>
    <n v="108"/>
    <n v="2"/>
    <n v="702"/>
    <n v="0"/>
    <n v="48"/>
    <x v="3"/>
    <x v="11"/>
    <n v="0.15340909090909091"/>
    <n v="6.8376068376068383E-2"/>
    <n v="596"/>
    <n v="654"/>
    <n v="0"/>
    <n v="1"/>
    <n v="0.15340909090909091"/>
    <n v="0.99715909090909094"/>
    <n v="6.8181818181818177E-2"/>
    <n v="0.99857954545454541"/>
  </r>
  <r>
    <x v="447"/>
    <n v="0"/>
    <n v="704"/>
    <n v="0"/>
    <n v="108"/>
    <n v="2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48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49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0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1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2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3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4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5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6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7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8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9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60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61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2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3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4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5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6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7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8"/>
    <n v="0"/>
    <n v="704"/>
    <n v="0"/>
    <n v="108"/>
    <n v="0"/>
    <n v="704"/>
    <n v="0"/>
    <n v="48"/>
    <x v="3"/>
    <x v="15"/>
    <n v="0.15340909090909091"/>
    <n v="6.8181818181818177E-2"/>
    <n v="596"/>
    <n v="656"/>
    <n v="0"/>
    <n v="1"/>
    <n v="0.15340909090909091"/>
    <n v="1"/>
    <n v="6.8181818181818177E-2"/>
    <n v="1"/>
  </r>
  <r>
    <x v="469"/>
    <n v="0"/>
    <n v="704"/>
    <n v="0"/>
    <n v="108"/>
    <n v="0"/>
    <n v="704"/>
    <n v="0"/>
    <n v="48"/>
    <x v="3"/>
    <x v="15"/>
    <n v="0.15340909090909091"/>
    <n v="6.8181818181818177E-2"/>
    <n v="596"/>
    <n v="656"/>
    <n v="0"/>
    <n v="1"/>
    <n v="0.15340909090909091"/>
    <n v="1"/>
    <n v="6.8181818181818177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1"/>
    <d v="2026-04-15T00:00:00"/>
    <x v="30"/>
    <d v="2026-06-22T00:00:00"/>
    <d v="2026-05-2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1"/>
    <d v="2026-04-24T00:00:00"/>
    <x v="34"/>
    <d v="2026-06-22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2"/>
    <d v="2026-04-28T00:00:00"/>
    <x v="35"/>
    <d v="2026-06-22T00:00:00"/>
    <d v="2026-05-2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1"/>
    <n v="2282600052"/>
    <x v="0"/>
    <x v="3"/>
    <d v="2026-04-22T00:00:00"/>
    <x v="33"/>
    <d v="2026-06-15T00:00:00"/>
    <d v="2026-05-28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3"/>
    <d v="2026-04-27T00:00:00"/>
    <x v="36"/>
    <d v="2026-06-15T00:00:00"/>
    <d v="2026-05-29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4"/>
    <d v="2026-04-29T00:00:00"/>
    <x v="37"/>
    <d v="2026-06-22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4"/>
    <n v="2302600055"/>
    <x v="1"/>
    <x v="5"/>
    <d v="2026-04-24T00:00:00"/>
    <x v="34"/>
    <d v="2026-06-22T00:00:00"/>
    <d v="2026-06-01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3"/>
    <d v="2026-04-22T00:00:00"/>
    <x v="33"/>
    <d v="2026-05-20T00:00:00"/>
    <d v="2026-06-01T00:00:00"/>
    <n v="3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3"/>
    <d v="2026-05-04T00:00:00"/>
    <x v="38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6"/>
    <d v="2026-05-04T00:00:00"/>
    <x v="39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58"/>
    <n v="2302600059"/>
    <x v="1"/>
    <x v="7"/>
    <d v="2026-05-05T00:00:00"/>
    <x v="40"/>
    <d v="2026-06-22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-1"/>
    <x v="2"/>
    <x v="1"/>
  </r>
  <r>
    <x v="1"/>
    <x v="59"/>
    <n v="2282600060"/>
    <x v="0"/>
    <x v="8"/>
    <d v="2026-05-05T00:00:00"/>
    <x v="41"/>
    <d v="2026-06-16T00:00:00"/>
    <d v="2026-06-11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8"/>
    <d v="2026-05-06T00:00:00"/>
    <x v="42"/>
    <d v="2026-06-17T00:00:00"/>
    <d v="2026-06-1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6"/>
    <d v="2026-05-06T00:00:00"/>
    <x v="41"/>
    <d v="2026-06-19T00:00:00"/>
    <d v="2026-06-1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62"/>
    <n v="2302600063"/>
    <x v="1"/>
    <x v="9"/>
    <d v="2026-05-07T00:00:00"/>
    <x v="39"/>
    <d v="2026-06-17T00:00:00"/>
    <d v="2026-06-13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0"/>
    <d v="2026-05-07T00:00:00"/>
    <x v="41"/>
    <d v="2026-06-22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8"/>
    <d v="2026-05-08T00:00:00"/>
    <x v="43"/>
    <d v="2026-06-19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1"/>
    <d v="2026-05-08T00:00:00"/>
    <x v="44"/>
    <d v="2026-06-22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66"/>
    <n v="2302600067"/>
    <x v="1"/>
    <x v="12"/>
    <d v="2026-05-11T00:00:00"/>
    <x v="45"/>
    <d v="2026-06-18T00:00:00"/>
    <d v="2026-06-16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1499999999999984"/>
    <n v="0.8513513513513510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</r>
  <r>
    <x v="2"/>
    <x v="67"/>
    <n v="2282600068"/>
    <x v="0"/>
    <x v="13"/>
    <d v="2026-05-11T00:00:00"/>
    <x v="46"/>
    <d v="2026-06-22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4"/>
    <d v="2026-05-12T00:00:00"/>
    <x v="46"/>
    <d v="2026-06-22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9"/>
    <d v="2026-05-12T00:00:00"/>
    <x v="45"/>
    <d v="2026-06-19T00:00:00"/>
    <d v="2026-06-17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70"/>
    <n v="2302600071"/>
    <x v="1"/>
    <x v="15"/>
    <d v="2026-05-13T00:00:00"/>
    <x v="46"/>
    <d v="2026-06-22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1499999999999991"/>
    <n v="0.58108108108108092"/>
    <n v="5.4054054054054029E-2"/>
    <n v="5.4054054054054029E-2"/>
    <n v="2.7027027027027015E-2"/>
    <n v="8.1081081081081058E-2"/>
    <n v="8.1081081081081058E-2"/>
    <n v="6.7567567567567557E-2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2"/>
    <d v="2026-05-13T00:00:00"/>
    <x v="44"/>
    <d v="2026-06-12T00:00:00"/>
    <d v="2026-06-0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6"/>
    <d v="2026-05-14T00:00:00"/>
    <x v="47"/>
    <d v="2026-06-22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17"/>
    <d v="2026-05-14T00:00:00"/>
    <x v="48"/>
    <d v="2026-06-19T00:00:00"/>
    <d v="2026-06-19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1499999999999989"/>
    <n v="0.58108108108108081"/>
    <n v="5.4054054054054029E-2"/>
    <n v="5.4054054054054029E-2"/>
    <n v="0"/>
    <n v="8.1081081081081058E-2"/>
    <n v="8.1081081081081058E-2"/>
    <n v="0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74"/>
    <n v="2302600075"/>
    <x v="1"/>
    <x v="18"/>
    <d v="2026-05-15T00:00:00"/>
    <x v="49"/>
    <d v="2026-06-22T00:00:00"/>
    <d v="2026-06-2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75"/>
    <n v="2282600076"/>
    <x v="0"/>
    <x v="19"/>
    <d v="2026-05-15T00:00:00"/>
    <x v="50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0"/>
    <d v="2026-05-18T00:00:00"/>
    <x v="51"/>
    <d v="2026-06-15T00:00:00"/>
    <d v="2026-06-1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1"/>
    <d v="2026-05-18T00:00:00"/>
    <x v="45"/>
    <d v="2026-06-19T00:00:00"/>
    <d v="2026-06-23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21"/>
    <d v="2026-05-19T00:00:00"/>
    <x v="52"/>
    <d v="2026-06-22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0"/>
    <d v="2026-05-19T00:00:00"/>
    <x v="51"/>
    <d v="2026-06-16T00:00:00"/>
    <d v="2026-06-14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22"/>
    <d v="2026-05-20T00:00:00"/>
    <x v="53"/>
    <d v="2026-06-11T00:00:00"/>
    <d v="2026-06-15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3"/>
    <d v="2026-05-20T00:00:00"/>
    <x v="53"/>
    <d v="2026-06-22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9"/>
    <x v="1"/>
    <x v="1"/>
  </r>
  <r>
    <x v="2"/>
    <x v="82"/>
    <n v="2302600083"/>
    <x v="1"/>
    <x v="24"/>
    <d v="2026-05-22T00:00:00"/>
    <x v="54"/>
    <d v="2026-06-18T00:00:00"/>
    <d v="2026-06-2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25"/>
    <d v="2026-05-22T00:00:00"/>
    <x v="53"/>
    <d v="2026-06-19T00:00:00"/>
    <d v="2026-06-1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19"/>
    <d v="2026-05-25T00:00:00"/>
    <x v="53"/>
    <d v="2026-06-17T00:00:00"/>
    <d v="2026-06-20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26"/>
    <d v="2026-05-25T00:00:00"/>
    <x v="55"/>
    <d v="2026-06-22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21"/>
    <d v="2026-05-26T00:00:00"/>
    <x v="53"/>
    <d v="2026-06-19T00:00:00"/>
    <d v="2026-07-01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16"/>
    <d v="2026-05-26T00:00:00"/>
    <x v="53"/>
    <d v="2026-06-17T00:00:00"/>
    <d v="2026-06-21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11"/>
    <d v="2026-05-27T00:00:00"/>
    <x v="56"/>
    <d v="2026-06-18T00:00:00"/>
    <d v="2026-06-2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9"/>
    <n v="2302600090"/>
    <x v="1"/>
    <x v="27"/>
    <d v="2026-05-27T00:00:00"/>
    <x v="55"/>
    <d v="2026-06-18T00:00:00"/>
    <d v="2026-07-02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7"/>
    <x v="1"/>
    <x v="1"/>
  </r>
  <r>
    <x v="2"/>
    <x v="90"/>
    <n v="2302600091"/>
    <x v="1"/>
    <x v="28"/>
    <d v="2026-05-28T00:00:00"/>
    <x v="57"/>
    <d v="2026-06-18T00:00:00"/>
    <d v="2026-07-03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</r>
  <r>
    <x v="2"/>
    <x v="91"/>
    <n v="2282600092"/>
    <x v="0"/>
    <x v="29"/>
    <d v="2026-05-28T00:00:00"/>
    <x v="58"/>
    <d v="2026-06-22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</r>
  <r>
    <x v="2"/>
    <x v="92"/>
    <n v="2282600093"/>
    <x v="0"/>
    <x v="30"/>
    <d v="2026-05-29T00:00:00"/>
    <x v="58"/>
    <d v="2026-06-22T00:00:00"/>
    <d v="2026-06-2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2"/>
    <x v="93"/>
    <n v="2302600094"/>
    <x v="1"/>
    <x v="31"/>
    <d v="2026-05-29T00:00:00"/>
    <x v="57"/>
    <d v="2026-06-22T00:00:00"/>
    <d v="2026-07-0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28"/>
    <d v="2026-06-01T00:00:00"/>
    <x v="59"/>
    <d v="2026-06-17T00:00:00"/>
    <d v="2026-07-07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25"/>
    <d v="2026-06-01T00:00:00"/>
    <x v="59"/>
    <d v="2026-06-19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32"/>
    <d v="2026-06-02T00:00:00"/>
    <x v="58"/>
    <d v="2026-06-16T00:00:00"/>
    <d v="2026-06-26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3"/>
    <x v="97"/>
    <n v="2302600098"/>
    <x v="1"/>
    <x v="33"/>
    <d v="2026-06-02T00:00:00"/>
    <x v="58"/>
    <d v="2026-06-22T00:00:00"/>
    <d v="2026-07-0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32"/>
    <d v="2026-06-03T00:00:00"/>
    <x v="60"/>
    <d v="2026-06-22T00:00:00"/>
    <d v="2026-07-0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32"/>
    <d v="2026-06-03T00:00:00"/>
    <x v="61"/>
    <d v="2026-06-16T00:00:00"/>
    <d v="2026-06-27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3"/>
    <x v="100"/>
    <n v="2282600101"/>
    <x v="0"/>
    <x v="32"/>
    <d v="2026-06-04T00:00:00"/>
    <x v="62"/>
    <d v="2026-06-19T00:00:00"/>
    <d v="2026-06-28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1"/>
    <n v="2302600102"/>
    <x v="1"/>
    <x v="32"/>
    <d v="2026-06-04T00:00:00"/>
    <x v="62"/>
    <d v="2026-06-17T00:00:00"/>
    <d v="2026-07-08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02"/>
    <n v="2302600103"/>
    <x v="1"/>
    <x v="33"/>
    <d v="2026-06-05T00:00:00"/>
    <x v="58"/>
    <d v="2026-06-22T00:00:00"/>
    <d v="2026-07-0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6"/>
    <x v="1"/>
    <x v="1"/>
  </r>
  <r>
    <x v="3"/>
    <x v="103"/>
    <n v="2282600104"/>
    <x v="0"/>
    <x v="34"/>
    <d v="2026-06-05T00:00:00"/>
    <x v="58"/>
    <d v="2026-06-22T00:00:00"/>
    <d v="2026-06-29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6"/>
    <x v="1"/>
    <x v="1"/>
  </r>
  <r>
    <x v="3"/>
    <x v="104"/>
    <n v="2282600105"/>
    <x v="0"/>
    <x v="32"/>
    <d v="2026-06-08T00:00:00"/>
    <x v="63"/>
    <d v="2026-06-17T00:00:00"/>
    <d v="2026-07-02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05"/>
    <n v="2302600106"/>
    <x v="1"/>
    <x v="32"/>
    <d v="2026-06-08T00:00:00"/>
    <x v="62"/>
    <d v="2026-06-18T00:00:00"/>
    <d v="2026-07-12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06"/>
    <n v="2302600107"/>
    <x v="1"/>
    <x v="35"/>
    <d v="2026-06-09T00:00:00"/>
    <x v="64"/>
    <d v="1899-12-30T00:00:00"/>
    <d v="2026-07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07"/>
    <n v="2282600108"/>
    <x v="0"/>
    <x v="35"/>
    <d v="2026-06-09T00:00:00"/>
    <x v="64"/>
    <d v="1899-12-30T00:00:00"/>
    <d v="2026-07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08"/>
    <n v="2282600109"/>
    <x v="0"/>
    <x v="35"/>
    <d v="2026-06-10T00:00:00"/>
    <x v="64"/>
    <d v="1899-12-30T00:00:00"/>
    <d v="2026-07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09"/>
    <n v="2302600110"/>
    <x v="1"/>
    <x v="35"/>
    <d v="2026-06-10T00:00:00"/>
    <x v="64"/>
    <d v="1899-12-30T00:00:00"/>
    <d v="2026-07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0"/>
    <n v="2302600111"/>
    <x v="1"/>
    <x v="32"/>
    <d v="2026-06-11T00:00:00"/>
    <x v="62"/>
    <d v="2026-06-18T00:00:00"/>
    <d v="2026-07-15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6"/>
    <x v="1"/>
    <x v="1"/>
  </r>
  <r>
    <x v="3"/>
    <x v="111"/>
    <n v="2282600112"/>
    <x v="0"/>
    <x v="32"/>
    <d v="2026-06-11T00:00:00"/>
    <x v="60"/>
    <d v="2026-06-22T00:00:00"/>
    <d v="2026-07-05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12"/>
    <n v="2282600113"/>
    <x v="0"/>
    <x v="35"/>
    <d v="2026-06-12T00:00:00"/>
    <x v="64"/>
    <d v="1899-12-30T00:00:00"/>
    <d v="2026-07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3"/>
    <n v="2302600114"/>
    <x v="1"/>
    <x v="35"/>
    <d v="2026-06-12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4"/>
    <n v="2302600115"/>
    <x v="1"/>
    <x v="35"/>
    <d v="2026-06-15T00:00:00"/>
    <x v="64"/>
    <d v="1899-12-30T00:00:00"/>
    <d v="2026-07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5"/>
    <n v="2282600116"/>
    <x v="0"/>
    <x v="35"/>
    <d v="2026-06-15T00:00:00"/>
    <x v="64"/>
    <d v="1899-12-30T00:00:00"/>
    <d v="2026-07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6"/>
    <n v="2282600117"/>
    <x v="0"/>
    <x v="35"/>
    <d v="2026-06-16T00:00:00"/>
    <x v="64"/>
    <d v="1899-12-30T00:00:00"/>
    <d v="2026-07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7"/>
    <n v="2302600118"/>
    <x v="1"/>
    <x v="35"/>
    <d v="2026-06-16T00:00:00"/>
    <x v="64"/>
    <d v="1899-12-30T00:00:00"/>
    <d v="2026-07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8"/>
    <n v="2302600119"/>
    <x v="1"/>
    <x v="35"/>
    <d v="2026-06-17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9"/>
    <n v="2282600120"/>
    <x v="0"/>
    <x v="35"/>
    <d v="2026-06-17T00:00:00"/>
    <x v="64"/>
    <d v="1899-12-30T00:00:00"/>
    <d v="2026-07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0"/>
    <n v="2282600121"/>
    <x v="0"/>
    <x v="35"/>
    <d v="2026-06-18T00:00:00"/>
    <x v="64"/>
    <d v="1899-12-30T00:00:00"/>
    <d v="2026-07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1"/>
    <n v="2302600122"/>
    <x v="1"/>
    <x v="35"/>
    <d v="2026-06-18T00:00:00"/>
    <x v="64"/>
    <d v="1899-12-30T00:00:00"/>
    <d v="2026-07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2"/>
    <n v="2302600123"/>
    <x v="1"/>
    <x v="35"/>
    <d v="2026-06-19T00:00:00"/>
    <x v="64"/>
    <d v="1899-12-30T00:00:00"/>
    <d v="2026-07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3"/>
    <n v="2282600124"/>
    <x v="0"/>
    <x v="35"/>
    <d v="2026-06-19T00:00:00"/>
    <x v="64"/>
    <d v="1899-12-30T00:00:00"/>
    <d v="2026-07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4"/>
    <n v="2282600125"/>
    <x v="0"/>
    <x v="35"/>
    <d v="2026-06-22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5"/>
    <n v="2302600126"/>
    <x v="1"/>
    <x v="35"/>
    <d v="2026-06-22T00:00:00"/>
    <x v="64"/>
    <d v="1899-12-30T00:00:00"/>
    <d v="2026-07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6"/>
    <n v="2302600127"/>
    <x v="1"/>
    <x v="35"/>
    <d v="2026-06-23T00:00:00"/>
    <x v="64"/>
    <d v="1899-12-30T00:00:00"/>
    <d v="2026-07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7"/>
    <n v="2282600128"/>
    <x v="0"/>
    <x v="35"/>
    <d v="2026-06-23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8"/>
    <n v="2282600129"/>
    <x v="0"/>
    <x v="35"/>
    <d v="2026-06-24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9"/>
    <n v="2302600130"/>
    <x v="1"/>
    <x v="35"/>
    <d v="2026-06-24T00:00:00"/>
    <x v="64"/>
    <d v="1899-12-30T00:00:00"/>
    <d v="2026-07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0"/>
    <n v="2302600131"/>
    <x v="1"/>
    <x v="35"/>
    <d v="2026-06-25T00:00:00"/>
    <x v="64"/>
    <d v="1899-12-30T00:00:00"/>
    <d v="2026-07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1"/>
    <n v="2282600132"/>
    <x v="0"/>
    <x v="35"/>
    <d v="2026-06-25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2"/>
    <n v="2282600133"/>
    <x v="0"/>
    <x v="35"/>
    <d v="2026-06-25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3"/>
    <n v="2302600134"/>
    <x v="1"/>
    <x v="35"/>
    <d v="2026-06-2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4"/>
    <n v="2302600135"/>
    <x v="1"/>
    <x v="35"/>
    <d v="2026-06-2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5"/>
    <n v="2282600136"/>
    <x v="0"/>
    <x v="35"/>
    <d v="2026-06-29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6"/>
    <n v="2282600137"/>
    <x v="0"/>
    <x v="35"/>
    <d v="2026-06-29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7"/>
    <n v="2302600138"/>
    <x v="1"/>
    <x v="35"/>
    <d v="2026-06-2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8"/>
    <n v="2302600139"/>
    <x v="1"/>
    <x v="35"/>
    <d v="2026-06-30T00:00:00"/>
    <x v="64"/>
    <d v="1899-12-30T00:00:00"/>
    <d v="2026-08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9"/>
    <n v="2282600140"/>
    <x v="0"/>
    <x v="35"/>
    <d v="2026-06-30T00:00:00"/>
    <x v="64"/>
    <d v="1899-12-30T00:00:00"/>
    <d v="2026-07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0"/>
    <n v="2282600141"/>
    <x v="0"/>
    <x v="35"/>
    <d v="2026-07-01T00:00:00"/>
    <x v="64"/>
    <d v="1899-12-30T00:00:00"/>
    <d v="2026-07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1"/>
    <n v="2302600142"/>
    <x v="1"/>
    <x v="35"/>
    <d v="2026-07-01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2"/>
    <n v="2302600143"/>
    <x v="1"/>
    <x v="35"/>
    <d v="2026-07-01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3"/>
    <n v="2282600144"/>
    <x v="0"/>
    <x v="35"/>
    <d v="2026-07-02T00:00:00"/>
    <x v="64"/>
    <d v="1899-12-30T00:00:00"/>
    <d v="2026-07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4"/>
    <n v="2282600145"/>
    <x v="0"/>
    <x v="35"/>
    <d v="2026-07-02T00:00:00"/>
    <x v="64"/>
    <d v="1899-12-30T00:00:00"/>
    <d v="2026-07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5"/>
    <n v="2302600146"/>
    <x v="1"/>
    <x v="35"/>
    <d v="2026-07-03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6"/>
    <n v="2302600147"/>
    <x v="1"/>
    <x v="35"/>
    <d v="2026-07-03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7"/>
    <n v="2282600148"/>
    <x v="0"/>
    <x v="35"/>
    <d v="2026-07-03T00:00:00"/>
    <x v="64"/>
    <d v="1899-12-30T00:00:00"/>
    <d v="2026-07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8"/>
    <n v="2282600149"/>
    <x v="0"/>
    <x v="35"/>
    <d v="2026-07-0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9"/>
    <n v="2302600150"/>
    <x v="1"/>
    <x v="35"/>
    <d v="2026-07-06T00:00:00"/>
    <x v="64"/>
    <d v="1899-12-30T00:00:00"/>
    <d v="2026-08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0"/>
    <n v="2302600151"/>
    <x v="1"/>
    <x v="35"/>
    <d v="2026-07-07T00:00:00"/>
    <x v="64"/>
    <d v="1899-12-30T00:00:00"/>
    <d v="2026-08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1"/>
    <n v="2282600152"/>
    <x v="0"/>
    <x v="35"/>
    <d v="2026-07-07T00:00:00"/>
    <x v="64"/>
    <d v="1899-12-30T00:00:00"/>
    <d v="2026-07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2"/>
    <n v="2282600153"/>
    <x v="0"/>
    <x v="35"/>
    <d v="2026-07-07T00:00:00"/>
    <x v="64"/>
    <d v="1899-12-30T00:00:00"/>
    <d v="2026-07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3"/>
    <n v="2302600154"/>
    <x v="1"/>
    <x v="35"/>
    <d v="2026-07-08T00:00:00"/>
    <x v="64"/>
    <d v="1899-12-30T00:00:00"/>
    <d v="2026-08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4"/>
    <n v="2302600155"/>
    <x v="1"/>
    <x v="35"/>
    <d v="2026-07-08T00:00:00"/>
    <x v="64"/>
    <d v="1899-12-30T00:00:00"/>
    <d v="2026-08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5"/>
    <n v="2282600156"/>
    <x v="0"/>
    <x v="35"/>
    <d v="2026-07-0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6"/>
    <n v="2282600157"/>
    <x v="0"/>
    <x v="35"/>
    <d v="2026-07-0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7"/>
    <n v="2302600158"/>
    <x v="1"/>
    <x v="35"/>
    <d v="2026-07-09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8"/>
    <n v="2302600159"/>
    <x v="1"/>
    <x v="35"/>
    <d v="2026-07-10T00:00:00"/>
    <x v="64"/>
    <d v="1899-12-30T00:00:00"/>
    <d v="2026-08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9"/>
    <n v="2282600160"/>
    <x v="0"/>
    <x v="35"/>
    <d v="2026-07-10T00:00:00"/>
    <x v="64"/>
    <d v="1899-12-30T00:00:00"/>
    <d v="2026-08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0"/>
    <n v="2282600161"/>
    <x v="0"/>
    <x v="35"/>
    <d v="2026-07-13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1"/>
    <n v="2302600162"/>
    <x v="1"/>
    <x v="35"/>
    <d v="2026-07-1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2"/>
    <n v="2302600163"/>
    <x v="1"/>
    <x v="35"/>
    <d v="2026-07-1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3"/>
    <n v="2282600164"/>
    <x v="0"/>
    <x v="35"/>
    <d v="2026-07-14T00:00:00"/>
    <x v="64"/>
    <d v="1899-12-30T00:00:00"/>
    <d v="2026-08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4"/>
    <n v="2282600165"/>
    <x v="0"/>
    <x v="35"/>
    <d v="2026-07-14T00:00:00"/>
    <x v="64"/>
    <d v="1899-12-30T00:00:00"/>
    <d v="2026-08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5"/>
    <n v="2302600166"/>
    <x v="1"/>
    <x v="35"/>
    <d v="2026-07-15T00:00:00"/>
    <x v="64"/>
    <d v="1899-12-30T00:00:00"/>
    <d v="2026-08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6"/>
    <n v="2302600167"/>
    <x v="1"/>
    <x v="35"/>
    <d v="2026-07-15T00:00:00"/>
    <x v="64"/>
    <d v="1899-12-30T00:00:00"/>
    <d v="2026-08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7"/>
    <n v="2282600168"/>
    <x v="0"/>
    <x v="35"/>
    <d v="2026-07-15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8"/>
    <n v="2282600169"/>
    <x v="0"/>
    <x v="35"/>
    <d v="2026-07-16T00:00:00"/>
    <x v="64"/>
    <d v="1899-12-30T00:00:00"/>
    <d v="2026-08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9"/>
    <n v="2302600170"/>
    <x v="1"/>
    <x v="35"/>
    <d v="2026-07-16T00:00:00"/>
    <x v="64"/>
    <d v="1899-12-30T00:00:00"/>
    <d v="2026-08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0"/>
    <n v="2302600171"/>
    <x v="1"/>
    <x v="35"/>
    <d v="2026-07-17T00:00:00"/>
    <x v="64"/>
    <d v="1899-12-30T00:00:00"/>
    <d v="2026-08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1"/>
    <n v="2282600172"/>
    <x v="0"/>
    <x v="35"/>
    <d v="2026-07-17T00:00:00"/>
    <x v="64"/>
    <d v="1899-12-30T00:00:00"/>
    <d v="2026-08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2"/>
    <n v="2282600173"/>
    <x v="0"/>
    <x v="35"/>
    <d v="2026-07-17T00:00:00"/>
    <x v="64"/>
    <d v="1899-12-30T00:00:00"/>
    <d v="2026-08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3"/>
    <n v="2302600174"/>
    <x v="1"/>
    <x v="35"/>
    <d v="2026-07-20T00:00:00"/>
    <x v="64"/>
    <d v="1899-12-30T00:00:00"/>
    <d v="2026-08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4"/>
    <n v="2302600175"/>
    <x v="1"/>
    <x v="35"/>
    <d v="2026-07-20T00:00:00"/>
    <x v="64"/>
    <d v="1899-12-30T00:00:00"/>
    <d v="2026-08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5"/>
    <n v="2282600176"/>
    <x v="0"/>
    <x v="35"/>
    <d v="2026-07-21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6"/>
    <n v="2282600177"/>
    <x v="0"/>
    <x v="35"/>
    <d v="2026-07-21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7"/>
    <n v="2302600178"/>
    <x v="1"/>
    <x v="35"/>
    <d v="2026-07-2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8"/>
    <n v="2302600179"/>
    <x v="1"/>
    <x v="35"/>
    <d v="2026-07-22T00:00:00"/>
    <x v="64"/>
    <d v="1899-12-30T00:00:00"/>
    <d v="2026-08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9"/>
    <n v="2282600180"/>
    <x v="0"/>
    <x v="35"/>
    <d v="2026-07-22T00:00:00"/>
    <x v="64"/>
    <d v="1899-12-30T00:00:00"/>
    <d v="2026-08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0"/>
    <n v="2282600181"/>
    <x v="0"/>
    <x v="35"/>
    <d v="2026-07-2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1"/>
    <n v="2302600182"/>
    <x v="1"/>
    <x v="35"/>
    <d v="2026-07-23T00:00:00"/>
    <x v="64"/>
    <d v="1899-12-30T00:00:00"/>
    <d v="2026-08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2"/>
    <n v="2302600183"/>
    <x v="1"/>
    <x v="35"/>
    <d v="2026-07-23T00:00:00"/>
    <x v="64"/>
    <d v="1899-12-30T00:00:00"/>
    <d v="2026-08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3"/>
    <n v="2282600184"/>
    <x v="0"/>
    <x v="35"/>
    <d v="2026-07-24T00:00:00"/>
    <x v="64"/>
    <d v="1899-12-30T00:00:00"/>
    <d v="2026-08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4"/>
    <n v="2282600185"/>
    <x v="0"/>
    <x v="35"/>
    <d v="2026-07-24T00:00:00"/>
    <x v="64"/>
    <d v="1899-12-30T00:00:00"/>
    <d v="2026-08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5"/>
    <n v="2302600186"/>
    <x v="1"/>
    <x v="35"/>
    <d v="2026-07-27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6"/>
    <n v="2302600187"/>
    <x v="1"/>
    <x v="35"/>
    <d v="2026-07-27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7"/>
    <n v="2282600188"/>
    <x v="0"/>
    <x v="35"/>
    <d v="2026-07-27T00:00:00"/>
    <x v="64"/>
    <d v="1899-12-30T00:00:00"/>
    <d v="2026-08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8"/>
    <n v="2282600189"/>
    <x v="0"/>
    <x v="35"/>
    <d v="2026-07-28T00:00:00"/>
    <x v="64"/>
    <d v="1899-12-30T00:00:00"/>
    <d v="2026-08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9"/>
    <n v="2302600190"/>
    <x v="1"/>
    <x v="35"/>
    <d v="2026-07-28T00:00:00"/>
    <x v="64"/>
    <d v="1899-12-30T00:00:00"/>
    <d v="2026-08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0"/>
    <n v="2302600191"/>
    <x v="1"/>
    <x v="35"/>
    <d v="2026-07-29T00:00:00"/>
    <x v="64"/>
    <d v="1899-12-30T00:00:00"/>
    <d v="2026-08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1"/>
    <n v="2282600192"/>
    <x v="0"/>
    <x v="35"/>
    <d v="2026-07-29T00:00:00"/>
    <x v="64"/>
    <d v="1899-12-30T00:00:00"/>
    <d v="2026-08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2"/>
    <n v="2282600193"/>
    <x v="0"/>
    <x v="35"/>
    <d v="2026-07-29T00:00:00"/>
    <x v="64"/>
    <d v="1899-12-30T00:00:00"/>
    <d v="2026-08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3"/>
    <n v="2302600194"/>
    <x v="1"/>
    <x v="35"/>
    <d v="2026-07-30T00:00:00"/>
    <x v="64"/>
    <d v="1899-12-30T00:00:00"/>
    <d v="2026-08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4"/>
    <n v="2302600195"/>
    <x v="1"/>
    <x v="35"/>
    <d v="2026-07-30T00:00:00"/>
    <x v="64"/>
    <d v="1899-12-30T00:00:00"/>
    <d v="2026-08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5"/>
    <n v="2282600196"/>
    <x v="0"/>
    <x v="35"/>
    <d v="2026-07-3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6"/>
    <n v="2282600197"/>
    <x v="0"/>
    <x v="35"/>
    <d v="2026-07-3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7"/>
    <n v="2302600198"/>
    <x v="1"/>
    <x v="35"/>
    <d v="2026-07-31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8"/>
    <n v="2302600199"/>
    <x v="1"/>
    <x v="35"/>
    <d v="2026-08-03T00:00:00"/>
    <x v="64"/>
    <d v="1899-12-30T00:00:00"/>
    <d v="2026-09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9"/>
    <n v="2282600200"/>
    <x v="0"/>
    <x v="35"/>
    <d v="2026-08-03T00:00:00"/>
    <x v="64"/>
    <d v="1899-12-30T00:00:00"/>
    <d v="2026-08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0"/>
    <n v="2282600201"/>
    <x v="0"/>
    <x v="35"/>
    <d v="2026-08-04T00:00:00"/>
    <x v="64"/>
    <d v="1899-12-30T00:00:00"/>
    <d v="2026-08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1"/>
    <n v="2302600202"/>
    <x v="1"/>
    <x v="35"/>
    <d v="2026-08-0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2"/>
    <n v="2302600203"/>
    <x v="1"/>
    <x v="35"/>
    <d v="2026-08-0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3"/>
    <n v="2282600204"/>
    <x v="0"/>
    <x v="35"/>
    <d v="2026-08-05T00:00:00"/>
    <x v="64"/>
    <d v="1899-12-30T00:00:00"/>
    <d v="2026-08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4"/>
    <n v="2282600205"/>
    <x v="0"/>
    <x v="35"/>
    <d v="2026-08-05T00:00:00"/>
    <x v="64"/>
    <d v="1899-12-30T00:00:00"/>
    <d v="2026-08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5"/>
    <n v="2302600206"/>
    <x v="1"/>
    <x v="35"/>
    <d v="2026-08-06T00:00:00"/>
    <x v="64"/>
    <d v="1899-12-30T00:00:00"/>
    <d v="2026-09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6"/>
    <n v="2302600207"/>
    <x v="1"/>
    <x v="35"/>
    <d v="2026-08-06T00:00:00"/>
    <x v="64"/>
    <d v="1899-12-30T00:00:00"/>
    <d v="2026-09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7"/>
    <n v="2282600208"/>
    <x v="0"/>
    <x v="35"/>
    <d v="2026-08-06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8"/>
    <n v="2282600209"/>
    <x v="0"/>
    <x v="35"/>
    <d v="2026-08-07T00:00:00"/>
    <x v="64"/>
    <d v="1899-12-30T00:00:00"/>
    <d v="2026-08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9"/>
    <n v="2302600210"/>
    <x v="1"/>
    <x v="35"/>
    <d v="2026-08-0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0"/>
    <n v="2302600211"/>
    <x v="1"/>
    <x v="35"/>
    <d v="2026-08-1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1"/>
    <n v="2282600212"/>
    <x v="0"/>
    <x v="35"/>
    <d v="2026-08-10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2"/>
    <n v="2282600213"/>
    <x v="0"/>
    <x v="35"/>
    <d v="2026-08-10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3"/>
    <n v="2302600214"/>
    <x v="1"/>
    <x v="35"/>
    <d v="2026-08-11T00:00:00"/>
    <x v="64"/>
    <d v="1899-12-30T00:00:00"/>
    <d v="2026-09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4"/>
    <n v="2302600215"/>
    <x v="1"/>
    <x v="35"/>
    <d v="2026-08-11T00:00:00"/>
    <x v="64"/>
    <d v="1899-12-30T00:00:00"/>
    <d v="2026-09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5"/>
    <n v="2282600216"/>
    <x v="0"/>
    <x v="35"/>
    <d v="2026-08-12T00:00:00"/>
    <x v="64"/>
    <d v="1899-12-30T00:00:00"/>
    <d v="2026-09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6"/>
    <n v="2282600217"/>
    <x v="0"/>
    <x v="35"/>
    <d v="2026-08-12T00:00:00"/>
    <x v="64"/>
    <d v="1899-12-30T00:00:00"/>
    <d v="2026-09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7"/>
    <n v="2302600218"/>
    <x v="1"/>
    <x v="35"/>
    <d v="2026-08-12T00:00:00"/>
    <x v="64"/>
    <d v="1899-12-30T00:00:00"/>
    <d v="2026-09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8"/>
    <n v="2302600219"/>
    <x v="1"/>
    <x v="35"/>
    <d v="2026-08-13T00:00:00"/>
    <x v="64"/>
    <d v="1899-12-30T00:00:00"/>
    <d v="2026-09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9"/>
    <n v="2282600220"/>
    <x v="0"/>
    <x v="35"/>
    <d v="2026-08-13T00:00:00"/>
    <x v="64"/>
    <d v="1899-12-30T00:00:00"/>
    <d v="2026-09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0"/>
    <n v="2282600221"/>
    <x v="0"/>
    <x v="35"/>
    <d v="2026-08-1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1"/>
    <n v="2302600222"/>
    <x v="1"/>
    <x v="35"/>
    <d v="2026-08-1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2"/>
    <n v="2302600223"/>
    <x v="1"/>
    <x v="35"/>
    <d v="2026-08-1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3"/>
    <n v="2282600224"/>
    <x v="0"/>
    <x v="35"/>
    <d v="2026-08-1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4"/>
    <n v="2282600225"/>
    <x v="0"/>
    <x v="35"/>
    <d v="2026-08-1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5"/>
    <n v="2302600226"/>
    <x v="1"/>
    <x v="35"/>
    <d v="2026-08-1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6"/>
    <n v="2302600227"/>
    <x v="1"/>
    <x v="35"/>
    <d v="2026-08-1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7"/>
    <n v="2282600228"/>
    <x v="0"/>
    <x v="35"/>
    <d v="2026-08-18T00:00:00"/>
    <x v="64"/>
    <d v="1899-12-30T00:00:00"/>
    <d v="2026-09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8"/>
    <n v="2282600229"/>
    <x v="0"/>
    <x v="35"/>
    <d v="2026-08-19T00:00:00"/>
    <x v="64"/>
    <d v="1899-12-30T00:00:00"/>
    <d v="2026-09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9"/>
    <n v="2302600230"/>
    <x v="1"/>
    <x v="35"/>
    <d v="2026-08-19T00:00:00"/>
    <x v="64"/>
    <d v="1899-12-30T00:00:00"/>
    <d v="2026-09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0"/>
    <n v="2302600231"/>
    <x v="1"/>
    <x v="35"/>
    <d v="2026-08-20T00:00:00"/>
    <x v="64"/>
    <d v="1899-12-30T00:00:00"/>
    <d v="2026-09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1"/>
    <n v="2282600232"/>
    <x v="0"/>
    <x v="35"/>
    <d v="2026-08-2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2"/>
    <n v="2282600233"/>
    <x v="0"/>
    <x v="35"/>
    <d v="2026-08-2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3"/>
    <n v="2302600234"/>
    <x v="1"/>
    <x v="35"/>
    <d v="2026-08-2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4"/>
    <n v="2302600235"/>
    <x v="1"/>
    <x v="35"/>
    <d v="2026-08-2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5"/>
    <n v="2282600236"/>
    <x v="0"/>
    <x v="35"/>
    <d v="2026-08-2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6"/>
    <n v="2282600237"/>
    <x v="0"/>
    <x v="35"/>
    <d v="2026-08-2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7"/>
    <n v="2302600238"/>
    <x v="1"/>
    <x v="35"/>
    <d v="2026-08-24T00:00:00"/>
    <x v="64"/>
    <d v="1899-12-30T00:00:00"/>
    <d v="2026-09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8"/>
    <n v="2302600239"/>
    <x v="1"/>
    <x v="35"/>
    <d v="2026-08-25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9"/>
    <n v="2282600240"/>
    <x v="0"/>
    <x v="35"/>
    <d v="2026-08-25T00:00:00"/>
    <x v="64"/>
    <d v="1899-12-30T00:00:00"/>
    <d v="2026-09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0"/>
    <n v="2282600241"/>
    <x v="0"/>
    <x v="35"/>
    <d v="2026-08-26T00:00:00"/>
    <x v="64"/>
    <d v="1899-12-30T00:00:00"/>
    <d v="2026-09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1"/>
    <n v="2302600242"/>
    <x v="1"/>
    <x v="35"/>
    <d v="2026-08-26T00:00:00"/>
    <x v="64"/>
    <d v="1899-12-30T00:00:00"/>
    <d v="2026-09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2"/>
    <n v="2302600243"/>
    <x v="1"/>
    <x v="35"/>
    <d v="2026-08-26T00:00:00"/>
    <x v="64"/>
    <d v="1899-12-30T00:00:00"/>
    <d v="2026-09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3"/>
    <n v="2282600244"/>
    <x v="0"/>
    <x v="35"/>
    <d v="2026-08-27T00:00:00"/>
    <x v="64"/>
    <d v="1899-12-30T00:00:00"/>
    <d v="2026-09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4"/>
    <n v="2282600245"/>
    <x v="0"/>
    <x v="35"/>
    <d v="2026-08-27T00:00:00"/>
    <x v="64"/>
    <d v="1899-12-30T00:00:00"/>
    <d v="2026-09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5"/>
    <n v="2302600246"/>
    <x v="1"/>
    <x v="35"/>
    <d v="2026-08-28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6"/>
    <n v="2302600247"/>
    <x v="1"/>
    <x v="35"/>
    <d v="2026-08-28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7"/>
    <n v="2282600248"/>
    <x v="0"/>
    <x v="35"/>
    <d v="2026-08-2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8"/>
    <n v="2282600249"/>
    <x v="0"/>
    <x v="35"/>
    <d v="2026-08-3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9"/>
    <n v="2302600250"/>
    <x v="1"/>
    <x v="35"/>
    <d v="2026-08-31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0"/>
    <n v="2302600251"/>
    <x v="1"/>
    <x v="35"/>
    <d v="2026-09-0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1"/>
    <n v="2282600252"/>
    <x v="0"/>
    <x v="35"/>
    <d v="2026-09-01T00:00:00"/>
    <x v="64"/>
    <d v="1899-12-30T00:00:00"/>
    <d v="2026-09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2"/>
    <n v="2282600253"/>
    <x v="0"/>
    <x v="35"/>
    <d v="2026-09-01T00:00:00"/>
    <x v="64"/>
    <d v="1899-12-30T00:00:00"/>
    <d v="2026-09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3"/>
    <n v="2302600254"/>
    <x v="1"/>
    <x v="35"/>
    <d v="2026-09-02T00:00:00"/>
    <x v="64"/>
    <d v="1899-12-30T00:00:00"/>
    <d v="2026-10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4"/>
    <n v="2302600255"/>
    <x v="1"/>
    <x v="35"/>
    <d v="2026-09-02T00:00:00"/>
    <x v="64"/>
    <d v="1899-12-30T00:00:00"/>
    <d v="2026-10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5"/>
    <n v="2282600256"/>
    <x v="0"/>
    <x v="35"/>
    <d v="2026-09-02T00:00:00"/>
    <x v="64"/>
    <d v="1899-12-30T00:00:00"/>
    <d v="2026-09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6"/>
    <n v="2282600257"/>
    <x v="0"/>
    <x v="35"/>
    <d v="2026-09-03T00:00:00"/>
    <x v="64"/>
    <d v="1899-12-30T00:00:00"/>
    <d v="2026-09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7"/>
    <n v="2302600258"/>
    <x v="1"/>
    <x v="35"/>
    <d v="2026-09-03T00:00:00"/>
    <x v="64"/>
    <d v="1899-12-30T00:00:00"/>
    <d v="2026-10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8"/>
    <n v="2302600259"/>
    <x v="1"/>
    <x v="35"/>
    <d v="2026-09-03T00:00:00"/>
    <x v="64"/>
    <d v="1899-12-30T00:00:00"/>
    <d v="2026-10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9"/>
    <n v="2282600260"/>
    <x v="0"/>
    <x v="35"/>
    <d v="2026-09-04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0"/>
    <n v="2282600261"/>
    <x v="0"/>
    <x v="35"/>
    <d v="2026-09-04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1"/>
    <n v="2302600262"/>
    <x v="1"/>
    <x v="35"/>
    <d v="2026-09-04T00:00:00"/>
    <x v="64"/>
    <d v="1899-12-30T00:00:00"/>
    <d v="2026-10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2"/>
    <n v="2302600263"/>
    <x v="1"/>
    <x v="35"/>
    <d v="2026-09-07T00:00:00"/>
    <x v="64"/>
    <d v="1899-12-30T00:00:00"/>
    <d v="2026-10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3"/>
    <n v="2282600264"/>
    <x v="0"/>
    <x v="35"/>
    <d v="2026-09-07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4"/>
    <n v="2282600265"/>
    <x v="0"/>
    <x v="35"/>
    <d v="2026-09-07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5"/>
    <n v="2302600266"/>
    <x v="1"/>
    <x v="35"/>
    <d v="2026-09-08T00:00:00"/>
    <x v="64"/>
    <d v="1899-12-30T00:00:00"/>
    <d v="2026-10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6"/>
    <n v="2302600267"/>
    <x v="1"/>
    <x v="35"/>
    <d v="2026-09-08T00:00:00"/>
    <x v="64"/>
    <d v="1899-12-30T00:00:00"/>
    <d v="2026-10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7"/>
    <n v="2282600268"/>
    <x v="0"/>
    <x v="35"/>
    <d v="2026-09-08T00:00:00"/>
    <x v="64"/>
    <d v="1899-12-30T00:00:00"/>
    <d v="2026-09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8"/>
    <n v="2282600269"/>
    <x v="0"/>
    <x v="35"/>
    <d v="2026-09-09T00:00:00"/>
    <x v="64"/>
    <d v="1899-12-30T00:00:00"/>
    <d v="2026-09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9"/>
    <n v="2302600270"/>
    <x v="1"/>
    <x v="35"/>
    <d v="2026-09-09T00:00:00"/>
    <x v="64"/>
    <d v="1899-12-30T00:00:00"/>
    <d v="2026-10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0"/>
    <n v="2302600271"/>
    <x v="1"/>
    <x v="35"/>
    <d v="2026-09-09T00:00:00"/>
    <x v="64"/>
    <d v="1899-12-30T00:00:00"/>
    <d v="2026-10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1"/>
    <n v="2282600272"/>
    <x v="0"/>
    <x v="35"/>
    <d v="2026-09-10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2"/>
    <n v="2282600273"/>
    <x v="0"/>
    <x v="35"/>
    <d v="2026-09-10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3"/>
    <n v="2302600274"/>
    <x v="1"/>
    <x v="35"/>
    <d v="2026-09-10T00:00:00"/>
    <x v="64"/>
    <d v="1899-12-30T00:00:00"/>
    <d v="2026-10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4"/>
    <n v="2302600275"/>
    <x v="1"/>
    <x v="35"/>
    <d v="2026-09-1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5"/>
    <n v="2282600276"/>
    <x v="0"/>
    <x v="35"/>
    <d v="2026-09-1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6"/>
    <n v="2282600277"/>
    <x v="0"/>
    <x v="35"/>
    <d v="2026-09-1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7"/>
    <n v="2302600278"/>
    <x v="1"/>
    <x v="35"/>
    <d v="2026-09-1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8"/>
    <n v="2302600279"/>
    <x v="1"/>
    <x v="35"/>
    <d v="2026-09-1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9"/>
    <n v="2282600280"/>
    <x v="0"/>
    <x v="35"/>
    <d v="2026-09-14T00:00:00"/>
    <x v="64"/>
    <d v="1899-12-30T00:00:00"/>
    <d v="2026-10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0"/>
    <n v="2282600281"/>
    <x v="0"/>
    <x v="35"/>
    <d v="2026-09-15T00:00:00"/>
    <x v="64"/>
    <d v="1899-12-30T00:00:00"/>
    <d v="2026-10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1"/>
    <n v="2302600282"/>
    <x v="1"/>
    <x v="35"/>
    <d v="2026-09-1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2"/>
    <n v="2302600283"/>
    <x v="1"/>
    <x v="35"/>
    <d v="2026-09-1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3"/>
    <n v="2282600284"/>
    <x v="0"/>
    <x v="35"/>
    <d v="2026-09-2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4"/>
    <n v="2282600285"/>
    <x v="0"/>
    <x v="35"/>
    <d v="2026-09-2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5"/>
    <n v="2302600286"/>
    <x v="1"/>
    <x v="35"/>
    <d v="2026-09-2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6"/>
    <n v="2302600287"/>
    <x v="1"/>
    <x v="35"/>
    <d v="2026-09-2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7"/>
    <n v="2282600288"/>
    <x v="0"/>
    <x v="35"/>
    <d v="2026-09-22T00:00:00"/>
    <x v="64"/>
    <d v="1899-12-30T00:00:00"/>
    <d v="2026-10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8"/>
    <n v="2282600289"/>
    <x v="0"/>
    <x v="35"/>
    <d v="2026-09-22T00:00:00"/>
    <x v="64"/>
    <d v="1899-12-30T00:00:00"/>
    <d v="2026-10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9"/>
    <n v="2302600290"/>
    <x v="1"/>
    <x v="35"/>
    <d v="2026-09-23T00:00:00"/>
    <x v="64"/>
    <d v="1899-12-30T00:00:00"/>
    <d v="2026-10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0"/>
    <n v="2302600291"/>
    <x v="1"/>
    <x v="35"/>
    <d v="2026-09-23T00:00:00"/>
    <x v="64"/>
    <d v="1899-12-30T00:00:00"/>
    <d v="2026-10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1"/>
    <n v="2282600292"/>
    <x v="0"/>
    <x v="35"/>
    <d v="2026-09-23T00:00:00"/>
    <x v="64"/>
    <d v="1899-12-30T00:00:00"/>
    <d v="2026-10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2"/>
    <n v="2282600293"/>
    <x v="0"/>
    <x v="35"/>
    <d v="2026-09-2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3"/>
    <n v="2302600294"/>
    <x v="1"/>
    <x v="35"/>
    <d v="2026-09-24T00:00:00"/>
    <x v="64"/>
    <d v="1899-12-30T00:00:00"/>
    <d v="2026-10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4"/>
    <n v="2302600295"/>
    <x v="1"/>
    <x v="35"/>
    <d v="2026-09-24T00:00:00"/>
    <x v="64"/>
    <d v="1899-12-30T00:00:00"/>
    <d v="2026-10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5"/>
    <n v="2282600296"/>
    <x v="0"/>
    <x v="35"/>
    <d v="2026-09-2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6"/>
    <n v="2282600297"/>
    <x v="0"/>
    <x v="35"/>
    <d v="2026-09-2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7"/>
    <n v="2302600298"/>
    <x v="1"/>
    <x v="35"/>
    <d v="2026-09-25T00:00:00"/>
    <x v="64"/>
    <d v="1899-12-30T00:00:00"/>
    <d v="2026-10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8"/>
    <n v="2302600299"/>
    <x v="1"/>
    <x v="35"/>
    <d v="2026-09-2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9"/>
    <n v="2282600300"/>
    <x v="0"/>
    <x v="35"/>
    <d v="2026-09-28T00:00:00"/>
    <x v="64"/>
    <d v="1899-12-30T00:00:00"/>
    <d v="2026-10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0"/>
    <n v="2282600301"/>
    <x v="0"/>
    <x v="35"/>
    <d v="2026-09-28T00:00:00"/>
    <x v="64"/>
    <d v="1899-12-30T00:00:00"/>
    <d v="2026-10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1"/>
    <n v="2302600302"/>
    <x v="1"/>
    <x v="35"/>
    <d v="2026-09-2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2"/>
    <n v="2302600303"/>
    <x v="1"/>
    <x v="35"/>
    <d v="2026-09-2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3"/>
    <n v="2282600304"/>
    <x v="0"/>
    <x v="35"/>
    <d v="2026-09-29T00:00:00"/>
    <x v="64"/>
    <d v="1899-12-30T00:00:00"/>
    <d v="2026-10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4"/>
    <n v="2282600305"/>
    <x v="0"/>
    <x v="35"/>
    <d v="2026-09-30T00:00:00"/>
    <x v="64"/>
    <d v="1899-12-30T00:00:00"/>
    <d v="2026-10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5"/>
    <n v="2302600306"/>
    <x v="1"/>
    <x v="35"/>
    <d v="2026-09-30T00:00:00"/>
    <x v="64"/>
    <d v="1899-12-30T00:00:00"/>
    <d v="2026-10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6"/>
    <n v="2302600307"/>
    <x v="1"/>
    <x v="35"/>
    <d v="2026-09-30T00:00:00"/>
    <x v="64"/>
    <d v="1899-12-30T00:00:00"/>
    <d v="2026-10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7"/>
    <n v="2282600308"/>
    <x v="0"/>
    <x v="35"/>
    <d v="2026-10-0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8"/>
    <n v="2282600309"/>
    <x v="0"/>
    <x v="35"/>
    <d v="2026-10-0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9"/>
    <n v="2302600310"/>
    <x v="1"/>
    <x v="35"/>
    <d v="2026-10-01T00:00:00"/>
    <x v="64"/>
    <d v="1899-12-30T00:00:00"/>
    <d v="2026-10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0"/>
    <n v="2302600311"/>
    <x v="1"/>
    <x v="35"/>
    <d v="2026-10-02T00:00:00"/>
    <x v="64"/>
    <d v="1899-12-30T00:00:00"/>
    <d v="2026-1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1"/>
    <n v="2282600312"/>
    <x v="0"/>
    <x v="35"/>
    <d v="2026-10-0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2"/>
    <n v="2282600313"/>
    <x v="0"/>
    <x v="35"/>
    <d v="2026-10-0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3"/>
    <n v="2302600314"/>
    <x v="1"/>
    <x v="35"/>
    <d v="2026-10-0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4"/>
    <n v="2302600315"/>
    <x v="1"/>
    <x v="35"/>
    <d v="2026-10-0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5"/>
    <n v="2282600316"/>
    <x v="0"/>
    <x v="35"/>
    <d v="2026-10-05T00:00:00"/>
    <x v="64"/>
    <d v="1899-12-30T00:00:00"/>
    <d v="2026-10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6"/>
    <n v="2282600317"/>
    <x v="0"/>
    <x v="35"/>
    <d v="2026-10-06T00:00:00"/>
    <x v="64"/>
    <d v="1899-12-30T00:00:00"/>
    <d v="2026-10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7"/>
    <n v="2302600318"/>
    <x v="1"/>
    <x v="35"/>
    <d v="2026-10-0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8"/>
    <n v="2302600319"/>
    <x v="1"/>
    <x v="35"/>
    <d v="2026-10-0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9"/>
    <n v="2282600320"/>
    <x v="0"/>
    <x v="35"/>
    <d v="2026-10-07T00:00:00"/>
    <x v="64"/>
    <d v="1899-12-30T00:00:00"/>
    <d v="2026-10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0"/>
    <n v="2282600321"/>
    <x v="0"/>
    <x v="35"/>
    <d v="2026-10-07T00:00:00"/>
    <x v="64"/>
    <d v="1899-12-30T00:00:00"/>
    <d v="2026-10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1"/>
    <n v="2302600322"/>
    <x v="1"/>
    <x v="35"/>
    <d v="2026-10-07T00:00:00"/>
    <x v="64"/>
    <d v="1899-12-30T00:00:00"/>
    <d v="2026-1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2"/>
    <n v="2302600323"/>
    <x v="1"/>
    <x v="35"/>
    <d v="2026-10-08T00:00:00"/>
    <x v="64"/>
    <d v="1899-12-30T00:00:00"/>
    <d v="2026-11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3"/>
    <n v="2282600324"/>
    <x v="0"/>
    <x v="35"/>
    <d v="2026-10-0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4"/>
    <n v="2282600325"/>
    <x v="0"/>
    <x v="35"/>
    <d v="2026-10-0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5"/>
    <n v="2302600326"/>
    <x v="1"/>
    <x v="35"/>
    <d v="2026-10-0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6"/>
    <n v="2302600327"/>
    <x v="1"/>
    <x v="35"/>
    <d v="2026-10-0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7"/>
    <n v="2282600328"/>
    <x v="0"/>
    <x v="35"/>
    <d v="2026-10-0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8"/>
    <n v="2282600329"/>
    <x v="0"/>
    <x v="35"/>
    <d v="2026-10-12T00:00:00"/>
    <x v="64"/>
    <d v="1899-12-30T00:00:00"/>
    <d v="2026-1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9"/>
    <n v="2302600330"/>
    <x v="1"/>
    <x v="35"/>
    <d v="2026-10-1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0"/>
    <n v="2302600331"/>
    <x v="1"/>
    <x v="35"/>
    <d v="2026-10-1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1"/>
    <n v="2282600332"/>
    <x v="0"/>
    <x v="35"/>
    <d v="2026-10-13T00:00:00"/>
    <x v="64"/>
    <d v="1899-12-30T00:00:00"/>
    <d v="2026-1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2"/>
    <n v="2282600333"/>
    <x v="0"/>
    <x v="35"/>
    <d v="2026-10-13T00:00:00"/>
    <x v="64"/>
    <d v="1899-12-30T00:00:00"/>
    <d v="2026-1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3"/>
    <n v="2302600334"/>
    <x v="1"/>
    <x v="35"/>
    <d v="2026-10-1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4"/>
    <n v="2302600335"/>
    <x v="1"/>
    <x v="35"/>
    <d v="2026-10-14T00:00:00"/>
    <x v="64"/>
    <d v="1899-12-30T00:00:00"/>
    <d v="2026-1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5"/>
    <n v="2282600336"/>
    <x v="0"/>
    <x v="35"/>
    <d v="2026-10-14T00:00:00"/>
    <x v="64"/>
    <d v="1899-12-30T00:00:00"/>
    <d v="2026-1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6"/>
    <n v="2282600337"/>
    <x v="0"/>
    <x v="35"/>
    <d v="2026-10-14T00:00:00"/>
    <x v="64"/>
    <d v="1899-12-30T00:00:00"/>
    <d v="2026-1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7"/>
    <n v="2302600338"/>
    <x v="1"/>
    <x v="35"/>
    <d v="2026-10-15T00:00:00"/>
    <x v="64"/>
    <d v="1899-12-30T00:00:00"/>
    <d v="2026-1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8"/>
    <n v="2302600339"/>
    <x v="1"/>
    <x v="35"/>
    <d v="2026-10-15T00:00:00"/>
    <x v="64"/>
    <d v="1899-12-30T00:00:00"/>
    <d v="2026-1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9"/>
    <n v="2282600340"/>
    <x v="0"/>
    <x v="35"/>
    <d v="2026-10-1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0"/>
    <n v="2282600341"/>
    <x v="0"/>
    <x v="35"/>
    <d v="2026-10-1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1"/>
    <n v="2302600342"/>
    <x v="1"/>
    <x v="35"/>
    <d v="2026-10-1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2"/>
    <n v="2302600343"/>
    <x v="1"/>
    <x v="35"/>
    <d v="2026-10-1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3"/>
    <n v="2282600344"/>
    <x v="0"/>
    <x v="35"/>
    <d v="2026-10-1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4"/>
    <n v="2282600345"/>
    <x v="0"/>
    <x v="35"/>
    <d v="2026-10-1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5"/>
    <n v="2302600346"/>
    <x v="1"/>
    <x v="35"/>
    <d v="2026-10-1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6"/>
    <n v="2302600347"/>
    <x v="1"/>
    <x v="35"/>
    <d v="2026-10-2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7"/>
    <n v="2282600348"/>
    <x v="0"/>
    <x v="35"/>
    <d v="2026-10-20T00:00:00"/>
    <x v="64"/>
    <d v="1899-12-30T00:00:00"/>
    <d v="2026-1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8"/>
    <n v="2282600349"/>
    <x v="0"/>
    <x v="35"/>
    <d v="2026-10-20T00:00:00"/>
    <x v="64"/>
    <d v="1899-12-30T00:00:00"/>
    <d v="2026-1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9"/>
    <n v="2302600350"/>
    <x v="1"/>
    <x v="35"/>
    <d v="2026-10-21T00:00:00"/>
    <x v="64"/>
    <d v="1899-12-30T00:00:00"/>
    <d v="2026-1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0"/>
    <n v="2302600351"/>
    <x v="1"/>
    <x v="35"/>
    <d v="2026-10-21T00:00:00"/>
    <x v="64"/>
    <d v="1899-12-30T00:00:00"/>
    <d v="2026-1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1"/>
    <n v="2282600352"/>
    <x v="0"/>
    <x v="35"/>
    <d v="2026-10-21T00:00:00"/>
    <x v="64"/>
    <d v="1899-12-30T00:00:00"/>
    <d v="2026-1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2"/>
    <n v="2282600353"/>
    <x v="0"/>
    <x v="35"/>
    <d v="2026-10-2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3"/>
    <n v="2302600354"/>
    <x v="1"/>
    <x v="35"/>
    <d v="2026-10-22T00:00:00"/>
    <x v="64"/>
    <d v="1899-12-30T00:00:00"/>
    <d v="2026-1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4"/>
    <n v="2302600355"/>
    <x v="1"/>
    <x v="35"/>
    <d v="2026-10-22T00:00:00"/>
    <x v="64"/>
    <d v="1899-12-30T00:00:00"/>
    <d v="2026-1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5"/>
    <n v="2282600356"/>
    <x v="0"/>
    <x v="35"/>
    <d v="2026-10-2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6"/>
    <n v="2282600357"/>
    <x v="0"/>
    <x v="35"/>
    <d v="2026-10-2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7"/>
    <n v="2302600358"/>
    <x v="1"/>
    <x v="35"/>
    <d v="2026-10-23T00:00:00"/>
    <x v="64"/>
    <d v="1899-12-30T00:00:00"/>
    <d v="2026-1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8"/>
    <n v="2302600359"/>
    <x v="1"/>
    <x v="35"/>
    <d v="2026-10-26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9"/>
    <n v="2282600360"/>
    <x v="0"/>
    <x v="35"/>
    <d v="2026-10-2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0"/>
    <n v="2282600361"/>
    <x v="0"/>
    <x v="35"/>
    <d v="2026-10-2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1"/>
    <n v="2302600362"/>
    <x v="1"/>
    <x v="35"/>
    <d v="2026-10-27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2"/>
    <n v="2302600363"/>
    <x v="1"/>
    <x v="35"/>
    <d v="2026-10-27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3"/>
    <n v="2282600364"/>
    <x v="0"/>
    <x v="35"/>
    <d v="2026-10-27T00:00:00"/>
    <x v="64"/>
    <d v="1899-12-30T00:00:00"/>
    <d v="2026-1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4"/>
    <n v="2282600365"/>
    <x v="0"/>
    <x v="35"/>
    <d v="2026-10-28T00:00:00"/>
    <x v="64"/>
    <d v="1899-12-30T00:00:00"/>
    <d v="2026-1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5"/>
    <n v="2302600366"/>
    <x v="1"/>
    <x v="35"/>
    <d v="2026-10-28T00:00:00"/>
    <x v="64"/>
    <d v="1899-12-30T00:00:00"/>
    <d v="2026-1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6"/>
    <n v="2302600367"/>
    <x v="1"/>
    <x v="35"/>
    <d v="2026-10-28T00:00:00"/>
    <x v="64"/>
    <d v="1899-12-30T00:00:00"/>
    <d v="2026-1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7"/>
    <n v="2282600368"/>
    <x v="0"/>
    <x v="35"/>
    <d v="2026-10-2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8"/>
    <n v="2282600369"/>
    <x v="0"/>
    <x v="35"/>
    <d v="2026-10-2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9"/>
    <n v="2302600370"/>
    <x v="1"/>
    <x v="35"/>
    <d v="2026-10-29T00:00:00"/>
    <x v="64"/>
    <d v="1899-12-30T00:00:00"/>
    <d v="2026-1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0"/>
    <n v="2302600371"/>
    <x v="1"/>
    <x v="35"/>
    <d v="2026-10-30T00:00:00"/>
    <x v="64"/>
    <d v="1899-12-30T00:00:00"/>
    <d v="2026-1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1"/>
    <n v="2282600372"/>
    <x v="0"/>
    <x v="35"/>
    <d v="2026-10-3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2"/>
    <n v="2282600373"/>
    <x v="0"/>
    <x v="35"/>
    <d v="2026-10-3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3"/>
    <n v="2302600374"/>
    <x v="1"/>
    <x v="35"/>
    <d v="2026-11-0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4"/>
    <n v="2302600375"/>
    <x v="1"/>
    <x v="35"/>
    <d v="2026-11-0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5"/>
    <n v="2282600376"/>
    <x v="0"/>
    <x v="35"/>
    <d v="2026-11-02T00:00:00"/>
    <x v="64"/>
    <d v="1899-12-30T00:00:00"/>
    <d v="2026-1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6"/>
    <n v="2282600377"/>
    <x v="0"/>
    <x v="35"/>
    <d v="2026-11-03T00:00:00"/>
    <x v="64"/>
    <d v="1899-12-30T00:00:00"/>
    <d v="2026-11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7"/>
    <n v="2302600378"/>
    <x v="1"/>
    <x v="35"/>
    <d v="2026-11-0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8"/>
    <n v="2302600379"/>
    <x v="1"/>
    <x v="35"/>
    <d v="2026-11-0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9"/>
    <n v="2282600380"/>
    <x v="0"/>
    <x v="35"/>
    <d v="2026-11-04T00:00:00"/>
    <x v="64"/>
    <d v="1899-12-30T00:00:00"/>
    <d v="2026-1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0"/>
    <n v="2282600381"/>
    <x v="0"/>
    <x v="35"/>
    <d v="2026-11-04T00:00:00"/>
    <x v="64"/>
    <d v="1899-12-30T00:00:00"/>
    <d v="2026-1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1"/>
    <n v="2302600382"/>
    <x v="1"/>
    <x v="35"/>
    <d v="2026-11-04T00:00:00"/>
    <x v="64"/>
    <d v="1899-12-30T00:00:00"/>
    <d v="2026-1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2"/>
    <n v="2302600383"/>
    <x v="1"/>
    <x v="35"/>
    <d v="2026-11-05T00:00:00"/>
    <x v="64"/>
    <d v="1899-12-30T00:00:00"/>
    <d v="2026-12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3"/>
    <n v="2282600384"/>
    <x v="0"/>
    <x v="35"/>
    <d v="2026-11-05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4"/>
    <n v="2282600385"/>
    <x v="0"/>
    <x v="35"/>
    <d v="2026-11-05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5"/>
    <n v="2302600386"/>
    <x v="1"/>
    <x v="35"/>
    <d v="2026-11-0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6"/>
    <n v="2302600387"/>
    <x v="1"/>
    <x v="35"/>
    <d v="2026-11-0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7"/>
    <n v="2282600388"/>
    <x v="0"/>
    <x v="35"/>
    <d v="2026-11-06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8"/>
    <n v="2282600389"/>
    <x v="0"/>
    <x v="35"/>
    <d v="2026-11-09T00:00:00"/>
    <x v="64"/>
    <d v="1899-12-30T00:00:00"/>
    <d v="2026-1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9"/>
    <n v="2302600390"/>
    <x v="1"/>
    <x v="35"/>
    <d v="2026-11-0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0"/>
    <n v="2302600391"/>
    <x v="1"/>
    <x v="35"/>
    <d v="2026-11-0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1"/>
    <n v="2282600392"/>
    <x v="0"/>
    <x v="35"/>
    <d v="2026-11-10T00:00:00"/>
    <x v="64"/>
    <d v="1899-12-30T00:00:00"/>
    <d v="2026-11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2"/>
    <n v="2282600393"/>
    <x v="0"/>
    <x v="35"/>
    <d v="2026-11-10T00:00:00"/>
    <x v="64"/>
    <d v="1899-12-30T00:00:00"/>
    <d v="2026-11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3"/>
    <n v="2302600394"/>
    <x v="1"/>
    <x v="35"/>
    <d v="2026-11-1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4"/>
    <n v="2302600395"/>
    <x v="1"/>
    <x v="35"/>
    <d v="2026-11-11T00:00:00"/>
    <x v="64"/>
    <d v="1899-12-30T00:00:00"/>
    <d v="2026-1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5"/>
    <n v="2282600396"/>
    <x v="0"/>
    <x v="35"/>
    <d v="2026-11-11T00:00:00"/>
    <x v="64"/>
    <d v="1899-12-30T00:00:00"/>
    <d v="2026-1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6"/>
    <n v="2282600397"/>
    <x v="0"/>
    <x v="35"/>
    <d v="2026-11-11T00:00:00"/>
    <x v="64"/>
    <d v="1899-12-30T00:00:00"/>
    <d v="2026-1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7"/>
    <n v="2302600398"/>
    <x v="1"/>
    <x v="35"/>
    <d v="2026-11-12T00:00:00"/>
    <x v="64"/>
    <d v="1899-12-30T00:00:00"/>
    <d v="2026-1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8"/>
    <n v="2302600399"/>
    <x v="1"/>
    <x v="35"/>
    <d v="2026-11-12T00:00:00"/>
    <x v="64"/>
    <d v="1899-12-30T00:00:00"/>
    <d v="2026-1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9"/>
    <n v="2282600400"/>
    <x v="0"/>
    <x v="35"/>
    <d v="2026-11-1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0"/>
    <n v="2282600401"/>
    <x v="0"/>
    <x v="35"/>
    <d v="2026-11-1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1"/>
    <n v="2302600402"/>
    <x v="1"/>
    <x v="35"/>
    <d v="2026-11-1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2"/>
    <n v="2302600403"/>
    <x v="1"/>
    <x v="35"/>
    <d v="2026-11-1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3"/>
    <n v="2282600404"/>
    <x v="0"/>
    <x v="35"/>
    <d v="2026-11-1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4"/>
    <n v="2282600405"/>
    <x v="0"/>
    <x v="35"/>
    <d v="2026-11-1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5"/>
    <n v="2302600406"/>
    <x v="1"/>
    <x v="35"/>
    <d v="2026-11-1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6"/>
    <n v="2302600407"/>
    <x v="1"/>
    <x v="35"/>
    <d v="2026-11-1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7"/>
    <n v="2282600408"/>
    <x v="0"/>
    <x v="35"/>
    <d v="2026-11-17T00:00:00"/>
    <x v="64"/>
    <d v="1899-12-30T00:00:00"/>
    <d v="2026-1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8"/>
    <n v="2282600409"/>
    <x v="0"/>
    <x v="35"/>
    <d v="2026-11-17T00:00:00"/>
    <x v="64"/>
    <d v="1899-12-30T00:00:00"/>
    <d v="2026-1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9"/>
    <n v="2302600410"/>
    <x v="1"/>
    <x v="35"/>
    <d v="2026-11-18T00:00:00"/>
    <x v="64"/>
    <d v="1899-12-30T00:00:00"/>
    <d v="2026-1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0"/>
    <n v="2302600411"/>
    <x v="1"/>
    <x v="35"/>
    <d v="2026-11-18T00:00:00"/>
    <x v="64"/>
    <d v="1899-12-30T00:00:00"/>
    <d v="2026-1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1"/>
    <n v="2282600412"/>
    <x v="0"/>
    <x v="35"/>
    <d v="2026-11-18T00:00:00"/>
    <x v="64"/>
    <d v="1899-12-30T00:00:00"/>
    <d v="2026-1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2"/>
    <n v="2282600413"/>
    <x v="0"/>
    <x v="35"/>
    <d v="2026-11-1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3"/>
    <n v="2302600414"/>
    <x v="1"/>
    <x v="35"/>
    <d v="2026-11-19T00:00:00"/>
    <x v="64"/>
    <d v="1899-12-30T00:00:00"/>
    <d v="2026-1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4"/>
    <n v="2302600415"/>
    <x v="1"/>
    <x v="35"/>
    <d v="2026-11-19T00:00:00"/>
    <x v="64"/>
    <d v="1899-12-30T00:00:00"/>
    <d v="2026-1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5"/>
    <n v="2282600416"/>
    <x v="0"/>
    <x v="35"/>
    <d v="2026-11-2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6"/>
    <n v="2282600417"/>
    <x v="0"/>
    <x v="35"/>
    <d v="2026-11-2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7"/>
    <n v="2302600418"/>
    <x v="1"/>
    <x v="35"/>
    <d v="2026-11-20T00:00:00"/>
    <x v="64"/>
    <d v="1899-12-30T00:00:00"/>
    <d v="2026-1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8"/>
    <n v="2302600419"/>
    <x v="1"/>
    <x v="35"/>
    <d v="2026-11-2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9"/>
    <n v="2282600420"/>
    <x v="0"/>
    <x v="35"/>
    <d v="2026-11-2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0"/>
    <n v="2282600421"/>
    <x v="0"/>
    <x v="35"/>
    <d v="2026-11-2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1"/>
    <n v="2302600422"/>
    <x v="1"/>
    <x v="35"/>
    <d v="2026-11-2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2"/>
    <n v="2302600423"/>
    <x v="1"/>
    <x v="35"/>
    <d v="2026-11-2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3"/>
    <n v="2282600424"/>
    <x v="0"/>
    <x v="35"/>
    <d v="2026-11-24T00:00:00"/>
    <x v="64"/>
    <d v="1899-12-30T00:00:00"/>
    <d v="2026-1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4"/>
    <n v="2282600425"/>
    <x v="0"/>
    <x v="35"/>
    <d v="2026-11-25T00:00:00"/>
    <x v="64"/>
    <d v="1899-12-30T00:00:00"/>
    <d v="2026-12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5"/>
    <n v="2302600426"/>
    <x v="1"/>
    <x v="35"/>
    <d v="2026-11-25T00:00:00"/>
    <x v="64"/>
    <d v="1899-12-30T00:00:00"/>
    <d v="2026-1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6"/>
    <n v="2302600427"/>
    <x v="1"/>
    <x v="35"/>
    <d v="2026-11-25T00:00:00"/>
    <x v="64"/>
    <d v="1899-12-30T00:00:00"/>
    <d v="2026-1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7"/>
    <n v="2282600428"/>
    <x v="0"/>
    <x v="35"/>
    <d v="2026-11-2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8"/>
    <n v="2282600429"/>
    <x v="0"/>
    <x v="35"/>
    <d v="2026-11-2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9"/>
    <n v="2302600430"/>
    <x v="1"/>
    <x v="35"/>
    <d v="2026-11-26T00:00:00"/>
    <x v="64"/>
    <d v="1899-12-30T00:00:00"/>
    <d v="2026-1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0"/>
    <n v="2302600431"/>
    <x v="1"/>
    <x v="35"/>
    <d v="2026-11-27T00:00:00"/>
    <x v="64"/>
    <d v="1899-12-30T00:00:00"/>
    <d v="2026-1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1"/>
    <n v="2282600432"/>
    <x v="0"/>
    <x v="35"/>
    <d v="2026-11-2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2"/>
    <n v="2282600433"/>
    <x v="0"/>
    <x v="35"/>
    <d v="2026-11-2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3"/>
    <n v="2302600434"/>
    <x v="1"/>
    <x v="35"/>
    <d v="2026-11-3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4"/>
    <n v="2302600435"/>
    <x v="1"/>
    <x v="35"/>
    <d v="2026-11-3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5"/>
    <n v="2282600436"/>
    <x v="0"/>
    <x v="35"/>
    <d v="2026-11-30T00:00:00"/>
    <x v="64"/>
    <d v="1899-12-30T00:00:00"/>
    <d v="2026-1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6"/>
    <n v="2282600437"/>
    <x v="0"/>
    <x v="35"/>
    <d v="2026-12-01T00:00:00"/>
    <x v="64"/>
    <d v="1899-12-30T00:00:00"/>
    <d v="2026-1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7"/>
    <n v="2302600438"/>
    <x v="1"/>
    <x v="35"/>
    <d v="2026-12-0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8"/>
    <n v="2302600439"/>
    <x v="1"/>
    <x v="35"/>
    <d v="2026-12-0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9"/>
    <n v="2282600440"/>
    <x v="0"/>
    <x v="35"/>
    <d v="2026-12-02T00:00:00"/>
    <x v="64"/>
    <d v="1899-12-30T00:00:00"/>
    <d v="2026-1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0"/>
    <n v="2282600441"/>
    <x v="0"/>
    <x v="35"/>
    <d v="2026-12-02T00:00:00"/>
    <x v="64"/>
    <d v="1899-12-30T00:00:00"/>
    <d v="2026-1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1"/>
    <n v="2302600442"/>
    <x v="1"/>
    <x v="35"/>
    <d v="2026-12-02T00:00:00"/>
    <x v="64"/>
    <d v="1899-12-30T00:00:00"/>
    <d v="2027-0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2"/>
    <n v="2302600443"/>
    <x v="1"/>
    <x v="35"/>
    <d v="2026-12-03T00:00:00"/>
    <x v="64"/>
    <d v="1899-12-30T00:00:00"/>
    <d v="2027-0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3"/>
    <n v="2282600444"/>
    <x v="0"/>
    <x v="35"/>
    <d v="2026-12-0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4"/>
    <n v="2282600445"/>
    <x v="0"/>
    <x v="35"/>
    <d v="2026-12-0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5"/>
    <n v="2302600446"/>
    <x v="1"/>
    <x v="35"/>
    <d v="2026-12-0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6"/>
    <n v="2302600447"/>
    <x v="1"/>
    <x v="35"/>
    <d v="2026-12-0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7"/>
    <n v="2282600448"/>
    <x v="0"/>
    <x v="35"/>
    <d v="2026-12-0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8"/>
    <n v="2282600449"/>
    <x v="0"/>
    <x v="35"/>
    <d v="2026-12-07T00:00:00"/>
    <x v="64"/>
    <d v="1899-12-30T00:00:00"/>
    <d v="2026-1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9"/>
    <n v="2302600450"/>
    <x v="1"/>
    <x v="35"/>
    <d v="2026-12-0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0"/>
    <n v="2302600451"/>
    <x v="1"/>
    <x v="35"/>
    <d v="2026-12-0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1"/>
    <n v="2282600452"/>
    <x v="0"/>
    <x v="35"/>
    <d v="2026-12-09T00:00:00"/>
    <x v="64"/>
    <d v="1899-12-30T00:00:00"/>
    <d v="2026-12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2"/>
    <n v="2282600453"/>
    <x v="0"/>
    <x v="35"/>
    <d v="2026-12-09T00:00:00"/>
    <x v="64"/>
    <d v="1899-12-30T00:00:00"/>
    <d v="2026-12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3"/>
    <n v="2302600454"/>
    <x v="1"/>
    <x v="35"/>
    <d v="2026-12-09T00:00:00"/>
    <x v="64"/>
    <d v="1899-12-30T00:00:00"/>
    <d v="2027-0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4"/>
    <n v="2302600455"/>
    <x v="1"/>
    <x v="35"/>
    <d v="2026-12-10T00:00:00"/>
    <x v="64"/>
    <d v="1899-12-30T00:00:00"/>
    <d v="2027-0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5"/>
    <n v="2282600456"/>
    <x v="0"/>
    <x v="35"/>
    <d v="2026-12-1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6"/>
    <n v="2282600457"/>
    <x v="0"/>
    <x v="35"/>
    <d v="2026-12-1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7"/>
    <n v="2302600458"/>
    <x v="1"/>
    <x v="35"/>
    <d v="2026-12-1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8"/>
    <n v="2302600459"/>
    <x v="1"/>
    <x v="35"/>
    <d v="2026-12-1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9"/>
    <n v="2282600460"/>
    <x v="0"/>
    <x v="35"/>
    <d v="2026-12-1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0"/>
    <n v="2282600461"/>
    <x v="0"/>
    <x v="35"/>
    <d v="2026-12-1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1"/>
    <n v="2302600462"/>
    <x v="1"/>
    <x v="35"/>
    <d v="2026-12-14T00:00:00"/>
    <x v="64"/>
    <d v="1899-12-30T00:00:00"/>
    <d v="2027-0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2"/>
    <n v="2302600463"/>
    <x v="1"/>
    <x v="35"/>
    <d v="2026-12-14T00:00:00"/>
    <x v="64"/>
    <d v="1899-12-30T00:00:00"/>
    <d v="2027-0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3"/>
    <n v="2282600464"/>
    <x v="0"/>
    <x v="35"/>
    <d v="2026-12-15T00:00:00"/>
    <x v="64"/>
    <d v="1899-12-30T00:00:00"/>
    <d v="2027-0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4"/>
    <n v="2282600465"/>
    <x v="0"/>
    <x v="35"/>
    <d v="2026-12-15T00:00:00"/>
    <x v="64"/>
    <d v="1899-12-30T00:00:00"/>
    <d v="2027-0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5"/>
    <n v="2302600466"/>
    <x v="1"/>
    <x v="35"/>
    <d v="2026-12-15T00:00:00"/>
    <x v="64"/>
    <d v="1899-12-30T00:00:00"/>
    <d v="2027-0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6"/>
    <n v="2302600467"/>
    <x v="1"/>
    <x v="35"/>
    <d v="2026-12-16T00:00:00"/>
    <x v="64"/>
    <d v="1899-12-30T00:00:00"/>
    <d v="2027-0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7"/>
    <n v="2282600468"/>
    <x v="0"/>
    <x v="35"/>
    <d v="2026-12-16T00:00:00"/>
    <x v="64"/>
    <d v="1899-12-30T00:00:00"/>
    <d v="2027-0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8"/>
    <n v="2282600469"/>
    <x v="0"/>
    <x v="35"/>
    <d v="2026-12-16T00:00:00"/>
    <x v="64"/>
    <d v="1899-12-30T00:00:00"/>
    <d v="2027-0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9"/>
    <n v="2302600470"/>
    <x v="1"/>
    <x v="35"/>
    <d v="2026-12-17T00:00:00"/>
    <x v="64"/>
    <d v="1899-12-30T00:00:00"/>
    <d v="2027-0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0"/>
    <n v="2302600471"/>
    <x v="1"/>
    <x v="35"/>
    <d v="2026-12-17T00:00:00"/>
    <x v="64"/>
    <d v="1899-12-30T00:00:00"/>
    <d v="2027-0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1"/>
    <n v="2282600472"/>
    <x v="0"/>
    <x v="35"/>
    <d v="2026-12-1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2"/>
    <n v="2282600473"/>
    <x v="0"/>
    <x v="35"/>
    <d v="2026-12-18T00:00:00"/>
    <x v="64"/>
    <d v="1899-12-30T00:00:00"/>
    <d v="2027-01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3"/>
    <n v="2302600474"/>
    <x v="1"/>
    <x v="35"/>
    <d v="2026-12-1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4"/>
    <n v="2302600475"/>
    <x v="1"/>
    <x v="35"/>
    <d v="2026-12-1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5"/>
    <n v="2282600476"/>
    <x v="0"/>
    <x v="35"/>
    <d v="2026-12-2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6"/>
    <n v="2282600477"/>
    <x v="0"/>
    <x v="35"/>
    <d v="2026-12-2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7"/>
    <n v="2302600478"/>
    <x v="1"/>
    <x v="35"/>
    <d v="2026-12-21T00:00:00"/>
    <x v="64"/>
    <d v="1899-12-30T00:00:00"/>
    <d v="2027-0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8"/>
    <n v="2302600479"/>
    <x v="1"/>
    <x v="35"/>
    <d v="2026-12-22T00:00:00"/>
    <x v="64"/>
    <d v="1899-12-30T00:00:00"/>
    <d v="2027-0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9"/>
    <n v="2282600480"/>
    <x v="0"/>
    <x v="35"/>
    <d v="2026-12-22T00:00:00"/>
    <x v="64"/>
    <d v="1899-12-30T00:00:00"/>
    <d v="2027-0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0"/>
    <n v="2282600481"/>
    <x v="0"/>
    <x v="35"/>
    <d v="2026-12-22T00:00:00"/>
    <x v="64"/>
    <d v="1899-12-30T00:00:00"/>
    <d v="2027-0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1"/>
    <n v="2302600482"/>
    <x v="1"/>
    <x v="35"/>
    <d v="2026-12-23T00:00:00"/>
    <x v="64"/>
    <d v="1899-12-30T00:00:00"/>
    <d v="2027-0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2"/>
    <n v="2302600483"/>
    <x v="1"/>
    <x v="35"/>
    <d v="2026-12-23T00:00:00"/>
    <x v="64"/>
    <d v="1899-12-30T00:00:00"/>
    <d v="2027-0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3"/>
    <n v="2282600484"/>
    <x v="0"/>
    <x v="35"/>
    <d v="2026-12-23T00:00:00"/>
    <x v="64"/>
    <d v="1899-12-30T00:00:00"/>
    <d v="2027-0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4"/>
    <n v="2282600485"/>
    <x v="0"/>
    <x v="35"/>
    <d v="2026-12-2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5"/>
    <n v="2302600486"/>
    <x v="1"/>
    <x v="35"/>
    <d v="2026-12-28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6"/>
    <n v="2302600487"/>
    <x v="1"/>
    <x v="35"/>
    <d v="2026-12-28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7"/>
    <n v="2282600488"/>
    <x v="0"/>
    <x v="35"/>
    <d v="2026-12-29T00:00:00"/>
    <x v="64"/>
    <d v="1899-12-30T00:00:00"/>
    <d v="2027-0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8"/>
    <n v="2282600489"/>
    <x v="0"/>
    <x v="35"/>
    <d v="2026-12-29T00:00:00"/>
    <x v="64"/>
    <d v="1899-12-30T00:00:00"/>
    <d v="2027-0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9"/>
    <n v="2302600490"/>
    <x v="1"/>
    <x v="35"/>
    <d v="2026-12-29T00:00:00"/>
    <x v="64"/>
    <d v="1899-12-30T00:00:00"/>
    <d v="2027-0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0"/>
    <n v="2302600491"/>
    <x v="1"/>
    <x v="35"/>
    <d v="2026-12-30T00:00:00"/>
    <x v="64"/>
    <d v="1899-12-30T00:00:00"/>
    <d v="2027-0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1"/>
    <n v="2282600492"/>
    <x v="0"/>
    <x v="35"/>
    <d v="2026-12-30T00:00:00"/>
    <x v="64"/>
    <d v="1899-12-30T00:00:00"/>
    <d v="2027-0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2"/>
    <n v="2282600493"/>
    <x v="0"/>
    <x v="35"/>
    <d v="2026-12-30T00:00:00"/>
    <x v="64"/>
    <d v="1899-12-30T00:00:00"/>
    <d v="2027-0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3"/>
    <n v="2302600494"/>
    <x v="1"/>
    <x v="35"/>
    <d v="2027-01-0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4"/>
    <n v="2302600495"/>
    <x v="1"/>
    <x v="35"/>
    <d v="2027-01-0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5"/>
    <n v="2282600496"/>
    <x v="0"/>
    <x v="35"/>
    <d v="2027-01-04T00:00:00"/>
    <x v="64"/>
    <d v="1899-12-30T00:00:00"/>
    <d v="2027-0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6"/>
    <n v="2282600497"/>
    <x v="0"/>
    <x v="35"/>
    <d v="2027-01-05T00:00:00"/>
    <x v="64"/>
    <d v="1899-12-30T00:00:00"/>
    <d v="2027-0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7"/>
    <n v="2302600498"/>
    <x v="1"/>
    <x v="35"/>
    <d v="2027-01-0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8"/>
    <n v="2302600499"/>
    <x v="1"/>
    <x v="35"/>
    <d v="2027-01-0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9"/>
    <n v="2282600500"/>
    <x v="0"/>
    <x v="35"/>
    <d v="2027-01-06T00:00:00"/>
    <x v="64"/>
    <d v="1899-12-30T00:00:00"/>
    <d v="2027-0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0"/>
    <n v="2282600501"/>
    <x v="0"/>
    <x v="35"/>
    <d v="2027-01-06T00:00:00"/>
    <x v="64"/>
    <d v="1899-12-30T00:00:00"/>
    <d v="2027-0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1"/>
    <n v="2302600502"/>
    <x v="1"/>
    <x v="35"/>
    <d v="2027-01-06T00:00:00"/>
    <x v="64"/>
    <d v="1899-12-30T00:00:00"/>
    <d v="2027-02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2"/>
    <n v="2302600503"/>
    <x v="1"/>
    <x v="35"/>
    <d v="2027-01-07T00:00:00"/>
    <x v="64"/>
    <d v="1899-12-30T00:00:00"/>
    <d v="2027-0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3"/>
    <n v="2282600504"/>
    <x v="0"/>
    <x v="35"/>
    <d v="2027-01-07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4"/>
    <n v="2282600505"/>
    <x v="0"/>
    <x v="35"/>
    <d v="2027-01-07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5"/>
    <n v="2302600506"/>
    <x v="1"/>
    <x v="35"/>
    <d v="2027-01-0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6"/>
    <n v="2302600507"/>
    <x v="1"/>
    <x v="35"/>
    <d v="2027-01-0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7"/>
    <n v="2282600508"/>
    <x v="0"/>
    <x v="35"/>
    <d v="2027-01-08T00:00:00"/>
    <x v="64"/>
    <d v="1899-12-30T00:00:00"/>
    <d v="2027-0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8"/>
    <n v="2282600509"/>
    <x v="0"/>
    <x v="35"/>
    <d v="2027-01-11T00:00:00"/>
    <x v="64"/>
    <d v="1899-12-30T00:00:00"/>
    <d v="2027-01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9"/>
    <n v="2302600510"/>
    <x v="1"/>
    <x v="35"/>
    <d v="2027-01-1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0"/>
    <n v="2302600511"/>
    <x v="1"/>
    <x v="35"/>
    <d v="2027-01-1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1"/>
    <n v="2282600512"/>
    <x v="0"/>
    <x v="35"/>
    <d v="2027-01-12T00:00:00"/>
    <x v="64"/>
    <d v="1899-12-30T00:00:00"/>
    <d v="2027-0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2"/>
    <n v="2282600513"/>
    <x v="0"/>
    <x v="35"/>
    <d v="2027-01-12T00:00:00"/>
    <x v="64"/>
    <d v="1899-12-30T00:00:00"/>
    <d v="2027-0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3"/>
    <n v="2302600514"/>
    <x v="1"/>
    <x v="35"/>
    <d v="2027-01-1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4"/>
    <n v="2302600515"/>
    <x v="1"/>
    <x v="35"/>
    <d v="2027-01-13T00:00:00"/>
    <x v="64"/>
    <d v="1899-12-30T00:00:00"/>
    <d v="2027-0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5"/>
    <n v="2282600516"/>
    <x v="0"/>
    <x v="35"/>
    <d v="2027-01-13T00:00:00"/>
    <x v="64"/>
    <d v="1899-12-30T00:00:00"/>
    <d v="2027-0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6"/>
    <n v="2282600517"/>
    <x v="0"/>
    <x v="35"/>
    <d v="2027-01-13T00:00:00"/>
    <x v="64"/>
    <d v="1899-12-30T00:00:00"/>
    <d v="2027-0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7"/>
    <n v="2302600518"/>
    <x v="1"/>
    <x v="35"/>
    <d v="2027-01-14T00:00:00"/>
    <x v="64"/>
    <d v="1899-12-30T00:00:00"/>
    <d v="2027-0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8"/>
    <n v="2302600519"/>
    <x v="1"/>
    <x v="35"/>
    <d v="2027-01-14T00:00:00"/>
    <x v="64"/>
    <d v="1899-12-30T00:00:00"/>
    <d v="2027-0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9"/>
    <n v="2282600520"/>
    <x v="0"/>
    <x v="35"/>
    <d v="2027-01-1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0"/>
    <n v="2282600521"/>
    <x v="0"/>
    <x v="35"/>
    <d v="2027-01-1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1"/>
    <n v="2302600522"/>
    <x v="1"/>
    <x v="35"/>
    <d v="2027-01-1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2"/>
    <n v="2302600523"/>
    <x v="1"/>
    <x v="35"/>
    <d v="2027-01-1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3"/>
    <n v="2282600524"/>
    <x v="0"/>
    <x v="35"/>
    <d v="2027-01-1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4"/>
    <n v="2282600525"/>
    <x v="0"/>
    <x v="35"/>
    <d v="2027-01-1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5"/>
    <n v="2302600526"/>
    <x v="1"/>
    <x v="35"/>
    <d v="2027-01-1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6"/>
    <n v="2302600527"/>
    <x v="1"/>
    <x v="35"/>
    <d v="2027-01-1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7"/>
    <n v="2282600528"/>
    <x v="0"/>
    <x v="35"/>
    <d v="2027-01-19T00:00:00"/>
    <x v="64"/>
    <d v="1899-12-30T00:00:00"/>
    <d v="2027-0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8"/>
    <n v="2282600529"/>
    <x v="0"/>
    <x v="35"/>
    <d v="2027-01-19T00:00:00"/>
    <x v="64"/>
    <d v="1899-12-30T00:00:00"/>
    <d v="2027-0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9"/>
    <n v="2302600530"/>
    <x v="1"/>
    <x v="35"/>
    <d v="2027-01-20T00:00:00"/>
    <x v="64"/>
    <d v="1899-12-30T00:00:00"/>
    <d v="2027-0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0"/>
    <n v="2302600531"/>
    <x v="1"/>
    <x v="35"/>
    <d v="2027-01-20T00:00:00"/>
    <x v="64"/>
    <d v="1899-12-30T00:00:00"/>
    <d v="2027-0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1"/>
    <n v="2282600532"/>
    <x v="0"/>
    <x v="35"/>
    <d v="2027-01-20T00:00:00"/>
    <x v="64"/>
    <d v="1899-12-30T00:00:00"/>
    <d v="2027-0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2"/>
    <n v="2282600533"/>
    <x v="0"/>
    <x v="35"/>
    <d v="2027-01-2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3"/>
    <n v="2302600534"/>
    <x v="1"/>
    <x v="35"/>
    <d v="2027-01-21T00:00:00"/>
    <x v="64"/>
    <d v="1899-12-30T00:00:00"/>
    <d v="2027-0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4"/>
    <n v="2302600535"/>
    <x v="1"/>
    <x v="35"/>
    <d v="2027-01-21T00:00:00"/>
    <x v="64"/>
    <d v="1899-12-30T00:00:00"/>
    <d v="2027-0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5"/>
    <n v="2282600536"/>
    <x v="0"/>
    <x v="35"/>
    <d v="2027-01-2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6"/>
    <n v="2282600537"/>
    <x v="0"/>
    <x v="35"/>
    <d v="2027-01-2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7"/>
    <n v="2302600538"/>
    <x v="1"/>
    <x v="35"/>
    <d v="2027-01-22T00:00:00"/>
    <x v="64"/>
    <d v="1899-12-30T00:00:00"/>
    <d v="2027-0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8"/>
    <n v="2302600539"/>
    <x v="1"/>
    <x v="35"/>
    <d v="2027-01-25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9"/>
    <n v="2282600540"/>
    <x v="0"/>
    <x v="35"/>
    <d v="2027-01-2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0"/>
    <n v="2282600541"/>
    <x v="0"/>
    <x v="35"/>
    <d v="2027-01-2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1"/>
    <n v="2302600542"/>
    <x v="1"/>
    <x v="35"/>
    <d v="2027-01-26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2"/>
    <n v="2302600543"/>
    <x v="1"/>
    <x v="35"/>
    <d v="2027-01-26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3"/>
    <n v="2282600544"/>
    <x v="0"/>
    <x v="35"/>
    <d v="2027-01-26T00:00:00"/>
    <x v="64"/>
    <d v="1899-12-30T00:00:00"/>
    <d v="2027-02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4"/>
    <n v="2282600545"/>
    <x v="0"/>
    <x v="35"/>
    <d v="2027-01-27T00:00:00"/>
    <x v="64"/>
    <d v="1899-12-30T00:00:00"/>
    <d v="2027-0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5"/>
    <n v="2302600546"/>
    <x v="1"/>
    <x v="35"/>
    <d v="2027-01-27T00:00:00"/>
    <x v="64"/>
    <d v="1899-12-30T00:00:00"/>
    <d v="2027-0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6"/>
    <n v="2302600547"/>
    <x v="1"/>
    <x v="35"/>
    <d v="2027-01-27T00:00:00"/>
    <x v="64"/>
    <d v="1899-12-30T00:00:00"/>
    <d v="2027-0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7"/>
    <n v="2282600548"/>
    <x v="0"/>
    <x v="35"/>
    <d v="2027-01-2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8"/>
    <n v="2282600549"/>
    <x v="0"/>
    <x v="35"/>
    <d v="2027-01-2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9"/>
    <n v="2302600550"/>
    <x v="1"/>
    <x v="35"/>
    <d v="2027-01-28T00:00:00"/>
    <x v="64"/>
    <d v="1899-12-30T00:00:00"/>
    <d v="2027-0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0"/>
    <n v="2302600551"/>
    <x v="1"/>
    <x v="35"/>
    <d v="2027-01-29T00:00:00"/>
    <x v="64"/>
    <d v="1899-12-30T00:00:00"/>
    <d v="2027-02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1"/>
    <n v="2282600552"/>
    <x v="0"/>
    <x v="35"/>
    <d v="2027-01-2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2"/>
    <n v="2282600553"/>
    <x v="0"/>
    <x v="35"/>
    <d v="2027-01-2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3"/>
    <n v="2302600554"/>
    <x v="1"/>
    <x v="35"/>
    <d v="2027-02-0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4"/>
    <n v="2302600555"/>
    <x v="1"/>
    <x v="35"/>
    <d v="2027-02-0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5"/>
    <n v="2282600556"/>
    <x v="0"/>
    <x v="35"/>
    <d v="2027-02-01T00:00:00"/>
    <x v="64"/>
    <d v="1899-12-30T00:00:00"/>
    <d v="2027-0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6"/>
    <n v="2282600557"/>
    <x v="0"/>
    <x v="35"/>
    <d v="2027-02-02T00:00:00"/>
    <x v="64"/>
    <d v="1899-12-30T00:00:00"/>
    <d v="2027-0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7"/>
    <n v="2302600558"/>
    <x v="1"/>
    <x v="35"/>
    <d v="2027-02-0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8"/>
    <n v="2302600559"/>
    <x v="1"/>
    <x v="35"/>
    <d v="2027-02-0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9"/>
    <n v="2282600560"/>
    <x v="0"/>
    <x v="35"/>
    <d v="2027-02-03T00:00:00"/>
    <x v="64"/>
    <d v="1899-12-30T00:00:00"/>
    <d v="2027-0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0"/>
    <n v="2282600561"/>
    <x v="0"/>
    <x v="35"/>
    <d v="2027-02-03T00:00:00"/>
    <x v="64"/>
    <d v="1899-12-30T00:00:00"/>
    <d v="2027-0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1"/>
    <n v="2302600562"/>
    <x v="1"/>
    <x v="35"/>
    <d v="2027-02-03T00:00:00"/>
    <x v="64"/>
    <d v="1899-12-30T00:00:00"/>
    <d v="2027-03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2"/>
    <n v="2302600563"/>
    <x v="1"/>
    <x v="35"/>
    <d v="2027-02-04T00:00:00"/>
    <x v="64"/>
    <d v="1899-12-30T00:00:00"/>
    <d v="2027-03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3"/>
    <n v="2282600564"/>
    <x v="0"/>
    <x v="35"/>
    <d v="2027-02-04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4"/>
    <n v="2282600565"/>
    <x v="0"/>
    <x v="35"/>
    <d v="2027-02-04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5"/>
    <n v="2302600566"/>
    <x v="1"/>
    <x v="35"/>
    <d v="2027-02-0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6"/>
    <n v="2302600567"/>
    <x v="1"/>
    <x v="35"/>
    <d v="2027-02-0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7"/>
    <n v="2282600568"/>
    <x v="0"/>
    <x v="35"/>
    <d v="2027-02-05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8"/>
    <n v="2282600569"/>
    <x v="0"/>
    <x v="35"/>
    <d v="2027-02-08T00:00:00"/>
    <x v="64"/>
    <d v="1899-12-30T00:00:00"/>
    <d v="2027-02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9"/>
    <n v="2302600570"/>
    <x v="1"/>
    <x v="35"/>
    <d v="2027-02-0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0"/>
    <n v="2302600571"/>
    <x v="1"/>
    <x v="35"/>
    <d v="2027-02-0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1"/>
    <n v="2282600572"/>
    <x v="0"/>
    <x v="35"/>
    <d v="2027-02-09T00:00:00"/>
    <x v="64"/>
    <d v="1899-12-30T00:00:00"/>
    <d v="2027-03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2"/>
    <n v="2282600573"/>
    <x v="0"/>
    <x v="35"/>
    <d v="2027-02-09T00:00:00"/>
    <x v="64"/>
    <d v="1899-12-30T00:00:00"/>
    <d v="2027-03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3"/>
    <n v="2302600574"/>
    <x v="1"/>
    <x v="35"/>
    <d v="2027-02-0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4"/>
    <n v="2302600575"/>
    <x v="1"/>
    <x v="35"/>
    <d v="2027-02-10T00:00:00"/>
    <x v="64"/>
    <d v="1899-12-30T00:00:00"/>
    <d v="2027-03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5"/>
    <n v="2282600576"/>
    <x v="0"/>
    <x v="35"/>
    <d v="2027-02-10T00:00:00"/>
    <x v="64"/>
    <d v="1899-12-30T00:00:00"/>
    <d v="2027-03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6"/>
    <n v="2282600577"/>
    <x v="0"/>
    <x v="35"/>
    <d v="2027-02-10T00:00:00"/>
    <x v="64"/>
    <d v="1899-12-30T00:00:00"/>
    <d v="2027-03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7"/>
    <n v="2302600578"/>
    <x v="1"/>
    <x v="35"/>
    <d v="2027-02-11T00:00:00"/>
    <x v="64"/>
    <d v="1899-12-30T00:00:00"/>
    <d v="2027-03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8"/>
    <n v="2302600579"/>
    <x v="1"/>
    <x v="35"/>
    <d v="2027-02-11T00:00:00"/>
    <x v="64"/>
    <d v="1899-12-30T00:00:00"/>
    <d v="2027-03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9"/>
    <n v="2282600580"/>
    <x v="0"/>
    <x v="35"/>
    <d v="2027-02-1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0"/>
    <n v="2282600581"/>
    <x v="0"/>
    <x v="35"/>
    <d v="2027-02-1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1"/>
    <n v="2302600582"/>
    <x v="1"/>
    <x v="35"/>
    <d v="2027-02-1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2"/>
    <n v="2302600583"/>
    <x v="1"/>
    <x v="35"/>
    <d v="2027-02-1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3"/>
    <n v="2282600584"/>
    <x v="0"/>
    <x v="35"/>
    <d v="2027-02-1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4"/>
    <n v="2282600585"/>
    <x v="0"/>
    <x v="35"/>
    <d v="2027-02-1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5"/>
    <n v="2302600586"/>
    <x v="1"/>
    <x v="35"/>
    <d v="2027-02-1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6"/>
    <n v="2302600587"/>
    <x v="1"/>
    <x v="35"/>
    <d v="2027-02-1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7"/>
    <n v="2282600588"/>
    <x v="0"/>
    <x v="35"/>
    <d v="2027-02-16T00:00:00"/>
    <x v="64"/>
    <d v="1899-12-30T00:00:00"/>
    <d v="2027-03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8"/>
    <n v="2282600589"/>
    <x v="0"/>
    <x v="35"/>
    <d v="2027-02-16T00:00:00"/>
    <x v="64"/>
    <d v="1899-12-30T00:00:00"/>
    <d v="2027-03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9"/>
    <n v="2302600590"/>
    <x v="1"/>
    <x v="35"/>
    <d v="2027-02-17T00:00:00"/>
    <x v="64"/>
    <d v="1899-12-30T00:00:00"/>
    <d v="2027-03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0"/>
    <n v="2302600591"/>
    <x v="1"/>
    <x v="35"/>
    <d v="2027-02-17T00:00:00"/>
    <x v="64"/>
    <d v="1899-12-30T00:00:00"/>
    <d v="2027-03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1"/>
    <n v="2282600592"/>
    <x v="0"/>
    <x v="35"/>
    <d v="2027-02-17T00:00:00"/>
    <x v="64"/>
    <d v="1899-12-30T00:00:00"/>
    <d v="2027-03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2"/>
    <n v="2282600593"/>
    <x v="0"/>
    <x v="35"/>
    <d v="2027-02-1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3"/>
    <n v="2302600594"/>
    <x v="1"/>
    <x v="35"/>
    <d v="2027-02-18T00:00:00"/>
    <x v="64"/>
    <d v="1899-12-30T00:00:00"/>
    <d v="2027-03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4"/>
    <n v="2302600595"/>
    <x v="1"/>
    <x v="35"/>
    <d v="2027-02-18T00:00:00"/>
    <x v="64"/>
    <d v="1899-12-30T00:00:00"/>
    <d v="2027-03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5"/>
    <n v="2282600596"/>
    <x v="0"/>
    <x v="35"/>
    <d v="2027-02-1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6"/>
    <n v="2282600597"/>
    <x v="0"/>
    <x v="35"/>
    <d v="2027-02-1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7"/>
    <n v="2302600598"/>
    <x v="1"/>
    <x v="35"/>
    <d v="2027-02-19T00:00:00"/>
    <x v="64"/>
    <d v="1899-12-30T00:00:00"/>
    <d v="2027-03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8"/>
    <n v="2302600599"/>
    <x v="1"/>
    <x v="35"/>
    <d v="2027-02-22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9"/>
    <n v="2282600600"/>
    <x v="0"/>
    <x v="35"/>
    <d v="2027-02-2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0"/>
    <n v="2282600601"/>
    <x v="0"/>
    <x v="35"/>
    <d v="2027-02-2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1"/>
    <n v="2302600602"/>
    <x v="1"/>
    <x v="35"/>
    <d v="2027-02-23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2"/>
    <n v="2302600603"/>
    <x v="1"/>
    <x v="35"/>
    <d v="2027-02-23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3"/>
    <n v="2282600604"/>
    <x v="0"/>
    <x v="35"/>
    <d v="2027-02-23T00:00:00"/>
    <x v="64"/>
    <d v="1899-12-30T00:00:00"/>
    <d v="2027-03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4"/>
    <n v="2282600605"/>
    <x v="0"/>
    <x v="35"/>
    <d v="2027-02-24T00:00:00"/>
    <x v="64"/>
    <d v="1899-12-30T00:00:00"/>
    <d v="2027-03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5"/>
    <n v="2302600606"/>
    <x v="1"/>
    <x v="35"/>
    <d v="2027-02-24T00:00:00"/>
    <x v="64"/>
    <d v="1899-12-30T00:00:00"/>
    <d v="2027-03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6"/>
    <n v="2302600607"/>
    <x v="1"/>
    <x v="35"/>
    <d v="2027-02-24T00:00:00"/>
    <x v="64"/>
    <d v="1899-12-30T00:00:00"/>
    <d v="2027-03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7"/>
    <n v="2282600608"/>
    <x v="0"/>
    <x v="35"/>
    <d v="2027-02-2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8"/>
    <n v="2282600609"/>
    <x v="0"/>
    <x v="35"/>
    <d v="2027-02-2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9"/>
    <n v="2302600610"/>
    <x v="1"/>
    <x v="35"/>
    <d v="2027-02-25T00:00:00"/>
    <x v="64"/>
    <d v="1899-12-30T00:00:00"/>
    <d v="2027-03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0"/>
    <n v="2302600611"/>
    <x v="1"/>
    <x v="35"/>
    <d v="2027-02-26T00:00:00"/>
    <x v="64"/>
    <d v="1899-12-30T00:00:00"/>
    <d v="2027-03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1"/>
    <n v="2282600612"/>
    <x v="0"/>
    <x v="35"/>
    <d v="2027-02-2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2"/>
    <n v="2282600613"/>
    <x v="0"/>
    <x v="35"/>
    <d v="2027-02-2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3"/>
    <n v="2302600614"/>
    <x v="1"/>
    <x v="35"/>
    <d v="2027-03-0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4"/>
    <n v="2302600615"/>
    <x v="1"/>
    <x v="35"/>
    <d v="2027-03-0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5"/>
    <n v="2282600616"/>
    <x v="0"/>
    <x v="35"/>
    <d v="2027-03-01T00:00:00"/>
    <x v="64"/>
    <d v="1899-12-30T00:00:00"/>
    <d v="2027-03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6"/>
    <n v="2282600617"/>
    <x v="0"/>
    <x v="35"/>
    <d v="2027-03-02T00:00:00"/>
    <x v="64"/>
    <d v="1899-12-30T00:00:00"/>
    <d v="2027-03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7"/>
    <n v="2302600618"/>
    <x v="1"/>
    <x v="35"/>
    <d v="2027-03-0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8"/>
    <n v="2302600619"/>
    <x v="1"/>
    <x v="35"/>
    <d v="2027-03-0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9"/>
    <n v="2282600620"/>
    <x v="0"/>
    <x v="35"/>
    <d v="2027-03-03T00:00:00"/>
    <x v="64"/>
    <d v="1899-12-30T00:00:00"/>
    <d v="2027-03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0"/>
    <n v="2282600621"/>
    <x v="0"/>
    <x v="35"/>
    <d v="2027-03-03T00:00:00"/>
    <x v="64"/>
    <d v="1899-12-30T00:00:00"/>
    <d v="2027-03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1"/>
    <n v="2302600622"/>
    <x v="1"/>
    <x v="35"/>
    <d v="2027-03-03T00:00:00"/>
    <x v="64"/>
    <d v="1899-12-30T00:00:00"/>
    <d v="2027-04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2"/>
    <n v="2302600623"/>
    <x v="1"/>
    <x v="35"/>
    <d v="2027-03-04T00:00:00"/>
    <x v="64"/>
    <d v="1899-12-30T00:00:00"/>
    <d v="2027-04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3"/>
    <n v="2282600624"/>
    <x v="0"/>
    <x v="35"/>
    <d v="2027-03-04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4"/>
    <n v="2282600625"/>
    <x v="0"/>
    <x v="35"/>
    <d v="2027-03-04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5"/>
    <n v="2302600626"/>
    <x v="1"/>
    <x v="35"/>
    <d v="2027-03-0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6"/>
    <n v="2302600627"/>
    <x v="1"/>
    <x v="35"/>
    <d v="2027-03-0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7"/>
    <n v="2282600628"/>
    <x v="0"/>
    <x v="35"/>
    <d v="2027-03-05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8"/>
    <n v="2282600629"/>
    <x v="0"/>
    <x v="35"/>
    <d v="2027-03-08T00:00:00"/>
    <x v="64"/>
    <d v="1899-12-30T00:00:00"/>
    <d v="2027-03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9"/>
    <n v="2302600630"/>
    <x v="1"/>
    <x v="35"/>
    <d v="2027-03-0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0"/>
    <n v="2302600631"/>
    <x v="1"/>
    <x v="35"/>
    <d v="2027-03-0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1"/>
    <n v="2282600632"/>
    <x v="0"/>
    <x v="35"/>
    <d v="2027-03-09T00:00:00"/>
    <x v="64"/>
    <d v="1899-12-30T00:00:00"/>
    <d v="2027-03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2"/>
    <n v="2282600633"/>
    <x v="0"/>
    <x v="35"/>
    <d v="2027-03-09T00:00:00"/>
    <x v="64"/>
    <d v="1899-12-30T00:00:00"/>
    <d v="2027-03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3"/>
    <n v="2302600634"/>
    <x v="1"/>
    <x v="35"/>
    <d v="2027-03-0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4"/>
    <n v="2302600635"/>
    <x v="1"/>
    <x v="35"/>
    <d v="2027-03-10T00:00:00"/>
    <x v="64"/>
    <d v="1899-12-30T00:00:00"/>
    <d v="2027-04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5"/>
    <n v="2282600636"/>
    <x v="0"/>
    <x v="35"/>
    <d v="2027-03-10T00:00:00"/>
    <x v="64"/>
    <d v="1899-12-30T00:00:00"/>
    <d v="2027-03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6"/>
    <n v="2282600637"/>
    <x v="0"/>
    <x v="35"/>
    <d v="2027-03-10T00:00:00"/>
    <x v="64"/>
    <d v="1899-12-30T00:00:00"/>
    <d v="2027-03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7"/>
    <n v="2302600638"/>
    <x v="1"/>
    <x v="35"/>
    <d v="2027-03-11T00:00:00"/>
    <x v="64"/>
    <d v="1899-12-30T00:00:00"/>
    <d v="2027-04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8"/>
    <n v="2302600639"/>
    <x v="1"/>
    <x v="35"/>
    <d v="2027-03-11T00:00:00"/>
    <x v="64"/>
    <d v="1899-12-30T00:00:00"/>
    <d v="2027-04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9"/>
    <n v="2282600640"/>
    <x v="0"/>
    <x v="35"/>
    <d v="2027-03-1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0"/>
    <n v="2282600641"/>
    <x v="0"/>
    <x v="35"/>
    <d v="2027-03-1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1"/>
    <n v="2302600642"/>
    <x v="1"/>
    <x v="35"/>
    <d v="2027-03-1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2"/>
    <n v="2302600643"/>
    <x v="1"/>
    <x v="35"/>
    <d v="2027-03-1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3"/>
    <n v="2282600644"/>
    <x v="0"/>
    <x v="35"/>
    <d v="2027-03-1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4"/>
    <n v="2282600645"/>
    <x v="0"/>
    <x v="35"/>
    <d v="2027-03-1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5"/>
    <n v="2302600646"/>
    <x v="1"/>
    <x v="35"/>
    <d v="2027-03-1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6"/>
    <n v="2302600647"/>
    <x v="1"/>
    <x v="35"/>
    <d v="2027-03-1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7"/>
    <n v="2282600648"/>
    <x v="0"/>
    <x v="35"/>
    <d v="2027-03-16T00:00:00"/>
    <x v="64"/>
    <d v="1899-12-30T00:00:00"/>
    <d v="2027-04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8"/>
    <n v="2282600649"/>
    <x v="0"/>
    <x v="35"/>
    <d v="2027-03-16T00:00:00"/>
    <x v="64"/>
    <d v="1899-12-30T00:00:00"/>
    <d v="2027-04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9"/>
    <n v="2302600650"/>
    <x v="1"/>
    <x v="35"/>
    <d v="2027-03-17T00:00:00"/>
    <x v="64"/>
    <d v="1899-12-30T00:00:00"/>
    <d v="2027-04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0"/>
    <n v="2302600651"/>
    <x v="1"/>
    <x v="35"/>
    <d v="2027-03-17T00:00:00"/>
    <x v="64"/>
    <d v="1899-12-30T00:00:00"/>
    <d v="2027-04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1"/>
    <n v="2282600652"/>
    <x v="0"/>
    <x v="35"/>
    <d v="2027-03-17T00:00:00"/>
    <x v="64"/>
    <d v="1899-12-30T00:00:00"/>
    <d v="2027-04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2"/>
    <n v="2282600653"/>
    <x v="0"/>
    <x v="35"/>
    <d v="2027-03-1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3"/>
    <n v="2302600654"/>
    <x v="1"/>
    <x v="35"/>
    <d v="2027-03-18T00:00:00"/>
    <x v="64"/>
    <d v="1899-12-30T00:00:00"/>
    <d v="2027-04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4"/>
    <n v="2302600655"/>
    <x v="1"/>
    <x v="35"/>
    <d v="2027-03-18T00:00:00"/>
    <x v="64"/>
    <d v="1899-12-30T00:00:00"/>
    <d v="2027-04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5"/>
    <n v="2282600656"/>
    <x v="0"/>
    <x v="35"/>
    <d v="2027-03-1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6"/>
    <n v="2282600657"/>
    <x v="0"/>
    <x v="35"/>
    <d v="2027-03-1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7"/>
    <n v="2302600658"/>
    <x v="1"/>
    <x v="35"/>
    <d v="2027-03-19T00:00:00"/>
    <x v="64"/>
    <d v="1899-12-30T00:00:00"/>
    <d v="2027-04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8"/>
    <n v="2302600659"/>
    <x v="1"/>
    <x v="35"/>
    <d v="2027-03-22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9"/>
    <n v="2282600660"/>
    <x v="0"/>
    <x v="35"/>
    <d v="2027-03-2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0"/>
    <n v="2282600661"/>
    <x v="0"/>
    <x v="35"/>
    <d v="2027-03-2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1"/>
    <n v="2302600662"/>
    <x v="1"/>
    <x v="35"/>
    <d v="2027-03-23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2"/>
    <n v="2302600663"/>
    <x v="1"/>
    <x v="35"/>
    <d v="2027-03-23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3"/>
    <n v="2282600664"/>
    <x v="0"/>
    <x v="35"/>
    <d v="2027-03-23T00:00:00"/>
    <x v="64"/>
    <d v="1899-12-30T00:00:00"/>
    <d v="2027-04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4"/>
    <n v="2282600665"/>
    <x v="0"/>
    <x v="35"/>
    <d v="2027-03-24T00:00:00"/>
    <x v="64"/>
    <d v="1899-12-30T00:00:00"/>
    <d v="2027-04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5"/>
    <n v="2302600666"/>
    <x v="1"/>
    <x v="35"/>
    <d v="2027-03-24T00:00:00"/>
    <x v="64"/>
    <d v="1899-12-30T00:00:00"/>
    <d v="2027-04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6"/>
    <n v="2302600667"/>
    <x v="1"/>
    <x v="35"/>
    <d v="2027-03-24T00:00:00"/>
    <x v="64"/>
    <d v="1899-12-30T00:00:00"/>
    <d v="2027-04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7"/>
    <n v="2282600668"/>
    <x v="0"/>
    <x v="35"/>
    <d v="2027-03-2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8"/>
    <n v="2282600669"/>
    <x v="0"/>
    <x v="35"/>
    <d v="2027-03-2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9"/>
    <n v="2302600670"/>
    <x v="1"/>
    <x v="35"/>
    <d v="2027-03-25T00:00:00"/>
    <x v="64"/>
    <d v="1899-12-30T00:00:00"/>
    <d v="2027-04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0"/>
    <n v="2302600671"/>
    <x v="1"/>
    <x v="35"/>
    <d v="2027-03-26T00:00:00"/>
    <x v="64"/>
    <d v="1899-12-30T00:00:00"/>
    <d v="2027-04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1"/>
    <n v="2282600672"/>
    <x v="0"/>
    <x v="35"/>
    <d v="2027-03-2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2"/>
    <n v="2282600673"/>
    <x v="0"/>
    <x v="35"/>
    <d v="2027-03-2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3"/>
    <n v="2302600674"/>
    <x v="1"/>
    <x v="35"/>
    <d v="2027-03-29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4"/>
    <n v="2302600675"/>
    <x v="1"/>
    <x v="35"/>
    <d v="2027-03-29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5"/>
    <n v="2282600676"/>
    <x v="0"/>
    <x v="35"/>
    <d v="2027-03-29T00:00:00"/>
    <x v="64"/>
    <d v="1899-12-30T00:00:00"/>
    <d v="2027-04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6"/>
    <n v="2282600677"/>
    <x v="0"/>
    <x v="35"/>
    <d v="2027-03-30T00:00:00"/>
    <x v="64"/>
    <d v="1899-12-30T00:00:00"/>
    <d v="2027-04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7"/>
    <n v="2302600678"/>
    <x v="1"/>
    <x v="35"/>
    <d v="2027-03-30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8"/>
    <n v="2302600679"/>
    <x v="1"/>
    <x v="35"/>
    <d v="2027-03-30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9"/>
    <n v="2282600680"/>
    <x v="0"/>
    <x v="35"/>
    <d v="2027-03-31T00:00:00"/>
    <x v="64"/>
    <d v="1899-12-30T00:00:00"/>
    <d v="2027-04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0"/>
    <n v="2282600681"/>
    <x v="0"/>
    <x v="35"/>
    <d v="2027-03-31T00:00:00"/>
    <x v="64"/>
    <d v="1899-12-30T00:00:00"/>
    <d v="2027-04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1"/>
    <n v="2302600682"/>
    <x v="1"/>
    <x v="35"/>
    <d v="2027-03-31T00:00:00"/>
    <x v="64"/>
    <d v="1899-12-30T00:00:00"/>
    <d v="2027-04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2"/>
    <n v="2302600683"/>
    <x v="1"/>
    <x v="35"/>
    <d v="2027-04-01T00:00:00"/>
    <x v="64"/>
    <d v="1899-12-30T00:00:00"/>
    <d v="2027-05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3"/>
    <n v="2282600684"/>
    <x v="0"/>
    <x v="35"/>
    <d v="2027-04-01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4"/>
    <n v="2282600685"/>
    <x v="0"/>
    <x v="35"/>
    <d v="2027-04-01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5"/>
    <n v="2302600686"/>
    <x v="1"/>
    <x v="35"/>
    <d v="2027-04-0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6"/>
    <n v="2302600687"/>
    <x v="1"/>
    <x v="35"/>
    <d v="2027-04-0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7"/>
    <n v="2282600688"/>
    <x v="0"/>
    <x v="35"/>
    <d v="2027-04-02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8"/>
    <n v="2282600689"/>
    <x v="0"/>
    <x v="35"/>
    <d v="2027-04-05T00:00:00"/>
    <x v="64"/>
    <d v="1899-12-30T00:00:00"/>
    <d v="2027-04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9"/>
    <n v="2302600690"/>
    <x v="1"/>
    <x v="35"/>
    <d v="2027-04-05T00:00:00"/>
    <x v="64"/>
    <d v="1899-12-30T00:00:00"/>
    <d v="2027-05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0"/>
    <n v="2302600691"/>
    <x v="1"/>
    <x v="35"/>
    <d v="2027-04-05T00:00:00"/>
    <x v="64"/>
    <d v="1899-12-30T00:00:00"/>
    <d v="2027-05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1"/>
    <n v="2282600692"/>
    <x v="0"/>
    <x v="35"/>
    <d v="2027-04-06T00:00:00"/>
    <x v="64"/>
    <d v="1899-12-30T00:00:00"/>
    <d v="2027-04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2"/>
    <n v="2282600693"/>
    <x v="0"/>
    <x v="35"/>
    <d v="2027-04-06T00:00:00"/>
    <x v="64"/>
    <d v="1899-12-30T00:00:00"/>
    <d v="2027-04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3"/>
    <n v="2302600694"/>
    <x v="1"/>
    <x v="35"/>
    <d v="2027-04-06T00:00:00"/>
    <x v="64"/>
    <d v="1899-12-30T00:00:00"/>
    <d v="2027-05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4"/>
    <n v="2302600695"/>
    <x v="1"/>
    <x v="35"/>
    <d v="2027-04-07T00:00:00"/>
    <x v="64"/>
    <d v="1899-12-30T00:00:00"/>
    <d v="2027-05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5"/>
    <n v="2282600696"/>
    <x v="0"/>
    <x v="35"/>
    <d v="2027-04-07T00:00:00"/>
    <x v="64"/>
    <d v="1899-12-30T00:00:00"/>
    <d v="2027-04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6"/>
    <n v="2282600697"/>
    <x v="0"/>
    <x v="35"/>
    <d v="2027-04-07T00:00:00"/>
    <x v="64"/>
    <d v="1899-12-30T00:00:00"/>
    <d v="2027-04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7"/>
    <n v="2302600698"/>
    <x v="1"/>
    <x v="35"/>
    <d v="2027-04-08T00:00:00"/>
    <x v="64"/>
    <d v="1899-12-30T00:00:00"/>
    <d v="2027-05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8"/>
    <n v="2302600699"/>
    <x v="1"/>
    <x v="35"/>
    <d v="2027-04-08T00:00:00"/>
    <x v="64"/>
    <d v="1899-12-30T00:00:00"/>
    <d v="2027-05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9"/>
    <n v="2282600700"/>
    <x v="0"/>
    <x v="35"/>
    <d v="2027-04-08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0"/>
    <n v="2282600701"/>
    <x v="0"/>
    <x v="35"/>
    <d v="2027-04-09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1"/>
    <n v="2302600702"/>
    <x v="1"/>
    <x v="35"/>
    <d v="2027-04-09T00:00:00"/>
    <x v="64"/>
    <d v="1899-12-30T00:00:00"/>
    <d v="2027-05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2"/>
    <n v="2302600703"/>
    <x v="1"/>
    <x v="35"/>
    <d v="2027-04-09T00:00:00"/>
    <x v="64"/>
    <d v="1899-12-30T00:00:00"/>
    <d v="2027-05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3"/>
    <n v="2282600704"/>
    <x v="0"/>
    <x v="35"/>
    <d v="2027-04-1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7527739926027"/>
    <s v=""/>
    <n v="1138670.8273311271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5.1099898157581"/>
    <s v=""/>
    <n v="1543895.6367003056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67.421912350597"/>
    <s v=""/>
    <n v="2486124.6155378483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28.418009810792"/>
    <s v=""/>
    <n v="3002257.3318149964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1.4966651845266"/>
    <s v=""/>
    <n v="65967.89328590485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593.507725476105"/>
    <s v=""/>
    <n v="5031287.3000359321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1.4966651845266"/>
    <s v=""/>
    <n v="55660.409959982215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593.507725476105"/>
    <s v=""/>
    <n v="6715580.9026230685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7527739926027"/>
    <s v=""/>
    <n v="2238742.6435662839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5.1099898157581"/>
    <s v=""/>
    <n v="638524.7386353116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67.421912350597"/>
    <s v=""/>
    <n v="1310865.706374502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28.418009810792"/>
    <s v=""/>
    <n v="1314501.858794674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1.4966651845266"/>
    <s v=""/>
    <n v="12368.97999110716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593.507725476105"/>
    <s v=""/>
    <n v="4728978.1918792669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7527739926027"/>
    <s v=""/>
    <n v="2692281.023943936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5.1099898157581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67.421912350597"/>
    <s v=""/>
    <n v="1732753.5199203186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28.418009810792"/>
    <s v=""/>
    <n v="3375510.9460406448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n v="62.88827470200259"/>
    <n v="2061.4966651845266"/>
    <n v="129643.96857738677"/>
    <n v="53598.91329479769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593.507725476105"/>
    <s v=""/>
    <n v="5355189.915918074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n v="62.56118715551294"/>
    <n v="9649.7527739926027"/>
    <n v="603699.98929818138"/>
    <n v="5066120.20634611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5.1099898157581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67.421912350597"/>
    <s v=""/>
    <n v="2486124.6155378483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28.418009810792"/>
    <s v=""/>
    <n v="3164541.5119131044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96.7258784083391"/>
    <n v="150740.5806451613"/>
    <n v="-120098921.52629922"/>
    <n v="2261108.7096774196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n v="62.784363152108995"/>
    <n v="2061.4966651845266"/>
    <n v="129429.75526380696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n v="60.329763962716605"/>
    <n v="21593.507725476105"/>
    <n v="1302731.2242050709"/>
    <n v="11790055.21810995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n v="62.376159171837323"/>
    <n v="9649.7527739926027"/>
    <n v="601914.51499944134"/>
    <n v="1727305.7465446759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5.1099898157581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n v="60.940795996059151"/>
    <n v="15067.421912350597"/>
    <n v="918220.6849471092"/>
    <n v="2591596.5689243027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28.418009810792"/>
    <s v=""/>
    <n v="681593.55641205329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72.33017853880131"/>
    <n v="150740.5806451613"/>
    <n v="-131495557.62723614"/>
    <n v="4974439.1612903234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n v="62.645814418917531"/>
    <n v="2061.4966651845266"/>
    <n v="129144.13751236722"/>
    <n v="68029.389951089383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n v="60.329763962716605"/>
    <n v="21593.507725476105"/>
    <n v="1302731.2242050709"/>
    <n v="9652297.9532878194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n v="62.339153575102195"/>
    <n v="9649.7527739926027"/>
    <n v="601557.42013969331"/>
    <n v="1254467.8606190383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5.1099898157581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n v="60.700786025924991"/>
    <n v="15067.421912350597"/>
    <n v="914604.35346392717"/>
    <n v="2938147.2729083663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28.418009810792"/>
    <s v=""/>
    <n v="2888658.405746320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930.48733248531073"/>
    <n v="150740.5806451613"/>
    <n v="-140262200.78180301"/>
    <n v="4672958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n v="62.451846192449487"/>
    <n v="2061.4966651845266"/>
    <n v="128744.27266035159"/>
    <n v="103074.83325922633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n v="59.8875668497909"/>
    <n v="21593.507725476105"/>
    <n v="1293182.6374309266"/>
    <n v="4340295.0528206974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n v="62.064254856498422"/>
    <n v="9649.7527739926027"/>
    <n v="598904.71546727954"/>
    <n v="2238742.6435662839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5.1099898157581"/>
    <s v=""/>
    <n v="2778059.12406258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n v="60.026911879009837"/>
    <n v="15067.421912350597"/>
    <n v="904450.80737653119"/>
    <n v="2019034.5362549801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n v="61.62139349537334"/>
    <n v="16228.418009810792"/>
    <n v="1000017.7319899542"/>
    <n v="3537795.1261387528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65.38162485321641"/>
    <n v="150740.5806451613"/>
    <n v="-145522186.67454311"/>
    <n v="1055184.0645161292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n v="62.382571825853759"/>
    <n v="2061.4966651845266"/>
    <n v="128601.46378463173"/>
    <n v="105136.32992441085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n v="59.754907715913184"/>
    <n v="21593.507725476105"/>
    <n v="1290318.0613986831"/>
    <n v="4513043.1146245059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n v="61.842221276087685"/>
    <n v="9649.7527739926027"/>
    <n v="596762.14630879147"/>
    <n v="3657256.3013431965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5.1099898157581"/>
    <s v=""/>
    <n v="1820272.0161096195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n v="59.78690190887567"/>
    <n v="15067.421912350597"/>
    <n v="900834.47589334904"/>
    <n v="3646316.1027888446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n v="61.477918738523819"/>
    <n v="16228.418009810792"/>
    <n v="997689.36366194428"/>
    <n v="3683850.88822704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1006.0916326157731"/>
    <n v="150740.5806451613"/>
    <n v="-151658836.88273993"/>
    <n v="753702.9032258065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n v="62.313297459258031"/>
    <n v="2061.4966651845266"/>
    <n v="128458.65490891186"/>
    <n v="14430.47665629168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n v="59.754907715913184"/>
    <n v="21593.507725476105"/>
    <n v="1290318.0613986831"/>
    <n v="3886831.3905856991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n v="61.694198889147188"/>
    <n v="9649.7527739926027"/>
    <n v="595333.76686979947"/>
    <n v="2856326.8211018103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5.1099898157581"/>
    <s v=""/>
    <n v="1143626.397555782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59.186876983540259"/>
    <n v="15067.421912350597"/>
    <n v="891793.64718539373"/>
    <n v="2320382.9745019921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n v="61.190969224824784"/>
    <n v="16228.418009810792"/>
    <n v="993032.62700592447"/>
    <n v="4998352.7470217235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1040.9859249836786"/>
    <n v="150740.5806451613"/>
    <n v="-156918822.77548003"/>
    <n v="2864071.032258065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77.8732429718875"/>
    <s v=""/>
    <n v="3526702.3546686745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s v=""/>
    <e v="#VALUE!"/>
    <e v="#VALUE!"/>
    <e v="#VALUE!"/>
    <e v="#VALUE!"/>
    <n v="13754.132906894101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39911.246246246243"/>
    <s v=""/>
    <n v="878047.41741741728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43.037540942302854"/>
    <n v="22493.996861924687"/>
    <n v="968086.31090111565"/>
    <n v="1709543.7615062762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n v="62.244023092662296"/>
    <n v="2061.4966651845266"/>
    <n v="128315.84603319199"/>
    <n v="55660.409959982215"/>
  </r>
  <r>
    <x v="10"/>
    <n v="304002"/>
    <s v="PLACA SMART SIDE R-4 SPC-M111 DE 1.220X2.440X11.1 MM (72 PL.POR PALLET )"/>
    <s v="PL"/>
    <n v="2783"/>
    <m/>
    <n v="112"/>
    <x v="11"/>
    <n v="2880"/>
    <n v="2768"/>
    <n v="23.296874999999996"/>
    <n v="118.81421864520458"/>
    <n v="4.8075117370892029"/>
    <n v="123.62173038229378"/>
    <n v="58.693634644891482"/>
    <n v="21593.507725476105"/>
    <n v="1267401.4531407361"/>
    <n v="2418472.8652533237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n v="61.694198889147188"/>
    <n v="9649.7527739926027"/>
    <n v="595333.76686979947"/>
    <n v="1177269.8384270975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5.1099898157581"/>
    <s v=""/>
    <n v="1267519.257290991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59.186876983540259"/>
    <n v="15067.421912350597"/>
    <n v="891793.64718539373"/>
    <n v="3586046.4151394423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n v="60.975757089550505"/>
    <n v="16228.418009810792"/>
    <n v="989540.07451390952"/>
    <n v="5647489.4674141556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1.2297938783356699"/>
    <n v="7583.0947867298582"/>
    <n v="9325.6435475595117"/>
    <n v="545982.82464454975"/>
  </r>
  <r>
    <x v="10"/>
    <n v="1902003"/>
    <s v="TYPAR VOLCANWRAP ROLLO DE 2,743 x 45,72 MTS ( 125 M2 x ROLLO ) SKU 7000031"/>
    <s v="RLL"/>
    <n v="93"/>
    <n v="0.375"/>
    <n v="8"/>
    <x v="13"/>
    <n v="190"/>
    <n v="182"/>
    <n v="0.41466600000000009"/>
    <n v="438.90745805057554"/>
    <n v="19.292635518706618"/>
    <n v="458.20009356928216"/>
    <n v="-1040.9859249836786"/>
    <n v="150740.5806451613"/>
    <n v="-156918822.77548003"/>
    <n v="1205924.6451612904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s v=""/>
    <e v="#VALUE!"/>
    <e v="#VALUE!"/>
    <e v="#VALUE!"/>
    <e v="#VALUE!"/>
    <n v="4877.8732429718875"/>
    <s v="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s v=""/>
    <e v="#VALUE!"/>
    <e v="#VALUE!"/>
    <e v="#VALUE!"/>
    <e v="#VALUE!"/>
    <n v="13754.132906894101"/>
    <s v=""/>
    <n v="1320396.7590618338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39911.246246246243"/>
    <s v=""/>
    <n v="758313.6786786785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5016501650165E-2"/>
    <n v="1.65016501650165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923322683706061E-2"/>
    <n v="3.1421672518689561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5199386503067479E-2"/>
    <n v="5.3777713984377917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823313782991199"/>
    <n v="6.4455423845534071E-2"/>
    <n v="2.3300414321049061E-2"/>
  </r>
  <r>
    <x v="5"/>
    <n v="188940333"/>
    <n v="993129414"/>
    <n v="1173013527.8693182"/>
    <n v="3177786568.6031523"/>
    <n v="2.8718700866393068E-2"/>
    <n v="0.15095446329229367"/>
    <n v="8.5227272727272721E-2"/>
    <n v="0.22765909090909087"/>
    <n v="0.13115767045454543"/>
    <n v="6.6702246609011362E-2"/>
    <n v="5.6508571860879653E-2"/>
  </r>
  <r>
    <x v="6"/>
    <m/>
    <n v="993129414"/>
    <n v="1173013527.8693182"/>
    <n v="4350800096.4724703"/>
    <m/>
    <n v="0.15095446329229367"/>
    <n v="8.5227272727272721E-2"/>
    <n v="0.31288636363636357"/>
    <n v="0.13115767045454543"/>
    <m/>
    <n v="8.5227272727272721E-2"/>
  </r>
  <r>
    <x v="7"/>
    <m/>
    <n v="993129414"/>
    <n v="1173013527.8693182"/>
    <n v="5523813624.3417883"/>
    <m/>
    <n v="0.15095446329229367"/>
    <n v="8.5227272727272721E-2"/>
    <n v="0.39811363636363628"/>
    <n v="0.13115767045454543"/>
    <m/>
    <n v="8.5227272727272721E-2"/>
  </r>
  <r>
    <x v="8"/>
    <m/>
    <n v="993129414"/>
    <n v="1173013527.8693182"/>
    <n v="6696827152.2111063"/>
    <m/>
    <n v="0.15095446329229367"/>
    <n v="8.5227272727272721E-2"/>
    <n v="0.48334090909090899"/>
    <n v="0.13115767045454543"/>
    <m/>
    <n v="8.5227272727272721E-2"/>
  </r>
  <r>
    <x v="9"/>
    <m/>
    <n v="993129414"/>
    <n v="1173013527.8693182"/>
    <n v="7869840680.0804243"/>
    <m/>
    <n v="0.15095446329229367"/>
    <n v="8.5227272727272721E-2"/>
    <n v="0.56856818181818169"/>
    <n v="0.13115767045454543"/>
    <m/>
    <n v="8.5227272727272721E-2"/>
  </r>
  <r>
    <x v="10"/>
    <m/>
    <n v="993129414"/>
    <n v="1173013527.8693182"/>
    <n v="9042854207.9497433"/>
    <m/>
    <n v="0.15095446329229367"/>
    <n v="8.5227272727272721E-2"/>
    <n v="0.6537954545454544"/>
    <n v="0.13115767045454543"/>
    <m/>
    <n v="8.5227272727272721E-2"/>
  </r>
  <r>
    <x v="11"/>
    <m/>
    <n v="993129414"/>
    <n v="1173013527.8693182"/>
    <n v="10215867735.819061"/>
    <m/>
    <n v="0.15095446329229367"/>
    <n v="8.5227272727272721E-2"/>
    <n v="0.73902272727272711"/>
    <n v="0.13115767045454543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33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334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334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335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335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334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33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334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33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5"/>
    <field x="33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33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33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334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3354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33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334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334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334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332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33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332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33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33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33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33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33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33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203"/>
        <item x="43"/>
        <item x="215"/>
        <item x="141"/>
        <item x="220"/>
        <item x="156"/>
        <item x="181"/>
        <item x="223"/>
        <item x="62"/>
        <item x="12"/>
        <item x="74"/>
        <item x="191"/>
        <item x="30"/>
        <item x="9"/>
        <item x="199"/>
        <item x="202"/>
        <item x="19"/>
        <item x="50"/>
        <item x="51"/>
        <item x="63"/>
        <item x="86"/>
        <item x="130"/>
        <item x="133"/>
        <item x="235"/>
        <item x="81"/>
        <item x="13"/>
        <item x="83"/>
        <item x="195"/>
        <item x="121"/>
        <item x="175"/>
        <item x="174"/>
        <item x="59"/>
        <item x="58"/>
        <item x="233"/>
        <item x="26"/>
        <item x="37"/>
        <item x="90"/>
        <item x="71"/>
        <item x="160"/>
        <item x="254"/>
        <item x="258"/>
        <item x="70"/>
        <item x="75"/>
        <item x="146"/>
        <item x="127"/>
        <item x="243"/>
        <item x="1"/>
        <item x="128"/>
        <item x="256"/>
        <item x="87"/>
        <item x="244"/>
        <item x="162"/>
        <item x="123"/>
        <item x="73"/>
        <item x="229"/>
        <item x="64"/>
        <item x="227"/>
        <item x="183"/>
        <item x="3"/>
        <item x="7"/>
        <item x="14"/>
        <item x="72"/>
        <item x="154"/>
        <item x="45"/>
        <item x="170"/>
        <item x="161"/>
        <item x="189"/>
        <item x="242"/>
        <item x="120"/>
        <item x="46"/>
        <item x="153"/>
        <item x="47"/>
        <item x="148"/>
        <item x="240"/>
        <item x="35"/>
        <item x="217"/>
        <item x="65"/>
        <item x="27"/>
        <item x="211"/>
        <item x="54"/>
        <item x="221"/>
        <item x="172"/>
        <item x="132"/>
        <item x="79"/>
        <item x="251"/>
        <item x="80"/>
        <item x="69"/>
        <item x="126"/>
        <item x="61"/>
        <item x="144"/>
        <item x="206"/>
        <item x="147"/>
        <item x="110"/>
        <item x="225"/>
        <item x="135"/>
        <item x="151"/>
        <item x="159"/>
        <item x="91"/>
        <item x="89"/>
        <item x="25"/>
        <item x="24"/>
        <item x="201"/>
        <item x="236"/>
        <item x="36"/>
        <item x="39"/>
        <item x="231"/>
        <item x="230"/>
        <item x="38"/>
        <item x="245"/>
        <item x="29"/>
        <item x="10"/>
        <item x="204"/>
        <item x="4"/>
        <item x="232"/>
        <item x="214"/>
        <item x="66"/>
        <item x="212"/>
        <item x="31"/>
        <item x="145"/>
        <item x="143"/>
        <item x="252"/>
        <item x="253"/>
        <item x="193"/>
        <item x="40"/>
        <item x="56"/>
        <item x="185"/>
        <item x="55"/>
        <item x="52"/>
        <item x="53"/>
        <item x="248"/>
        <item x="32"/>
        <item x="5"/>
        <item x="33"/>
        <item x="197"/>
        <item x="77"/>
        <item x="213"/>
        <item x="209"/>
        <item x="205"/>
        <item x="257"/>
        <item x="222"/>
        <item x="15"/>
        <item x="184"/>
        <item x="207"/>
        <item x="34"/>
        <item x="190"/>
        <item x="119"/>
        <item x="118"/>
        <item x="187"/>
        <item x="21"/>
        <item x="129"/>
        <item x="239"/>
        <item x="42"/>
        <item x="76"/>
        <item x="218"/>
        <item x="166"/>
        <item x="20"/>
        <item x="140"/>
        <item x="22"/>
        <item x="18"/>
        <item x="136"/>
        <item x="23"/>
        <item x="139"/>
        <item x="250"/>
        <item x="82"/>
        <item x="78"/>
        <item x="163"/>
        <item x="2"/>
        <item x="149"/>
        <item x="158"/>
        <item x="57"/>
        <item x="138"/>
        <item x="150"/>
        <item x="122"/>
        <item x="16"/>
        <item x="200"/>
        <item x="142"/>
        <item x="173"/>
        <item x="255"/>
        <item x="41"/>
        <item x="115"/>
        <item x="186"/>
        <item x="67"/>
        <item x="116"/>
        <item x="44"/>
        <item x="49"/>
        <item x="112"/>
        <item x="219"/>
        <item x="88"/>
        <item x="11"/>
        <item x="246"/>
        <item x="188"/>
        <item x="111"/>
        <item x="48"/>
        <item x="114"/>
        <item x="167"/>
        <item x="117"/>
        <item x="210"/>
        <item x="113"/>
        <item x="157"/>
        <item x="180"/>
        <item x="6"/>
        <item x="60"/>
        <item x="247"/>
        <item x="259"/>
        <item x="68"/>
        <item x="228"/>
        <item x="164"/>
        <item x="134"/>
        <item x="0"/>
        <item x="234"/>
        <item x="152"/>
        <item x="165"/>
        <item x="224"/>
        <item x="155"/>
        <item x="109"/>
        <item x="137"/>
        <item x="168"/>
        <item x="8"/>
        <item x="17"/>
        <item x="125"/>
        <item x="208"/>
        <item x="176"/>
        <item x="177"/>
        <item x="178"/>
        <item x="249"/>
        <item x="85"/>
        <item x="84"/>
        <item x="171"/>
        <item x="28"/>
        <item x="260"/>
        <item x="237"/>
        <item x="198"/>
        <item x="194"/>
        <item x="179"/>
        <item x="196"/>
        <item x="192"/>
        <item x="131"/>
        <item x="169"/>
        <item x="124"/>
        <item x="261"/>
        <item x="262"/>
        <item x="182"/>
        <item x="241"/>
        <item x="226"/>
        <item x="216"/>
        <item x="263"/>
        <item m="1" x="268"/>
        <item x="238"/>
        <item x="264"/>
        <item x="265"/>
        <item x="266"/>
        <item x="267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3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33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3334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Equal" evalOrder="-1" id="411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33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3334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2"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Equal" evalOrder="-1" id="297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3334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Equal" evalOrder="-1" id="547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3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3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33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9"/>
        <item h="1" m="1" x="10"/>
        <item h="1" x="6"/>
        <item h="1" m="1" x="8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33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3334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2">
    <i>
      <x v="7"/>
    </i>
    <i r="1">
      <x v="3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47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3334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0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47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3334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49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334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64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19">
        <item x="35"/>
        <item m="1" x="52"/>
        <item x="32"/>
        <item m="1" x="91"/>
        <item m="1" x="110"/>
        <item m="1" x="88"/>
        <item x="28"/>
        <item m="1" x="61"/>
        <item m="1" x="48"/>
        <item m="1" x="116"/>
        <item m="1" x="117"/>
        <item x="24"/>
        <item m="1" x="62"/>
        <item m="1" x="46"/>
        <item m="1" x="115"/>
        <item x="21"/>
        <item m="1" x="58"/>
        <item m="1" x="114"/>
        <item m="1" x="64"/>
        <item m="1" x="112"/>
        <item x="6"/>
        <item x="11"/>
        <item m="1" x="83"/>
        <item x="12"/>
        <item x="25"/>
        <item m="1" x="85"/>
        <item m="1" x="75"/>
        <item m="1" x="70"/>
        <item x="19"/>
        <item m="1" x="79"/>
        <item x="16"/>
        <item m="1" x="43"/>
        <item m="1" x="98"/>
        <item m="1" x="41"/>
        <item x="10"/>
        <item x="2"/>
        <item x="8"/>
        <item m="1" x="76"/>
        <item m="1" x="54"/>
        <item x="3"/>
        <item m="1" x="89"/>
        <item x="0"/>
        <item x="1"/>
        <item m="1" x="111"/>
        <item m="1" x="40"/>
        <item m="1" x="68"/>
        <item m="1" x="49"/>
        <item m="1" x="56"/>
        <item m="1" x="84"/>
        <item m="1" x="59"/>
        <item x="30"/>
        <item x="23"/>
        <item m="1" x="106"/>
        <item m="1" x="77"/>
        <item x="20"/>
        <item m="1" x="109"/>
        <item x="22"/>
        <item m="1" x="92"/>
        <item m="1" x="113"/>
        <item m="1" x="63"/>
        <item m="1" x="39"/>
        <item m="1" x="108"/>
        <item m="1" x="65"/>
        <item x="5"/>
        <item x="29"/>
        <item m="1" x="73"/>
        <item m="1" x="47"/>
        <item m="1" x="101"/>
        <item m="1" x="105"/>
        <item x="13"/>
        <item m="1" x="37"/>
        <item m="1" x="78"/>
        <item m="1" x="90"/>
        <item m="1" x="107"/>
        <item m="1" x="50"/>
        <item x="34"/>
        <item m="1" x="102"/>
        <item m="1" x="103"/>
        <item m="1" x="104"/>
        <item m="1" x="57"/>
        <item x="4"/>
        <item x="31"/>
        <item m="1" x="81"/>
        <item m="1" x="99"/>
        <item m="1" x="42"/>
        <item x="9"/>
        <item m="1" x="95"/>
        <item m="1" x="100"/>
        <item m="1" x="53"/>
        <item m="1" x="94"/>
        <item m="1" x="86"/>
        <item m="1" x="96"/>
        <item m="1" x="97"/>
        <item m="1" x="74"/>
        <item m="1" x="69"/>
        <item m="1" x="93"/>
        <item x="26"/>
        <item m="1" x="87"/>
        <item m="1" x="80"/>
        <item m="1" x="66"/>
        <item m="1" x="72"/>
        <item m="1" x="51"/>
        <item m="1" x="82"/>
        <item m="1" x="36"/>
        <item m="1" x="55"/>
        <item m="1" x="60"/>
        <item m="1" x="71"/>
        <item m="1" x="44"/>
        <item m="1" x="67"/>
        <item x="33"/>
        <item m="1" x="38"/>
        <item x="17"/>
        <item m="1" x="45"/>
        <item x="27"/>
        <item x="18"/>
        <item x="7"/>
        <item x="14"/>
        <item x="15"/>
        <item t="default"/>
      </items>
    </pivotField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4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8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33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2"/>
        <item x="11"/>
        <item x="25"/>
        <item x="28"/>
        <item x="26"/>
        <item x="30"/>
        <item x="23"/>
        <item x="13"/>
        <item x="24"/>
        <item x="16"/>
        <item x="5"/>
        <item x="1"/>
        <item x="4"/>
        <item x="15"/>
        <item x="27"/>
        <item x="8"/>
        <item x="12"/>
        <item x="10"/>
        <item x="21"/>
        <item x="19"/>
        <item x="18"/>
        <item x="6"/>
        <item x="17"/>
        <item x="9"/>
        <item x="14"/>
        <item x="3"/>
        <item m="1" x="31"/>
        <item x="2"/>
        <item x="7"/>
        <item x="20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6"/>
    </i>
    <i>
      <x v="13"/>
    </i>
    <i>
      <x v="11"/>
    </i>
    <i>
      <x v="24"/>
    </i>
    <i>
      <x v="22"/>
    </i>
    <i>
      <x v="29"/>
    </i>
    <i>
      <x v="2"/>
    </i>
    <i>
      <x v="31"/>
    </i>
    <i>
      <x v="18"/>
    </i>
    <i>
      <x v="25"/>
    </i>
    <i>
      <x v="16"/>
    </i>
    <i>
      <x v="8"/>
    </i>
    <i>
      <x v="9"/>
    </i>
    <i>
      <x v="17"/>
    </i>
    <i>
      <x v="1"/>
    </i>
    <i>
      <x v="20"/>
    </i>
    <i>
      <x v="23"/>
    </i>
    <i>
      <x v="7"/>
    </i>
    <i>
      <x v="21"/>
    </i>
    <i>
      <x v="15"/>
    </i>
    <i>
      <x v="19"/>
    </i>
    <i>
      <x v="14"/>
    </i>
    <i>
      <x v="12"/>
    </i>
    <i>
      <x v="4"/>
    </i>
    <i>
      <x v="28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33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203"/>
        <item x="43"/>
        <item x="215"/>
        <item x="141"/>
        <item x="220"/>
        <item x="216"/>
        <item x="156"/>
        <item x="181"/>
        <item x="223"/>
        <item x="62"/>
        <item x="12"/>
        <item x="74"/>
        <item x="191"/>
        <item x="30"/>
        <item x="9"/>
        <item x="199"/>
        <item x="202"/>
        <item x="196"/>
        <item x="19"/>
        <item x="50"/>
        <item x="51"/>
        <item x="63"/>
        <item x="86"/>
        <item x="130"/>
        <item x="133"/>
        <item x="235"/>
        <item x="262"/>
        <item x="81"/>
        <item x="13"/>
        <item x="83"/>
        <item x="195"/>
        <item x="121"/>
        <item x="175"/>
        <item x="96"/>
        <item x="174"/>
        <item x="59"/>
        <item x="95"/>
        <item x="58"/>
        <item x="233"/>
        <item x="26"/>
        <item x="198"/>
        <item x="37"/>
        <item x="92"/>
        <item x="194"/>
        <item x="97"/>
        <item x="90"/>
        <item x="71"/>
        <item x="160"/>
        <item x="254"/>
        <item x="258"/>
        <item x="70"/>
        <item x="75"/>
        <item x="146"/>
        <item x="94"/>
        <item x="127"/>
        <item x="243"/>
        <item x="1"/>
        <item x="128"/>
        <item x="256"/>
        <item x="87"/>
        <item x="244"/>
        <item x="162"/>
        <item x="123"/>
        <item x="73"/>
        <item x="229"/>
        <item x="64"/>
        <item x="192"/>
        <item x="227"/>
        <item x="183"/>
        <item x="3"/>
        <item x="7"/>
        <item x="14"/>
        <item x="72"/>
        <item x="154"/>
        <item x="45"/>
        <item x="170"/>
        <item x="161"/>
        <item x="189"/>
        <item x="242"/>
        <item x="120"/>
        <item x="46"/>
        <item x="153"/>
        <item x="47"/>
        <item x="148"/>
        <item x="240"/>
        <item x="35"/>
        <item x="217"/>
        <item x="65"/>
        <item x="27"/>
        <item x="211"/>
        <item x="54"/>
        <item x="221"/>
        <item x="172"/>
        <item x="132"/>
        <item x="79"/>
        <item x="131"/>
        <item x="251"/>
        <item x="80"/>
        <item x="124"/>
        <item x="169"/>
        <item x="69"/>
        <item x="261"/>
        <item x="93"/>
        <item x="126"/>
        <item x="101"/>
        <item x="100"/>
        <item x="61"/>
        <item x="144"/>
        <item x="98"/>
        <item x="206"/>
        <item x="147"/>
        <item x="110"/>
        <item x="225"/>
        <item x="135"/>
        <item x="264"/>
        <item x="151"/>
        <item x="265"/>
        <item x="159"/>
        <item x="91"/>
        <item x="89"/>
        <item x="182"/>
        <item x="25"/>
        <item x="24"/>
        <item x="201"/>
        <item x="236"/>
        <item x="36"/>
        <item x="39"/>
        <item x="231"/>
        <item x="106"/>
        <item x="230"/>
        <item x="99"/>
        <item x="38"/>
        <item x="245"/>
        <item x="105"/>
        <item x="29"/>
        <item x="10"/>
        <item x="204"/>
        <item x="4"/>
        <item x="232"/>
        <item x="107"/>
        <item x="214"/>
        <item x="66"/>
        <item x="212"/>
        <item x="31"/>
        <item x="145"/>
        <item x="143"/>
        <item x="252"/>
        <item x="253"/>
        <item x="179"/>
        <item x="193"/>
        <item x="40"/>
        <item x="56"/>
        <item x="185"/>
        <item x="55"/>
        <item x="52"/>
        <item x="53"/>
        <item x="108"/>
        <item x="248"/>
        <item x="32"/>
        <item x="5"/>
        <item x="33"/>
        <item x="197"/>
        <item x="77"/>
        <item x="237"/>
        <item x="213"/>
        <item x="209"/>
        <item x="205"/>
        <item x="257"/>
        <item x="222"/>
        <item x="15"/>
        <item x="184"/>
        <item x="207"/>
        <item x="34"/>
        <item x="190"/>
        <item x="119"/>
        <item x="118"/>
        <item x="187"/>
        <item x="21"/>
        <item x="129"/>
        <item x="239"/>
        <item x="42"/>
        <item x="76"/>
        <item x="218"/>
        <item x="166"/>
        <item x="20"/>
        <item x="140"/>
        <item x="22"/>
        <item x="18"/>
        <item x="136"/>
        <item x="23"/>
        <item x="139"/>
        <item x="250"/>
        <item x="82"/>
        <item x="78"/>
        <item x="163"/>
        <item x="2"/>
        <item x="149"/>
        <item x="158"/>
        <item x="57"/>
        <item x="138"/>
        <item x="266"/>
        <item x="150"/>
        <item x="122"/>
        <item x="16"/>
        <item x="200"/>
        <item x="142"/>
        <item x="173"/>
        <item x="255"/>
        <item x="41"/>
        <item x="115"/>
        <item x="186"/>
        <item x="67"/>
        <item x="116"/>
        <item x="44"/>
        <item x="241"/>
        <item x="49"/>
        <item x="112"/>
        <item x="219"/>
        <item x="103"/>
        <item x="88"/>
        <item x="104"/>
        <item x="11"/>
        <item x="246"/>
        <item x="188"/>
        <item x="111"/>
        <item x="48"/>
        <item x="102"/>
        <item x="114"/>
        <item x="167"/>
        <item x="117"/>
        <item x="210"/>
        <item x="113"/>
        <item x="157"/>
        <item x="226"/>
        <item x="180"/>
        <item x="6"/>
        <item x="60"/>
        <item x="247"/>
        <item x="259"/>
        <item x="267"/>
        <item x="68"/>
        <item x="228"/>
        <item x="164"/>
        <item x="134"/>
        <item x="0"/>
        <item x="234"/>
        <item x="152"/>
        <item x="165"/>
        <item x="224"/>
        <item x="155"/>
        <item x="109"/>
        <item x="137"/>
        <item x="168"/>
        <item x="8"/>
        <item x="17"/>
        <item x="125"/>
        <item x="208"/>
        <item x="176"/>
        <item x="177"/>
        <item x="178"/>
        <item x="263"/>
        <item x="238"/>
        <item m="1" x="268"/>
        <item x="260"/>
        <item x="249"/>
        <item x="85"/>
        <item x="84"/>
        <item x="171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3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33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26"/>
        <item x="100"/>
        <item x="86"/>
        <item x="132"/>
        <item x="11"/>
        <item x="106"/>
        <item x="112"/>
        <item x="109"/>
        <item x="46"/>
        <item x="71"/>
        <item x="158"/>
        <item x="66"/>
        <item x="95"/>
        <item x="111"/>
        <item x="141"/>
        <item x="108"/>
        <item x="57"/>
        <item x="155"/>
        <item x="78"/>
        <item x="69"/>
        <item x="146"/>
        <item x="70"/>
        <item x="67"/>
        <item x="138"/>
        <item x="107"/>
        <item x="136"/>
        <item x="160"/>
        <item x="7"/>
        <item x="68"/>
        <item x="41"/>
        <item x="152"/>
        <item x="65"/>
        <item x="84"/>
        <item x="32"/>
        <item x="80"/>
        <item x="144"/>
        <item x="127"/>
        <item x="122"/>
        <item x="130"/>
        <item x="72"/>
        <item x="151"/>
        <item x="117"/>
        <item x="79"/>
        <item x="134"/>
        <item x="159"/>
        <item x="58"/>
        <item x="56"/>
        <item x="114"/>
        <item x="139"/>
        <item x="147"/>
        <item x="115"/>
        <item x="140"/>
        <item x="125"/>
        <item x="123"/>
        <item x="76"/>
        <item x="77"/>
        <item x="98"/>
        <item x="102"/>
        <item x="153"/>
        <item x="48"/>
        <item x="149"/>
        <item x="110"/>
        <item x="142"/>
        <item x="124"/>
        <item x="120"/>
        <item x="116"/>
        <item x="154"/>
        <item x="131"/>
        <item x="73"/>
        <item x="88"/>
        <item x="101"/>
        <item x="118"/>
        <item x="105"/>
        <item x="64"/>
        <item x="63"/>
        <item x="128"/>
        <item x="91"/>
        <item x="18"/>
        <item x="39"/>
        <item x="74"/>
        <item x="150"/>
        <item x="90"/>
        <item x="161"/>
        <item x="38"/>
        <item x="103"/>
        <item x="26"/>
        <item x="145"/>
        <item x="45"/>
        <item x="61"/>
        <item x="44"/>
        <item x="129"/>
        <item x="55"/>
        <item x="148"/>
        <item x="104"/>
        <item x="81"/>
        <item x="82"/>
        <item x="62"/>
        <item x="121"/>
        <item x="87"/>
        <item x="135"/>
        <item x="99"/>
        <item x="156"/>
        <item x="137"/>
        <item x="60"/>
        <item x="133"/>
        <item x="85"/>
        <item x="8"/>
        <item x="119"/>
        <item x="143"/>
        <item x="97"/>
        <item x="96"/>
        <item x="157"/>
        <item x="93"/>
        <item x="94"/>
        <item x="75"/>
        <item x="15"/>
        <item x="113"/>
        <item x="92"/>
        <item x="25"/>
        <item x="162"/>
        <item x="83"/>
        <item x="89"/>
        <item x="1"/>
        <item x="2"/>
        <item x="3"/>
        <item x="4"/>
        <item x="5"/>
        <item x="6"/>
        <item x="9"/>
        <item x="10"/>
        <item x="12"/>
        <item x="13"/>
        <item x="14"/>
        <item x="16"/>
        <item x="17"/>
        <item x="19"/>
        <item x="20"/>
        <item x="21"/>
        <item x="22"/>
        <item x="23"/>
        <item x="24"/>
        <item x="27"/>
        <item x="28"/>
        <item x="29"/>
        <item x="30"/>
        <item x="31"/>
        <item x="33"/>
        <item x="34"/>
        <item x="35"/>
        <item x="36"/>
        <item x="37"/>
        <item x="40"/>
        <item x="42"/>
        <item x="43"/>
        <item x="47"/>
        <item x="49"/>
        <item x="50"/>
        <item x="51"/>
        <item x="52"/>
        <item x="53"/>
        <item x="54"/>
        <item x="59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33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2"/>
        <item x="11"/>
        <item x="25"/>
        <item x="28"/>
        <item x="26"/>
        <item x="30"/>
        <item x="23"/>
        <item x="13"/>
        <item x="24"/>
        <item x="16"/>
        <item x="5"/>
        <item x="1"/>
        <item x="4"/>
        <item x="15"/>
        <item x="27"/>
        <item x="8"/>
        <item x="12"/>
        <item x="10"/>
        <item x="21"/>
        <item x="19"/>
        <item x="18"/>
        <item x="6"/>
        <item x="17"/>
        <item x="9"/>
        <item x="14"/>
        <item x="3"/>
        <item m="1" x="31"/>
        <item x="2"/>
        <item x="7"/>
        <item x="20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7"/>
    </i>
    <i>
      <x v="1"/>
    </i>
    <i>
      <x v="19"/>
    </i>
    <i>
      <x v="20"/>
    </i>
    <i>
      <x v="30"/>
    </i>
    <i>
      <x v="21"/>
    </i>
    <i>
      <x v="23"/>
    </i>
    <i>
      <x v="14"/>
    </i>
    <i>
      <x v="25"/>
    </i>
    <i>
      <x v="8"/>
    </i>
    <i>
      <x v="17"/>
    </i>
    <i>
      <x v="2"/>
    </i>
    <i>
      <x v="12"/>
    </i>
    <i>
      <x v="18"/>
    </i>
    <i>
      <x v="10"/>
    </i>
    <i>
      <x v="24"/>
    </i>
    <i>
      <x v="16"/>
    </i>
    <i>
      <x v="29"/>
    </i>
    <i>
      <x v="22"/>
    </i>
    <i>
      <x v="11"/>
    </i>
    <i>
      <x v="13"/>
    </i>
    <i>
      <x v="26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33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203"/>
        <item x="43"/>
        <item x="215"/>
        <item x="141"/>
        <item x="220"/>
        <item x="216"/>
        <item x="156"/>
        <item x="181"/>
        <item x="223"/>
        <item x="62"/>
        <item x="12"/>
        <item x="74"/>
        <item x="191"/>
        <item x="30"/>
        <item x="9"/>
        <item x="199"/>
        <item x="202"/>
        <item x="196"/>
        <item x="19"/>
        <item x="50"/>
        <item x="51"/>
        <item x="63"/>
        <item x="86"/>
        <item x="130"/>
        <item x="133"/>
        <item x="235"/>
        <item x="262"/>
        <item x="81"/>
        <item x="13"/>
        <item x="83"/>
        <item x="195"/>
        <item x="121"/>
        <item x="175"/>
        <item x="174"/>
        <item x="59"/>
        <item x="58"/>
        <item x="233"/>
        <item x="26"/>
        <item x="198"/>
        <item x="37"/>
        <item x="194"/>
        <item x="90"/>
        <item x="71"/>
        <item x="160"/>
        <item x="254"/>
        <item x="258"/>
        <item x="70"/>
        <item x="75"/>
        <item x="146"/>
        <item x="127"/>
        <item x="243"/>
        <item x="1"/>
        <item x="128"/>
        <item x="256"/>
        <item x="87"/>
        <item x="244"/>
        <item x="162"/>
        <item x="123"/>
        <item x="73"/>
        <item x="229"/>
        <item x="64"/>
        <item x="192"/>
        <item x="227"/>
        <item x="183"/>
        <item x="3"/>
        <item x="7"/>
        <item x="14"/>
        <item x="72"/>
        <item x="154"/>
        <item x="45"/>
        <item x="170"/>
        <item x="161"/>
        <item x="189"/>
        <item x="242"/>
        <item x="120"/>
        <item x="46"/>
        <item x="153"/>
        <item x="47"/>
        <item x="148"/>
        <item x="240"/>
        <item x="35"/>
        <item x="217"/>
        <item x="65"/>
        <item x="27"/>
        <item x="211"/>
        <item x="54"/>
        <item x="221"/>
        <item x="172"/>
        <item x="132"/>
        <item x="79"/>
        <item x="131"/>
        <item x="251"/>
        <item x="80"/>
        <item x="124"/>
        <item x="169"/>
        <item x="69"/>
        <item x="261"/>
        <item x="126"/>
        <item x="61"/>
        <item x="144"/>
        <item x="206"/>
        <item x="147"/>
        <item x="110"/>
        <item x="225"/>
        <item x="135"/>
        <item x="264"/>
        <item x="151"/>
        <item x="265"/>
        <item x="159"/>
        <item x="91"/>
        <item x="89"/>
        <item x="182"/>
        <item x="25"/>
        <item x="24"/>
        <item x="201"/>
        <item x="236"/>
        <item x="36"/>
        <item x="39"/>
        <item x="231"/>
        <item x="230"/>
        <item x="38"/>
        <item x="245"/>
        <item x="29"/>
        <item x="10"/>
        <item x="204"/>
        <item x="4"/>
        <item x="232"/>
        <item x="214"/>
        <item x="66"/>
        <item x="212"/>
        <item x="31"/>
        <item x="145"/>
        <item x="143"/>
        <item x="252"/>
        <item x="253"/>
        <item x="179"/>
        <item x="193"/>
        <item x="40"/>
        <item x="56"/>
        <item x="185"/>
        <item x="55"/>
        <item x="52"/>
        <item x="53"/>
        <item x="248"/>
        <item x="32"/>
        <item x="5"/>
        <item x="33"/>
        <item x="197"/>
        <item x="77"/>
        <item x="237"/>
        <item x="213"/>
        <item x="209"/>
        <item x="205"/>
        <item x="257"/>
        <item x="222"/>
        <item x="15"/>
        <item x="184"/>
        <item x="207"/>
        <item x="34"/>
        <item x="190"/>
        <item x="119"/>
        <item x="118"/>
        <item x="187"/>
        <item x="21"/>
        <item x="129"/>
        <item x="239"/>
        <item x="42"/>
        <item x="76"/>
        <item x="218"/>
        <item x="166"/>
        <item x="20"/>
        <item x="140"/>
        <item x="22"/>
        <item x="18"/>
        <item x="136"/>
        <item x="23"/>
        <item x="139"/>
        <item x="250"/>
        <item x="82"/>
        <item x="78"/>
        <item x="163"/>
        <item x="2"/>
        <item x="149"/>
        <item x="158"/>
        <item x="57"/>
        <item x="138"/>
        <item x="266"/>
        <item x="150"/>
        <item x="122"/>
        <item x="16"/>
        <item x="200"/>
        <item x="142"/>
        <item x="173"/>
        <item x="255"/>
        <item x="41"/>
        <item x="115"/>
        <item x="186"/>
        <item x="67"/>
        <item x="116"/>
        <item x="44"/>
        <item x="241"/>
        <item x="49"/>
        <item x="112"/>
        <item x="219"/>
        <item x="88"/>
        <item x="11"/>
        <item x="246"/>
        <item x="188"/>
        <item x="111"/>
        <item x="48"/>
        <item x="114"/>
        <item x="167"/>
        <item x="117"/>
        <item x="210"/>
        <item x="113"/>
        <item x="157"/>
        <item x="226"/>
        <item x="180"/>
        <item x="6"/>
        <item x="60"/>
        <item x="247"/>
        <item x="259"/>
        <item x="267"/>
        <item x="68"/>
        <item x="228"/>
        <item x="164"/>
        <item x="134"/>
        <item x="0"/>
        <item x="234"/>
        <item x="152"/>
        <item x="165"/>
        <item x="224"/>
        <item x="155"/>
        <item x="109"/>
        <item x="137"/>
        <item x="168"/>
        <item x="8"/>
        <item x="17"/>
        <item x="125"/>
        <item x="208"/>
        <item x="176"/>
        <item x="177"/>
        <item x="178"/>
        <item x="263"/>
        <item x="238"/>
        <item m="1" x="268"/>
        <item x="260"/>
        <item x="249"/>
        <item x="85"/>
        <item x="84"/>
        <item x="171"/>
        <item x="28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332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86">
      <pivotArea type="all" dataOnly="0" outline="0" fieldPosition="0"/>
    </format>
    <format dxfId="187">
      <pivotArea outline="0" collapsedLevelsAreSubtotals="1" fieldPosition="0"/>
    </format>
    <format dxfId="188">
      <pivotArea type="origin" dataOnly="0" labelOnly="1" outline="0" fieldPosition="0"/>
    </format>
    <format dxfId="189">
      <pivotArea type="topRight" dataOnly="0" labelOnly="1" outline="0" fieldPosition="0"/>
    </format>
    <format dxfId="190">
      <pivotArea field="6" type="button" dataOnly="0" labelOnly="1" outline="0" axis="axisRow" fieldPosition="0"/>
    </format>
    <format dxfId="191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92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332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78">
      <pivotArea type="all" dataOnly="0" outline="0" fieldPosition="0"/>
    </format>
    <format dxfId="179">
      <pivotArea outline="0" collapsedLevelsAreSubtotals="1" fieldPosition="0"/>
    </format>
    <format dxfId="180">
      <pivotArea type="origin" dataOnly="0" labelOnly="1" outline="0" fieldPosition="0"/>
    </format>
    <format dxfId="181">
      <pivotArea type="topRight" dataOnly="0" labelOnly="1" outline="0" fieldPosition="0"/>
    </format>
    <format dxfId="182">
      <pivotArea field="6" type="button" dataOnly="0" labelOnly="1" outline="0" axis="axisRow" fieldPosition="0"/>
    </format>
    <format dxfId="18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84">
      <pivotArea dataOnly="0" labelOnly="1" grandRow="1" outline="0" fieldPosition="0"/>
    </format>
    <format dxfId="185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332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332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6" s="1"/>
        <i x="11" s="1" nd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4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1"/>
    <tableColumn id="3" xr3:uid="{C1CBFBDE-1229-45F4-8BA9-1320006ADF8C}" uniqueName="3" name="CANTIDAD POR MODULO" queryTableFieldId="3" dataDxfId="147" dataCellStyle="Millares"/>
    <tableColumn id="4" xr3:uid="{7A6D3DC3-3571-4D13-8C02-B298801CB5F9}" uniqueName="4" name="CUB GP" queryTableFieldId="6" dataDxfId="146" dataCellStyle="Millares"/>
    <tableColumn id="5" xr3:uid="{8E1D17AB-D5A3-4D6B-8D13-5D71C1B06CF2}" uniqueName="5" name="CUBICACION REAL" queryTableFieldId="7" dataDxfId="145" dataCellStyle="Millares"/>
    <tableColumn id="6" xr3:uid="{4635D237-FCD2-4BFA-87F5-3ECDB244B328}" uniqueName="6" name="Columna1" queryTableFieldId="8" dataDxfId="144" dataCellStyle="Millares"/>
    <tableColumn id="7" xr3:uid="{68413393-99E5-4206-B7A5-0FB5FECD45F8}" uniqueName="7" name="CUB_ACTUALIZADA" queryTableFieldId="9" dataDxfId="143" dataCellStyle="Millares"/>
    <tableColumn id="8" xr3:uid="{A475C059-2CD3-4846-A3CA-9B373F702155}" uniqueName="8" name="Columna2" queryTableFieldId="10" dataDxfId="142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0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29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28" dataCellStyle="Millares"/>
    <tableColumn id="8" xr3:uid="{5D286AFD-13F0-4545-99E6-339A5CC1A4A7}" name="CANTIDAD X MODULOS" dataDxfId="227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6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5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4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3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41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40" dataCellStyle="Moneda"/>
    <tableColumn id="14" xr3:uid="{A1802760-3411-4297-8335-EF8E51D4008B}" uniqueName="14" name="UNIDAD DE MEDIDAD" queryTableFieldId="18" dataDxfId="139" dataCellStyle="Moneda"/>
    <tableColumn id="22" xr3:uid="{DBFC1F14-4757-4DCA-A9E1-E029631FD0A8}" uniqueName="22" name="PPTO_ACTUALIZADO" queryTableFieldId="26" dataDxfId="138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37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36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3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2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7"/>
    <tableColumn id="2" xr3:uid="{5699B8CC-A9B9-494A-BE92-CA2A39DFED09}" uniqueName="2" name="CODIGO" queryTableFieldId="2"/>
    <tableColumn id="3" xr3:uid="{AFFE68E0-54F7-4250-B075-A2AB6670FDC7}" uniqueName="3" name="MATERIAL" queryTableFieldId="3" dataDxfId="116"/>
    <tableColumn id="4" xr3:uid="{78035FAE-E64E-4DA5-9D70-DAE6FA9F2677}" uniqueName="4" name="U.M" queryTableFieldId="4" dataDxfId="11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3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2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1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10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9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8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7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6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5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4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21" tableType="queryTable" totalsRowShown="0">
  <tableColumns count="31">
    <tableColumn id="1" xr3:uid="{F863A287-5668-47A2-9AB2-12CD81EC5723}" uniqueName="1" name="FECHA GUIA" queryTableFieldId="1" dataDxfId="103"/>
    <tableColumn id="2" xr3:uid="{4A5F2C48-EAB1-49BD-A4A7-EFEB15690485}" uniqueName="2" name="FECHA SOLICITUD" queryTableFieldId="2" dataDxfId="102"/>
    <tableColumn id="3" xr3:uid="{41E9869B-60D1-47E3-87F9-7C94C33DB541}" uniqueName="3" name="OBS. MODULO" queryTableFieldId="3" dataDxfId="101"/>
    <tableColumn id="27" xr3:uid="{9D5D1E35-9490-41E8-B895-94976D9D19CF}" uniqueName="27" name="MES" queryTableFieldId="38" dataDxfId="100" dataCellStyle="Millares"/>
    <tableColumn id="4" xr3:uid="{5DF334D3-F0D6-4372-88E1-ABF2084DE7E5}" uniqueName="4" name="OBS TRABAJO MODULO" queryTableFieldId="4" dataDxfId="9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8"/>
    <tableColumn id="7" xr3:uid="{692A33A2-C449-4586-8F3F-CD183B5B624F}" uniqueName="7" name="UNIDAD DE MEDIDA" queryTableFieldId="7" dataDxfId="97"/>
    <tableColumn id="8" xr3:uid="{56C516C2-1AAE-44D7-8A0D-AF396C45720B}" uniqueName="8" name="CANTIDAD SOLICITADA" queryTableFieldId="8" dataDxfId="96" dataCellStyle="Millares"/>
    <tableColumn id="9" xr3:uid="{E5431BFC-4CEF-4614-8902-01E44155F4BF}" uniqueName="9" name="DEVOLUCIÓN" queryTableFieldId="9" dataDxfId="95" dataCellStyle="Millares"/>
    <tableColumn id="29" xr3:uid="{14CF1913-03EE-4BA2-B20E-E32EB67FEAC2}" uniqueName="29" name="CANTIDAD RECEPCIONADA" queryTableFieldId="35" dataDxfId="94" dataCellStyle="Millares"/>
    <tableColumn id="10" xr3:uid="{F1FA0DCE-9421-44D3-9FD8-4DCB8BDDDF7B}" uniqueName="10" name="VALOR X UN (GD)" queryTableFieldId="10" dataDxfId="93" dataCellStyle="Moneda"/>
    <tableColumn id="11" xr3:uid="{3874A170-0E3F-4EEA-8FF5-E3DB47B144B3}" uniqueName="11" name="VALOR TOTAL GD POR ITEM" queryTableFieldId="11" dataDxfId="92" dataCellStyle="Moneda"/>
    <tableColumn id="12" xr3:uid="{83512BF1-6F0C-41E8-B9EF-C9D54F4AB3D2}" uniqueName="12" name="VALOR TOTAL POR ITEM GD" queryTableFieldId="12" dataDxfId="91" dataCellStyle="Moneda"/>
    <tableColumn id="13" xr3:uid="{BFBE252F-2A3B-4E39-BAB8-5554D1C265FE}" uniqueName="13" name="VALOR PPTO" queryTableFieldId="13" dataDxfId="90" dataCellStyle="Moneda"/>
    <tableColumn id="14" xr3:uid="{3C303E8F-953A-4F50-A7B4-573D80E364C3}" uniqueName="14" name="DIF. VALOR UND." queryTableFieldId="14" dataDxfId="89" dataCellStyle="Moneda"/>
    <tableColumn id="15" xr3:uid="{9732C988-3591-461A-96B1-3179F4479C1B}" uniqueName="15" name="DIF VALOR TOTAL PAGADO" queryTableFieldId="15" dataDxfId="88" dataCellStyle="Moneda"/>
    <tableColumn id="16" xr3:uid="{1C1CC130-46D5-4EEE-9E23-34DA8C66F18F}" uniqueName="16" name="DIF %" queryTableFieldId="16" dataDxfId="8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6" dataCellStyle="Millares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22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21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20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9">
      <calculatedColumnFormula>+IFERROR(Tabla2[[#This Row],[PRECIO PROMEDIO]]-Tabla2[[#This Row],[PRECIO PPTO]],"")</calculatedColumnFormula>
    </tableColumn>
    <tableColumn id="9" xr3:uid="{7F411851-147E-4E4E-8229-5FD88D821403}" name="PROYECCION PPTO" dataDxfId="218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17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16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15" dataCellStyle="Porcentaje">
  <autoFilter ref="B80:M92" xr:uid="{4AA73989-C695-4116-B454-543D155D6334}"/>
  <tableColumns count="12">
    <tableColumn id="1" xr3:uid="{167326E4-8197-47EE-B063-9E36F45121A5}" name="MESES" dataDxfId="214"/>
    <tableColumn id="2" xr3:uid="{7F13EC40-6222-4D8E-B558-6E28C1AA405C}" name="COMPRA MATERIALES"/>
    <tableColumn id="3" xr3:uid="{B9458293-1FBB-44CF-A73D-767375FF10F3}" name="COMPRAS ACUMULADAS" dataDxfId="213" dataCellStyle="Moneda [0]">
      <calculatedColumnFormula>+D80+C81</calculatedColumnFormula>
    </tableColumn>
    <tableColumn id="4" xr3:uid="{C3635461-CEA5-4350-BD8F-1FD268A82375}" name="INGRESO MENSUAL" dataDxfId="212" dataCellStyle="Moneda [0]"/>
    <tableColumn id="5" xr3:uid="{B7D25F04-165E-4A37-AB50-7E98EDA3DEA4}" name="INGRESO ACUMULADO" dataDxfId="211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10" dataCellStyle="Porcentaje"/>
    <tableColumn id="9" xr3:uid="{3F9ED427-F6DC-409F-81AC-50A05CB3FE9A}" name="%AVANCE ESPERADO ECONOMICO ACUM." dataDxfId="209">
      <calculatedColumnFormula>+J80+I81</calculatedColumnFormula>
    </tableColumn>
    <tableColumn id="10" xr3:uid="{245B4028-22B8-41AF-9C03-33CE3602D178}" name="%AVANCE FISICO ACUM." dataDxfId="208" dataCellStyle="Porcentaje"/>
    <tableColumn id="11" xr3:uid="{F159507F-0736-4A71-A91B-2DF579422DA3}" name="%AVANCE FISICO MENSUAL" dataDxfId="207" dataCellStyle="Porcentaje"/>
    <tableColumn id="12" xr3:uid="{ED15780F-67ED-4946-9B63-8E6DD2FACC4B}" name="GAP ECONOMICO MENSUAL" dataDxfId="206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05"/>
    <tableColumn id="11" xr3:uid="{04445DB0-1931-41BF-8A23-1CC33FBD24EF}" uniqueName="11" name="SEMANA" queryTableFieldId="11" dataDxfId="204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03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02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01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00">
  <autoFilter ref="A1:BI705" xr:uid="{733B259C-0C7F-4ABB-BF59-A989FD567068}">
    <filterColumn colId="57">
      <filters>
        <filter val="COMPLETADO"/>
      </filters>
    </filterColumn>
  </autoFilter>
  <tableColumns count="61">
    <tableColumn id="1" xr3:uid="{A9AE20D3-CDB0-4AA6-AB6C-FA62E0EA287C}" uniqueName="1" name="TORRE" queryTableFieldId="1" dataDxfId="199"/>
    <tableColumn id="2" xr3:uid="{D38DD590-BDE4-42C5-8AB3-CB6006C59BB0}" uniqueName="2" name="N° MÓDULO" queryTableFieldId="2" dataDxfId="198"/>
    <tableColumn id="3" xr3:uid="{2F030480-F99C-42B8-BC78-D6AA04BB3365}" uniqueName="3" name="N° SERIE" queryTableFieldId="3"/>
    <tableColumn id="4" xr3:uid="{413B0370-C4E6-401A-9FD1-29E1273EE439}" uniqueName="4" name="TIPO" queryTableFieldId="4" dataDxfId="197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36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35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34">
      <calculatedColumnFormula>+DAY(CURVA[[#This Row],[Fecha]])</calculatedColumnFormula>
    </tableColumn>
    <tableColumn id="9" xr3:uid="{F48D8867-8FAF-4893-8EF8-9A41A66A5B20}" uniqueName="9" name="MES" queryTableFieldId="9" dataDxfId="233">
      <calculatedColumnFormula>+TEXT(CURVA[[#This Row],[Fecha]],"MMMM")</calculatedColumnFormula>
    </tableColumn>
    <tableColumn id="10" xr3:uid="{B31119CA-4A6B-4874-B794-01136F89EA5E}" uniqueName="10" name="AÑO" queryTableFieldId="10" dataDxfId="232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96" dataCellStyle="Porcentaje">
      <calculatedColumnFormula>+C262</calculatedColumnFormula>
    </tableColumn>
    <tableColumn id="3" xr3:uid="{85889510-E849-4246-9506-67BB4E38CB54}" name="COMPRAS" dataDxfId="195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94" dataCellStyle="Porcentaje">
      <calculatedColumnFormula>+C422</calculatedColumnFormula>
    </tableColumn>
    <tableColumn id="3" xr3:uid="{FC65709B-1BE1-4573-8455-DA5F41A356BF}" name="COMPRAS" dataDxfId="193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Equal">
    <selection startDate="2026-08-09T00:00:00" endDate="2026-08-09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7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6.3855031819652682E-3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1.0139143565958365E-3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3.3797145219861217E-4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6.7594290439722433E-4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4.0268938985366554E-4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5.7527055693380796E-3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3.7392586200697517E-3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5137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107.82106782106787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9649.7527739926027</v>
      </c>
      <c r="K10" s="7">
        <f>+P_CRITICOS[[#This Row],[CANT COMPRADA]]/$E$36</f>
        <v>3.6939560637112144E-2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7.2196454895192899E-3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2.899363606946392E-2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10801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62.532928064842984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4765.1099898157581</v>
      </c>
      <c r="K13" s="7">
        <f>+P_CRITICOS[[#This Row],[CANT COMPRADA]]/$E$36</f>
        <v>7.7668716068025737E-2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2510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107.84914010720459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15067.421912350597</v>
      </c>
      <c r="K14" s="7">
        <f>+P_CRITICOS[[#This Row],[CANT COMPRADA]]/$E$36</f>
        <v>1.8049113723798225E-2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6747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108.07247807460378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2061.4966651845266</v>
      </c>
      <c r="K15" s="7">
        <f>+P_CRITICOS[[#This Row],[CANT COMPRADA]]/$E$36</f>
        <v>4.8516880595405029E-2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9.2618559666343084E-3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2854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91.364545818327343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16228.418009810792</v>
      </c>
      <c r="K17" s="7">
        <f>+P_CRITICOS[[#This Row],[CANT COMPRADA]]/$E$36</f>
        <v>2.0522777118613597E-2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3169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48.678955453148987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1671.1438939728621</v>
      </c>
      <c r="K18" s="7">
        <f>+P_CRITICOS[[#This Row],[CANT COMPRADA]]/$E$36</f>
        <v>2.2787904936540468E-2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2158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53.936178854168624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4610.6005560704352</v>
      </c>
      <c r="K19" s="7">
        <f>+P_CRITICOS[[#This Row],[CANT COMPRADA]]/$E$36</f>
        <v>1.5517923273289469E-2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2783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119.45808182427902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21593.507725476105</v>
      </c>
      <c r="K20" s="7">
        <f>+P_CRITICOS[[#This Row],[CANT COMPRADA]]/$E$36</f>
        <v>2.0012224499334843E-2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60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84.368816778789082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154137.95000000001</v>
      </c>
      <c r="K21" s="7">
        <f>+P_CRITICOS[[#This Row],[CANT COMPRADA]]/$E$36</f>
        <v>4.3145291770035595E-4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3.4782296048610363E-2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6.874483155359005E-3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64298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109.35034013605443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464.16107810507327</v>
      </c>
      <c r="K24" s="7">
        <f>+P_CRITICOS[[#This Row],[CANT COMPRADA]]/$E$36</f>
        <v>0.4623593283716248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2760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86.807644987001439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3636.4442028985509</v>
      </c>
      <c r="K25" s="7">
        <f>+P_CRITICOS[[#This Row],[CANT COMPRADA]]/$E$36</f>
        <v>1.9846834214216375E-2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4.4583468162370113E-3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6.6587566965088272E-3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3.3797145219861217E-4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15936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461.32802605391709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4877.8732429718875</v>
      </c>
      <c r="K29" s="7">
        <f>+P_CRITICOS[[#This Row],[CANT COMPRADA]]/$E$36</f>
        <v>0.11459389494121454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2814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80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13754.132906894101</v>
      </c>
      <c r="K30" s="7">
        <f>+P_CRITICOS[[#This Row],[CANT COMPRADA]]/$E$36</f>
        <v>2.0235141840146693E-2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3.2287060007909971E-3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333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2.5549611562465198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39911.246246246243</v>
      </c>
      <c r="K32" s="7">
        <f>+P_CRITICOS[[#This Row],[CANT COMPRADA]]/$E$36</f>
        <v>2.3945636932369754E-3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139065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topLeftCell="O1"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s="81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s="81" t="str">
        <f>+_xlfn.XLOOKUP(PRODUCTOS[[#This Row],[CODIGO]],P_CRITICOS[CODIGO],P_CRITICOS[DESC CORTA],"",0)</f>
        <v/>
      </c>
      <c r="K2" s="81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s="81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s="81" t="str">
        <f>+_xlfn.XLOOKUP(PRODUCTOS[[#This Row],[CODIGO]],P_CRITICOS[CODIGO],P_CRITICOS[DESC CORTA],"",0)</f>
        <v/>
      </c>
      <c r="K3" s="81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s="81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s="81" t="str">
        <f>+_xlfn.XLOOKUP(PRODUCTOS[[#This Row],[CODIGO]],P_CRITICOS[CODIGO],P_CRITICOS[DESC CORTA],"",0)</f>
        <v/>
      </c>
      <c r="K4" s="81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s="81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s="81" t="str">
        <f>+_xlfn.XLOOKUP(PRODUCTOS[[#This Row],[CODIGO]],P_CRITICOS[CODIGO],P_CRITICOS[DESC CORTA],"",0)</f>
        <v/>
      </c>
      <c r="K5" s="81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s="81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s="81" t="str">
        <f>+_xlfn.XLOOKUP(PRODUCTOS[[#This Row],[CODIGO]],P_CRITICOS[CODIGO],P_CRITICOS[DESC CORTA],"",0)</f>
        <v/>
      </c>
      <c r="K6" s="81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s="81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s="81" t="str">
        <f>+_xlfn.XLOOKUP(PRODUCTOS[[#This Row],[CODIGO]],P_CRITICOS[CODIGO],P_CRITICOS[DESC CORTA],"",0)</f>
        <v/>
      </c>
      <c r="K7" s="81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s="81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s="81" t="str">
        <f>+_xlfn.XLOOKUP(PRODUCTOS[[#This Row],[CODIGO]],P_CRITICOS[CODIGO],P_CRITICOS[DESC CORTA],"",0)</f>
        <v/>
      </c>
      <c r="K8" s="81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s="81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s="81" t="str">
        <f>+_xlfn.XLOOKUP(PRODUCTOS[[#This Row],[CODIGO]],P_CRITICOS[CODIGO],P_CRITICOS[DESC CORTA],"",0)</f>
        <v/>
      </c>
      <c r="K9" s="81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s="81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s="81" t="str">
        <f>+_xlfn.XLOOKUP(PRODUCTOS[[#This Row],[CODIGO]],P_CRITICOS[CODIGO],P_CRITICOS[DESC CORTA],"",0)</f>
        <v/>
      </c>
      <c r="K10" s="81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s="8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s="81" t="str">
        <f>+_xlfn.XLOOKUP(PRODUCTOS[[#This Row],[CODIGO]],P_CRITICOS[CODIGO],P_CRITICOS[DESC CORTA],"",0)</f>
        <v/>
      </c>
      <c r="K11" s="8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s="81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s="81" t="str">
        <f>+_xlfn.XLOOKUP(PRODUCTOS[[#This Row],[CODIGO]],P_CRITICOS[CODIGO],P_CRITICOS[DESC CORTA],"",0)</f>
        <v/>
      </c>
      <c r="K12" s="81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s="81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s="81" t="str">
        <f>+_xlfn.XLOOKUP(PRODUCTOS[[#This Row],[CODIGO]],P_CRITICOS[CODIGO],P_CRITICOS[DESC CORTA],"",0)</f>
        <v/>
      </c>
      <c r="K13" s="81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s="81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s="81" t="str">
        <f>+_xlfn.XLOOKUP(PRODUCTOS[[#This Row],[CODIGO]],P_CRITICOS[CODIGO],P_CRITICOS[DESC CORTA],"",0)</f>
        <v/>
      </c>
      <c r="K14" s="81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s="81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s="81" t="str">
        <f>+_xlfn.XLOOKUP(PRODUCTOS[[#This Row],[CODIGO]],P_CRITICOS[CODIGO],P_CRITICOS[DESC CORTA],"",0)</f>
        <v/>
      </c>
      <c r="K15" s="81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s="81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s="81" t="str">
        <f>+_xlfn.XLOOKUP(PRODUCTOS[[#This Row],[CODIGO]],P_CRITICOS[CODIGO],P_CRITICOS[DESC CORTA],"",0)</f>
        <v/>
      </c>
      <c r="K16" s="81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s="81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s="81" t="str">
        <f>+_xlfn.XLOOKUP(PRODUCTOS[[#This Row],[CODIGO]],P_CRITICOS[CODIGO],P_CRITICOS[DESC CORTA],"",0)</f>
        <v/>
      </c>
      <c r="K17" s="81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s="81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s="81" t="str">
        <f>+_xlfn.XLOOKUP(PRODUCTOS[[#This Row],[CODIGO]],P_CRITICOS[CODIGO],P_CRITICOS[DESC CORTA],"",0)</f>
        <v/>
      </c>
      <c r="K18" s="81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s="81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s="81" t="str">
        <f>+_xlfn.XLOOKUP(PRODUCTOS[[#This Row],[CODIGO]],P_CRITICOS[CODIGO],P_CRITICOS[DESC CORTA],"",0)</f>
        <v/>
      </c>
      <c r="K19" s="81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s="81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s="81" t="str">
        <f>+_xlfn.XLOOKUP(PRODUCTOS[[#This Row],[CODIGO]],P_CRITICOS[CODIGO],P_CRITICOS[DESC CORTA],"",0)</f>
        <v/>
      </c>
      <c r="K20" s="81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s="8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s="81" t="str">
        <f>+_xlfn.XLOOKUP(PRODUCTOS[[#This Row],[CODIGO]],P_CRITICOS[CODIGO],P_CRITICOS[DESC CORTA],"",0)</f>
        <v/>
      </c>
      <c r="K21" s="8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s="81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s="81" t="str">
        <f>+_xlfn.XLOOKUP(PRODUCTOS[[#This Row],[CODIGO]],P_CRITICOS[CODIGO],P_CRITICOS[DESC CORTA],"",0)</f>
        <v/>
      </c>
      <c r="K22" s="81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s="81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s="81" t="str">
        <f>+_xlfn.XLOOKUP(PRODUCTOS[[#This Row],[CODIGO]],P_CRITICOS[CODIGO],P_CRITICOS[DESC CORTA],"",0)</f>
        <v/>
      </c>
      <c r="K23" s="81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s="81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s="81" t="str">
        <f>+_xlfn.XLOOKUP(PRODUCTOS[[#This Row],[CODIGO]],P_CRITICOS[CODIGO],P_CRITICOS[DESC CORTA],"",0)</f>
        <v/>
      </c>
      <c r="K24" s="81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s="81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s="81" t="str">
        <f>+_xlfn.XLOOKUP(PRODUCTOS[[#This Row],[CODIGO]],P_CRITICOS[CODIGO],P_CRITICOS[DESC CORTA],"",0)</f>
        <v/>
      </c>
      <c r="K25" s="81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s="81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s="81" t="str">
        <f>+_xlfn.XLOOKUP(PRODUCTOS[[#This Row],[CODIGO]],P_CRITICOS[CODIGO],P_CRITICOS[DESC CORTA],"",0)</f>
        <v/>
      </c>
      <c r="K26" s="81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s="81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s="81" t="str">
        <f>+_xlfn.XLOOKUP(PRODUCTOS[[#This Row],[CODIGO]],P_CRITICOS[CODIGO],P_CRITICOS[DESC CORTA],"",0)</f>
        <v/>
      </c>
      <c r="K27" s="81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s="81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s="81" t="str">
        <f>+_xlfn.XLOOKUP(PRODUCTOS[[#This Row],[CODIGO]],P_CRITICOS[CODIGO],P_CRITICOS[DESC CORTA],"",0)</f>
        <v/>
      </c>
      <c r="K28" s="81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s="81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s="81" t="str">
        <f>+_xlfn.XLOOKUP(PRODUCTOS[[#This Row],[CODIGO]],P_CRITICOS[CODIGO],P_CRITICOS[DESC CORTA],"",0)</f>
        <v/>
      </c>
      <c r="K29" s="81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s="81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s="81" t="str">
        <f>+_xlfn.XLOOKUP(PRODUCTOS[[#This Row],[CODIGO]],P_CRITICOS[CODIGO],P_CRITICOS[DESC CORTA],"",0)</f>
        <v/>
      </c>
      <c r="K30" s="81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s="8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s="81" t="str">
        <f>+_xlfn.XLOOKUP(PRODUCTOS[[#This Row],[CODIGO]],P_CRITICOS[CODIGO],P_CRITICOS[DESC CORTA],"",0)</f>
        <v/>
      </c>
      <c r="K31" s="8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s="81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s="81" t="str">
        <f>+_xlfn.XLOOKUP(PRODUCTOS[[#This Row],[CODIGO]],P_CRITICOS[CODIGO],P_CRITICOS[DESC CORTA],"",0)</f>
        <v/>
      </c>
      <c r="K32" s="81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s="81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s="81" t="str">
        <f>+_xlfn.XLOOKUP(PRODUCTOS[[#This Row],[CODIGO]],P_CRITICOS[CODIGO],P_CRITICOS[DESC CORTA],"",0)</f>
        <v/>
      </c>
      <c r="K33" s="81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s="81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s="81" t="str">
        <f>+_xlfn.XLOOKUP(PRODUCTOS[[#This Row],[CODIGO]],P_CRITICOS[CODIGO],P_CRITICOS[DESC CORTA],"",0)</f>
        <v/>
      </c>
      <c r="K34" s="81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s="81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s="81" t="str">
        <f>+_xlfn.XLOOKUP(PRODUCTOS[[#This Row],[CODIGO]],P_CRITICOS[CODIGO],P_CRITICOS[DESC CORTA],"",0)</f>
        <v/>
      </c>
      <c r="K35" s="81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s="81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s="81" t="str">
        <f>+_xlfn.XLOOKUP(PRODUCTOS[[#This Row],[CODIGO]],P_CRITICOS[CODIGO],P_CRITICOS[DESC CORTA],"",0)</f>
        <v/>
      </c>
      <c r="K36" s="81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s="81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s="81" t="str">
        <f>+_xlfn.XLOOKUP(PRODUCTOS[[#This Row],[CODIGO]],P_CRITICOS[CODIGO],P_CRITICOS[DESC CORTA],"",0)</f>
        <v/>
      </c>
      <c r="K37" s="81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s="81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s="81" t="str">
        <f>+_xlfn.XLOOKUP(PRODUCTOS[[#This Row],[CODIGO]],P_CRITICOS[CODIGO],P_CRITICOS[DESC CORTA],"",0)</f>
        <v/>
      </c>
      <c r="K38" s="81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s="81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s="81" t="str">
        <f>+_xlfn.XLOOKUP(PRODUCTOS[[#This Row],[CODIGO]],P_CRITICOS[CODIGO],P_CRITICOS[DESC CORTA],"",0)</f>
        <v/>
      </c>
      <c r="K39" s="81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s="81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s="81" t="str">
        <f>+_xlfn.XLOOKUP(PRODUCTOS[[#This Row],[CODIGO]],P_CRITICOS[CODIGO],P_CRITICOS[DESC CORTA],"",0)</f>
        <v/>
      </c>
      <c r="K40" s="81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s="8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s="81" t="str">
        <f>+_xlfn.XLOOKUP(PRODUCTOS[[#This Row],[CODIGO]],P_CRITICOS[CODIGO],P_CRITICOS[DESC CORTA],"",0)</f>
        <v/>
      </c>
      <c r="K41" s="8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s="81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s="81" t="str">
        <f>+_xlfn.XLOOKUP(PRODUCTOS[[#This Row],[CODIGO]],P_CRITICOS[CODIGO],P_CRITICOS[DESC CORTA],"",0)</f>
        <v/>
      </c>
      <c r="K42" s="81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s="81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s="81" t="str">
        <f>+_xlfn.XLOOKUP(PRODUCTOS[[#This Row],[CODIGO]],P_CRITICOS[CODIGO],P_CRITICOS[DESC CORTA],"",0)</f>
        <v/>
      </c>
      <c r="K43" s="81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s="81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s="81" t="str">
        <f>+_xlfn.XLOOKUP(PRODUCTOS[[#This Row],[CODIGO]],P_CRITICOS[CODIGO],P_CRITICOS[DESC CORTA],"",0)</f>
        <v/>
      </c>
      <c r="K44" s="81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s="81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s="81" t="str">
        <f>+_xlfn.XLOOKUP(PRODUCTOS[[#This Row],[CODIGO]],P_CRITICOS[CODIGO],P_CRITICOS[DESC CORTA],"",0)</f>
        <v/>
      </c>
      <c r="K45" s="81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s="81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s="81" t="str">
        <f>+_xlfn.XLOOKUP(PRODUCTOS[[#This Row],[CODIGO]],P_CRITICOS[CODIGO],P_CRITICOS[DESC CORTA],"",0)</f>
        <v/>
      </c>
      <c r="K46" s="81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s="81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s="81" t="str">
        <f>+_xlfn.XLOOKUP(PRODUCTOS[[#This Row],[CODIGO]],P_CRITICOS[CODIGO],P_CRITICOS[DESC CORTA],"",0)</f>
        <v/>
      </c>
      <c r="K47" s="81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s="81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s="81" t="str">
        <f>+_xlfn.XLOOKUP(PRODUCTOS[[#This Row],[CODIGO]],P_CRITICOS[CODIGO],P_CRITICOS[DESC CORTA],"",0)</f>
        <v/>
      </c>
      <c r="K48" s="81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s="81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s="81" t="str">
        <f>+_xlfn.XLOOKUP(PRODUCTOS[[#This Row],[CODIGO]],P_CRITICOS[CODIGO],P_CRITICOS[DESC CORTA],"",0)</f>
        <v/>
      </c>
      <c r="K49" s="81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s="81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s="81" t="str">
        <f>+_xlfn.XLOOKUP(PRODUCTOS[[#This Row],[CODIGO]],P_CRITICOS[CODIGO],P_CRITICOS[DESC CORTA],"",0)</f>
        <v/>
      </c>
      <c r="K50" s="81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s="8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s="81" t="str">
        <f>+_xlfn.XLOOKUP(PRODUCTOS[[#This Row],[CODIGO]],P_CRITICOS[CODIGO],P_CRITICOS[DESC CORTA],"",0)</f>
        <v/>
      </c>
      <c r="K51" s="8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s="81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s="81" t="str">
        <f>+_xlfn.XLOOKUP(PRODUCTOS[[#This Row],[CODIGO]],P_CRITICOS[CODIGO],P_CRITICOS[DESC CORTA],"",0)</f>
        <v/>
      </c>
      <c r="K52" s="81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s="81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s="81" t="str">
        <f>+_xlfn.XLOOKUP(PRODUCTOS[[#This Row],[CODIGO]],P_CRITICOS[CODIGO],P_CRITICOS[DESC CORTA],"",0)</f>
        <v/>
      </c>
      <c r="K53" s="81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s="81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s="81" t="str">
        <f>+_xlfn.XLOOKUP(PRODUCTOS[[#This Row],[CODIGO]],P_CRITICOS[CODIGO],P_CRITICOS[DESC CORTA],"",0)</f>
        <v/>
      </c>
      <c r="K54" s="81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s="81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s="81" t="str">
        <f>+_xlfn.XLOOKUP(PRODUCTOS[[#This Row],[CODIGO]],P_CRITICOS[CODIGO],P_CRITICOS[DESC CORTA],"",0)</f>
        <v/>
      </c>
      <c r="K55" s="81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s="81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s="81" t="str">
        <f>+_xlfn.XLOOKUP(PRODUCTOS[[#This Row],[CODIGO]],P_CRITICOS[CODIGO],P_CRITICOS[DESC CORTA],"",0)</f>
        <v/>
      </c>
      <c r="K56" s="81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s="81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s="81" t="str">
        <f>+_xlfn.XLOOKUP(PRODUCTOS[[#This Row],[CODIGO]],P_CRITICOS[CODIGO],P_CRITICOS[DESC CORTA],"",0)</f>
        <v/>
      </c>
      <c r="K57" s="81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s="81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s="81" t="str">
        <f>+_xlfn.XLOOKUP(PRODUCTOS[[#This Row],[CODIGO]],P_CRITICOS[CODIGO],P_CRITICOS[DESC CORTA],"",0)</f>
        <v/>
      </c>
      <c r="K58" s="81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s="81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s="81" t="str">
        <f>+_xlfn.XLOOKUP(PRODUCTOS[[#This Row],[CODIGO]],P_CRITICOS[CODIGO],P_CRITICOS[DESC CORTA],"",0)</f>
        <v/>
      </c>
      <c r="K59" s="81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s="81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s="81" t="str">
        <f>+_xlfn.XLOOKUP(PRODUCTOS[[#This Row],[CODIGO]],P_CRITICOS[CODIGO],P_CRITICOS[DESC CORTA],"",0)</f>
        <v/>
      </c>
      <c r="K60" s="81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s="8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s="81" t="str">
        <f>+_xlfn.XLOOKUP(PRODUCTOS[[#This Row],[CODIGO]],P_CRITICOS[CODIGO],P_CRITICOS[DESC CORTA],"",0)</f>
        <v/>
      </c>
      <c r="K61" s="8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s="81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s="81" t="str">
        <f>+_xlfn.XLOOKUP(PRODUCTOS[[#This Row],[CODIGO]],P_CRITICOS[CODIGO],P_CRITICOS[DESC CORTA],"",0)</f>
        <v/>
      </c>
      <c r="K62" s="81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s="81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s="81" t="str">
        <f>+_xlfn.XLOOKUP(PRODUCTOS[[#This Row],[CODIGO]],P_CRITICOS[CODIGO],P_CRITICOS[DESC CORTA],"",0)</f>
        <v/>
      </c>
      <c r="K63" s="81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s="81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s="81" t="str">
        <f>+_xlfn.XLOOKUP(PRODUCTOS[[#This Row],[CODIGO]],P_CRITICOS[CODIGO],P_CRITICOS[DESC CORTA],"",0)</f>
        <v/>
      </c>
      <c r="K64" s="81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s="81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s="81" t="str">
        <f>+_xlfn.XLOOKUP(PRODUCTOS[[#This Row],[CODIGO]],P_CRITICOS[CODIGO],P_CRITICOS[DESC CORTA],"",0)</f>
        <v/>
      </c>
      <c r="K65" s="81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s="81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s="81" t="str">
        <f>+_xlfn.XLOOKUP(PRODUCTOS[[#This Row],[CODIGO]],P_CRITICOS[CODIGO],P_CRITICOS[DESC CORTA],"",0)</f>
        <v/>
      </c>
      <c r="K66" s="81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s="81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s="81" t="str">
        <f>+_xlfn.XLOOKUP(PRODUCTOS[[#This Row],[CODIGO]],P_CRITICOS[CODIGO],P_CRITICOS[DESC CORTA],"",0)</f>
        <v/>
      </c>
      <c r="K67" s="81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s="81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s="81" t="str">
        <f>+_xlfn.XLOOKUP(PRODUCTOS[[#This Row],[CODIGO]],P_CRITICOS[CODIGO],P_CRITICOS[DESC CORTA],"",0)</f>
        <v/>
      </c>
      <c r="K68" s="81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s="81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s="81" t="str">
        <f>+_xlfn.XLOOKUP(PRODUCTOS[[#This Row],[CODIGO]],P_CRITICOS[CODIGO],P_CRITICOS[DESC CORTA],"",0)</f>
        <v/>
      </c>
      <c r="K69" s="81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s="81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s="81" t="str">
        <f>+_xlfn.XLOOKUP(PRODUCTOS[[#This Row],[CODIGO]],P_CRITICOS[CODIGO],P_CRITICOS[DESC CORTA],"",0)</f>
        <v/>
      </c>
      <c r="K70" s="81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s="8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s="81" t="str">
        <f>+_xlfn.XLOOKUP(PRODUCTOS[[#This Row],[CODIGO]],P_CRITICOS[CODIGO],P_CRITICOS[DESC CORTA],"",0)</f>
        <v/>
      </c>
      <c r="K71" s="8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s="81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s="81" t="str">
        <f>+_xlfn.XLOOKUP(PRODUCTOS[[#This Row],[CODIGO]],P_CRITICOS[CODIGO],P_CRITICOS[DESC CORTA],"",0)</f>
        <v/>
      </c>
      <c r="K72" s="81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s="81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s="81" t="str">
        <f>+_xlfn.XLOOKUP(PRODUCTOS[[#This Row],[CODIGO]],P_CRITICOS[CODIGO],P_CRITICOS[DESC CORTA],"",0)</f>
        <v/>
      </c>
      <c r="K73" s="81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s="81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s="81" t="str">
        <f>+_xlfn.XLOOKUP(PRODUCTOS[[#This Row],[CODIGO]],P_CRITICOS[CODIGO],P_CRITICOS[DESC CORTA],"",0)</f>
        <v/>
      </c>
      <c r="K74" s="81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s="81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s="81" t="str">
        <f>+_xlfn.XLOOKUP(PRODUCTOS[[#This Row],[CODIGO]],P_CRITICOS[CODIGO],P_CRITICOS[DESC CORTA],"",0)</f>
        <v/>
      </c>
      <c r="K75" s="81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s="81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s="81" t="str">
        <f>+_xlfn.XLOOKUP(PRODUCTOS[[#This Row],[CODIGO]],P_CRITICOS[CODIGO],P_CRITICOS[DESC CORTA],"",0)</f>
        <v/>
      </c>
      <c r="K76" s="81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s="81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s="81" t="str">
        <f>+_xlfn.XLOOKUP(PRODUCTOS[[#This Row],[CODIGO]],P_CRITICOS[CODIGO],P_CRITICOS[DESC CORTA],"",0)</f>
        <v/>
      </c>
      <c r="K77" s="81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s="81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s="81" t="str">
        <f>+_xlfn.XLOOKUP(PRODUCTOS[[#This Row],[CODIGO]],P_CRITICOS[CODIGO],P_CRITICOS[DESC CORTA],"",0)</f>
        <v/>
      </c>
      <c r="K78" s="81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s="81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s="81" t="str">
        <f>+_xlfn.XLOOKUP(PRODUCTOS[[#This Row],[CODIGO]],P_CRITICOS[CODIGO],P_CRITICOS[DESC CORTA],"",0)</f>
        <v/>
      </c>
      <c r="K79" s="81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s="81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s="81" t="str">
        <f>+_xlfn.XLOOKUP(PRODUCTOS[[#This Row],[CODIGO]],P_CRITICOS[CODIGO],P_CRITICOS[DESC CORTA],"",0)</f>
        <v/>
      </c>
      <c r="K80" s="81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s="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s="81" t="str">
        <f>+_xlfn.XLOOKUP(PRODUCTOS[[#This Row],[CODIGO]],P_CRITICOS[CODIGO],P_CRITICOS[DESC CORTA],"",0)</f>
        <v/>
      </c>
      <c r="K81" s="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s="81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s="81" t="str">
        <f>+_xlfn.XLOOKUP(PRODUCTOS[[#This Row],[CODIGO]],P_CRITICOS[CODIGO],P_CRITICOS[DESC CORTA],"",0)</f>
        <v/>
      </c>
      <c r="K82" s="81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s="81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s="81" t="str">
        <f>+_xlfn.XLOOKUP(PRODUCTOS[[#This Row],[CODIGO]],P_CRITICOS[CODIGO],P_CRITICOS[DESC CORTA],"",0)</f>
        <v/>
      </c>
      <c r="K83" s="81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s="81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s="81" t="str">
        <f>+_xlfn.XLOOKUP(PRODUCTOS[[#This Row],[CODIGO]],P_CRITICOS[CODIGO],P_CRITICOS[DESC CORTA],"",0)</f>
        <v/>
      </c>
      <c r="K84" s="81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s="81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s="81" t="str">
        <f>+_xlfn.XLOOKUP(PRODUCTOS[[#This Row],[CODIGO]],P_CRITICOS[CODIGO],P_CRITICOS[DESC CORTA],"",0)</f>
        <v/>
      </c>
      <c r="K85" s="81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8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s="81" t="str">
        <f>+_xlfn.XLOOKUP(PRODUCTOS[[#This Row],[CODIGO]],P_CRITICOS[CODIGO],P_CRITICOS[DESC CORTA],"",0)</f>
        <v/>
      </c>
      <c r="K86" s="8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s="81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s="81" t="str">
        <f>+_xlfn.XLOOKUP(PRODUCTOS[[#This Row],[CODIGO]],P_CRITICOS[CODIGO],P_CRITICOS[DESC CORTA],"",0)</f>
        <v/>
      </c>
      <c r="K87" s="81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s="81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s="81" t="str">
        <f>+_xlfn.XLOOKUP(PRODUCTOS[[#This Row],[CODIGO]],P_CRITICOS[CODIGO],P_CRITICOS[DESC CORTA],"",0)</f>
        <v/>
      </c>
      <c r="K88" s="81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s="81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s="81" t="str">
        <f>+_xlfn.XLOOKUP(PRODUCTOS[[#This Row],[CODIGO]],P_CRITICOS[CODIGO],P_CRITICOS[DESC CORTA],"",0)</f>
        <v/>
      </c>
      <c r="K89" s="81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304014</v>
      </c>
      <c r="B90" s="81" t="s">
        <v>23</v>
      </c>
      <c r="C90">
        <v>0</v>
      </c>
      <c r="D90" t="s">
        <v>240</v>
      </c>
      <c r="E90" t="s">
        <v>401</v>
      </c>
      <c r="F90" s="2">
        <v>20894.572284999998</v>
      </c>
      <c r="G90" s="6" t="s">
        <v>18</v>
      </c>
      <c r="H90" s="2">
        <v>20894.572284999998</v>
      </c>
      <c r="I90" t="b">
        <v>1</v>
      </c>
      <c r="J90" s="81" t="str">
        <f>+_xlfn.XLOOKUP(PRODUCTOS[[#This Row],[CODIGO]],P_CRITICOS[CODIGO],P_CRITICOS[DESC CORTA],"",0)</f>
        <v/>
      </c>
      <c r="K90" s="81" t="str">
        <f>+IFERROR(IF(VLOOKUP(PRODUCTOS[[#This Row],[CODIGO]],P_CRITICOS[],3,0)="*","PRODUCTO CRITICO","NO CRITICO"),"NO CRITICO")</f>
        <v>NO CRITICO</v>
      </c>
      <c r="L90" s="15">
        <f>+_xlfn.XLOOKUP(PRODUCTOS[[#This Row],[CODIGO]],BD_MODULO[Artículo],BD_MODULO[CUB_ACTUALIZADA],"",0)</f>
        <v>1.378125</v>
      </c>
      <c r="M90" s="2">
        <f>+IFERROR(PRODUCTOS[[#This Row],[PPTO]]*PRODUCTOS[[#This Row],[CANT X MODULO]],"")</f>
        <v>28795.332430265622</v>
      </c>
      <c r="N90" s="2">
        <f>+IFERROR(PRODUCTOS[[#This Row],[PPTO X MODULO]]*32,"")</f>
        <v>921450.6377684999</v>
      </c>
      <c r="O90" s="2">
        <f>+IFERROR(PRODUCTOS[[#This Row],[PPTO X TORRE]]*22,"")</f>
        <v>20271914.030906998</v>
      </c>
      <c r="P90" s="3">
        <f>+IFERROR(PRODUCTOS[[#This Row],[CANT X MODULO]]*702,"")</f>
        <v>967.44375000000002</v>
      </c>
      <c r="Q90" s="3">
        <f>+SUMIFS(DETALLE_GD_1[CANTIDAD SOLICITADA],DETALLE_GD_1[CODIGO],PRODUCTOS[[#This Row],[CODIGO]])</f>
        <v>710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710</v>
      </c>
      <c r="T90" s="3">
        <f>+IFERROR(PRODUCTOS[[#This Row],[CANTIDAD RECIBIDA]]/PRODUCTOS[[#This Row],[CANT X MODULO]],"")</f>
        <v>515.19274376417229</v>
      </c>
      <c r="U90" s="3">
        <f>+SUMIFS(DETALLE_GD_1[VALOR TOTAL POR ITEM GD],DETALLE_GD_1[CODIGO],PRODUCTOS[[#This Row],[CODIGO]])</f>
        <v>14806727</v>
      </c>
      <c r="V90" s="3">
        <f>+IFERROR(PRODUCTOS[[#This Row],[PRECIO DE COMPRA]]/PRODUCTOS[[#This Row],[CANT. COMPRADA]],"")</f>
        <v>20854.545070422537</v>
      </c>
      <c r="W90" s="3">
        <f>+IFERROR(PRODUCTOS[[#This Row],[PRECIO COMPRA UNITARIO]]*PRODUCTOS[[#This Row],[PPTO FALTANTE]],"")</f>
        <v>5426352.6273239451</v>
      </c>
      <c r="X90" s="7">
        <f>+IFERROR(PRODUCTOS[[#This Row],[PROYECCION COMPRA]]/PRODUCTOS[[#This Row],[PPTO TOTAL]]-1,"")</f>
        <v>-0.73232164367652652</v>
      </c>
      <c r="Y90" s="3">
        <f>+IFERROR((PRODUCTOS[[#This Row],[CANT X MODULO]]*704)-PRODUCTOS[[#This Row],[CANT. COMPRADA]],"")</f>
        <v>260.20000000000005</v>
      </c>
      <c r="Z90" s="17">
        <f>+IFERROR(PRODUCTOS[[#This Row],[CANT. COMPRADA]]/PRODUCTOS[[#This Row],[PPTO FALTANTE]],"")</f>
        <v>2.7286702536510372</v>
      </c>
      <c r="AA90" s="3">
        <f>+IFERROR(PRODUCTOS[[#This Row],[PROYECCION COMPRA]]-(PRODUCTOS[[#This Row],[PPTO FALTANTE]]*PRODUCTOS[[#This Row],[PPTO]]),"")</f>
        <v>-10415.081233055331</v>
      </c>
      <c r="AB90" s="3">
        <f>+_xlfn.XLOOKUP(PRODUCTOS[[#This Row],[CODIGO]],DETALLE_GD_1[CODIGO],DETALLE_GD_1[VALOR PPTO],"",0)</f>
        <v>20894.5723</v>
      </c>
      <c r="AC90" s="3">
        <f>+AB90-PRODUCTOS[[#This Row],[PPTO_ACTUALIZADO]]</f>
        <v>1.5000001440057531E-5</v>
      </c>
    </row>
    <row r="91" spans="1:29" x14ac:dyDescent="0.25">
      <c r="A91">
        <v>302054</v>
      </c>
      <c r="B91" s="81" t="s">
        <v>356</v>
      </c>
      <c r="C91">
        <v>0</v>
      </c>
      <c r="D91" t="s">
        <v>240</v>
      </c>
      <c r="E91" t="s">
        <v>403</v>
      </c>
      <c r="F91" s="2">
        <v>5713</v>
      </c>
      <c r="G91" s="6" t="s">
        <v>355</v>
      </c>
      <c r="H91" s="2">
        <v>0</v>
      </c>
      <c r="I91" t="b">
        <v>0</v>
      </c>
      <c r="J91" s="81" t="str">
        <f>+_xlfn.XLOOKUP(PRODUCTOS[[#This Row],[CODIGO]],P_CRITICOS[CODIGO],P_CRITICOS[DESC CORTA],"",0)</f>
        <v>PINO 2X4X2,44</v>
      </c>
      <c r="K91" s="81" t="str">
        <f>+IFERROR(IF(VLOOKUP(PRODUCTOS[[#This Row],[CODIGO]],P_CRITICOS[],3,0)="*","PRODUCTO CRITICO","NO CRITICO"),"NO CRITICO")</f>
        <v>PRODUCTO CRITICO</v>
      </c>
      <c r="L91" s="15">
        <f>+_xlfn.XLOOKUP(PRODUCTOS[[#This Row],[CODIGO]],BD_MODULO[Artículo],BD_MODULO[CUB_ACTUALIZADA],"",0)</f>
        <v>34.543750000000003</v>
      </c>
      <c r="M91" s="2">
        <f>+IFERROR(PRODUCTOS[[#This Row],[PPTO]]*PRODUCTOS[[#This Row],[CANT X MODULO]],"")</f>
        <v>197348.44375000001</v>
      </c>
      <c r="N91" s="2">
        <f>+IFERROR(PRODUCTOS[[#This Row],[PPTO X MODULO]]*32,"")</f>
        <v>6315150.2000000002</v>
      </c>
      <c r="O91" s="2">
        <f>+IFERROR(PRODUCTOS[[#This Row],[PPTO X TORRE]]*22,"")</f>
        <v>138933304.40000001</v>
      </c>
      <c r="P91" s="3">
        <f>+IFERROR(PRODUCTOS[[#This Row],[CANT X MODULO]]*702,"")</f>
        <v>24249.712500000001</v>
      </c>
      <c r="Q91" s="3">
        <f>+SUMIFS(DETALLE_GD_1[CANTIDAD SOLICITADA],DETALLE_GD_1[CODIGO],PRODUCTOS[[#This Row],[CODIGO]])</f>
        <v>15936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15936</v>
      </c>
      <c r="T91" s="3">
        <f>+IFERROR(PRODUCTOS[[#This Row],[CANTIDAD RECIBIDA]]/PRODUCTOS[[#This Row],[CANT X MODULO]],"")</f>
        <v>461.32802605391709</v>
      </c>
      <c r="U91" s="3">
        <f>+SUMIFS(DETALLE_GD_1[VALOR TOTAL POR ITEM GD],DETALLE_GD_1[CODIGO],PRODUCTOS[[#This Row],[CODIGO]])</f>
        <v>77733788</v>
      </c>
      <c r="V91" s="3">
        <f>+IFERROR(PRODUCTOS[[#This Row],[PRECIO DE COMPRA]]/PRODUCTOS[[#This Row],[CANT. COMPRADA]],"")</f>
        <v>4877.8732429718875</v>
      </c>
      <c r="W91" s="3">
        <f>+IFERROR(PRODUCTOS[[#This Row],[PRECIO COMPRA UNITARIO]]*PRODUCTOS[[#This Row],[PPTO FALTANTE]],"")</f>
        <v>40890235.821184754</v>
      </c>
      <c r="X91" s="7">
        <f>+IFERROR(PRODUCTOS[[#This Row],[PROYECCION COMPRA]]/PRODUCTOS[[#This Row],[PPTO TOTAL]]-1,"")</f>
        <v>-0.70568442176068502</v>
      </c>
      <c r="Y91" s="3">
        <f>+IFERROR((PRODUCTOS[[#This Row],[CANT X MODULO]]*704)-PRODUCTOS[[#This Row],[CANT. COMPRADA]],"")</f>
        <v>8382.8000000000029</v>
      </c>
      <c r="Z91" s="17">
        <f>+IFERROR(PRODUCTOS[[#This Row],[CANT. COMPRADA]]/PRODUCTOS[[#This Row],[PPTO FALTANTE]],"")</f>
        <v>1.9010354535477401</v>
      </c>
      <c r="AA91" s="3">
        <f>+IFERROR(PRODUCTOS[[#This Row],[PROYECCION COMPRA]]-(PRODUCTOS[[#This Row],[PPTO FALTANTE]]*PRODUCTOS[[#This Row],[PPTO]]),"")</f>
        <v>-7000700.578815259</v>
      </c>
      <c r="AB91" s="3">
        <f>+_xlfn.XLOOKUP(PRODUCTOS[[#This Row],[CODIGO]],DETALLE_GD_1[CODIGO],DETALLE_GD_1[VALOR PPTO],"",0)</f>
        <v>5713</v>
      </c>
      <c r="AC91" s="3">
        <f>+AB91-PRODUCTOS[[#This Row],[PPTO_ACTUALIZADO]]</f>
        <v>5713</v>
      </c>
    </row>
    <row r="92" spans="1:29" x14ac:dyDescent="0.25">
      <c r="A92">
        <v>2304053</v>
      </c>
      <c r="B92" s="81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s="81" t="str">
        <f>+_xlfn.XLOOKUP(PRODUCTOS[[#This Row],[CODIGO]],P_CRITICOS[CODIGO],P_CRITICOS[DESC CORTA],"",0)</f>
        <v/>
      </c>
      <c r="K92" s="81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s="81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s="81" t="str">
        <f>+_xlfn.XLOOKUP(PRODUCTOS[[#This Row],[CODIGO]],P_CRITICOS[CODIGO],P_CRITICOS[DESC CORTA],"",0)</f>
        <v/>
      </c>
      <c r="K93" s="81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s="81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s="81" t="str">
        <f>+_xlfn.XLOOKUP(PRODUCTOS[[#This Row],[CODIGO]],P_CRITICOS[CODIGO],P_CRITICOS[DESC CORTA],"",0)</f>
        <v/>
      </c>
      <c r="K94" s="81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25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25</v>
      </c>
      <c r="T94" s="3">
        <f>+IFERROR(PRODUCTOS[[#This Row],[CANTIDAD RECIBIDA]]/PRODUCTOS[[#This Row],[CANT X MODULO]],"")</f>
        <v>350.14005602240894</v>
      </c>
      <c r="U94" s="3">
        <f>+SUMIFS(DETALLE_GD_1[VALOR TOTAL POR ITEM GD],DETALLE_GD_1[CODIGO],PRODUCTOS[[#This Row],[CODIGO]])</f>
        <v>46675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47170.875200000009</v>
      </c>
      <c r="X94" s="7">
        <f>+IFERROR(PRODUCTOS[[#This Row],[PROYECCION COMPRA]]/PRODUCTOS[[#This Row],[PPTO TOTAL]]-1,"")</f>
        <v>-0.49734466812169487</v>
      </c>
      <c r="Y94" s="3">
        <f>+IFERROR((PRODUCTOS[[#This Row],[CANT X MODULO]]*704)-PRODUCTOS[[#This Row],[CANT. COMPRADA]],"")</f>
        <v>25.265600000000006</v>
      </c>
      <c r="Z94" s="17">
        <f>+IFERROR(PRODUCTOS[[#This Row],[CANT. COMPRADA]]/PRODUCTOS[[#This Row],[PPTO FALTANTE]],"")</f>
        <v>0.98948768285732358</v>
      </c>
      <c r="AA94" s="3">
        <f>+IFERROR(PRODUCTOS[[#This Row],[PROYECCION COMPRA]]-(PRODUCTOS[[#This Row],[PPTO FALTANTE]]*PRODUCTOS[[#This Row],[PPTO]]),"")</f>
        <v>1.2543107120000059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s="81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s="81" t="str">
        <f>+_xlfn.XLOOKUP(PRODUCTOS[[#This Row],[CODIGO]],P_CRITICOS[CODIGO],P_CRITICOS[DESC CORTA],"",0)</f>
        <v/>
      </c>
      <c r="K95" s="81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s="81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s="81" t="str">
        <f>+_xlfn.XLOOKUP(PRODUCTOS[[#This Row],[CODIGO]],P_CRITICOS[CODIGO],P_CRITICOS[DESC CORTA],"",0)</f>
        <v/>
      </c>
      <c r="K96" s="81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s="81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s="81" t="str">
        <f>+_xlfn.XLOOKUP(PRODUCTOS[[#This Row],[CODIGO]],P_CRITICOS[CODIGO],P_CRITICOS[DESC CORTA],"",0)</f>
        <v/>
      </c>
      <c r="K97" s="81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s="81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s="81" t="str">
        <f>+_xlfn.XLOOKUP(PRODUCTOS[[#This Row],[CODIGO]],P_CRITICOS[CODIGO],P_CRITICOS[DESC CORTA],"",0)</f>
        <v/>
      </c>
      <c r="K98" s="81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704024</v>
      </c>
      <c r="B99" s="81" t="s">
        <v>332</v>
      </c>
      <c r="C99" t="s">
        <v>672</v>
      </c>
      <c r="D99" t="s">
        <v>240</v>
      </c>
      <c r="E99" t="s">
        <v>402</v>
      </c>
      <c r="F99" s="2">
        <v>363</v>
      </c>
      <c r="G99" s="6" t="s">
        <v>31</v>
      </c>
      <c r="H99" s="2">
        <v>363</v>
      </c>
      <c r="I99" t="b">
        <v>1</v>
      </c>
      <c r="J99" s="81" t="str">
        <f>+_xlfn.XLOOKUP(PRODUCTOS[[#This Row],[CODIGO]],P_CRITICOS[CODIGO],P_CRITICOS[DESC CORTA],"",0)</f>
        <v/>
      </c>
      <c r="K99" s="81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4.2</v>
      </c>
      <c r="M99" s="2">
        <f>+IFERROR(PRODUCTOS[[#This Row],[PPTO]]*PRODUCTOS[[#This Row],[CANT X MODULO]],"")</f>
        <v>1524.6000000000001</v>
      </c>
      <c r="N99" s="2">
        <f>+IFERROR(PRODUCTOS[[#This Row],[PPTO X MODULO]]*32,"")</f>
        <v>48787.200000000004</v>
      </c>
      <c r="O99" s="2">
        <f>+IFERROR(PRODUCTOS[[#This Row],[PPTO X TORRE]]*22,"")</f>
        <v>1073318.4000000001</v>
      </c>
      <c r="P99" s="3">
        <f>+IFERROR(PRODUCTOS[[#This Row],[CANT X MODULO]]*702,"")</f>
        <v>2948.4</v>
      </c>
      <c r="Q99" s="3">
        <f>+SUMIFS(DETALLE_GD_1[CANTIDAD SOLICITADA],DETALLE_GD_1[CODIGO],PRODUCTOS[[#This Row],[CODIGO]])</f>
        <v>1096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1096</v>
      </c>
      <c r="T99" s="3">
        <f>+IFERROR(PRODUCTOS[[#This Row],[CANTIDAD RECIBIDA]]/PRODUCTOS[[#This Row],[CANT X MODULO]],"")</f>
        <v>260.95238095238096</v>
      </c>
      <c r="U99" s="3">
        <f>+SUMIFS(DETALLE_GD_1[VALOR TOTAL POR ITEM GD],DETALLE_GD_1[CODIGO],PRODUCTOS[[#This Row],[CODIGO]])</f>
        <v>348453</v>
      </c>
      <c r="V99" s="3">
        <f>+IFERROR(PRODUCTOS[[#This Row],[PRECIO DE COMPRA]]/PRODUCTOS[[#This Row],[CANT. COMPRADA]],"")</f>
        <v>317.93156934306569</v>
      </c>
      <c r="W99" s="3">
        <f>+IFERROR(PRODUCTOS[[#This Row],[PRECIO COMPRA UNITARIO]]*PRODUCTOS[[#This Row],[PPTO FALTANTE]],"")</f>
        <v>591607.06423357665</v>
      </c>
      <c r="X99" s="7">
        <f>+IFERROR(PRODUCTOS[[#This Row],[PROYECCION COMPRA]]/PRODUCTOS[[#This Row],[PPTO TOTAL]]-1,"")</f>
        <v>-0.4488056254010212</v>
      </c>
      <c r="Y99" s="3">
        <f>+IFERROR((PRODUCTOS[[#This Row],[CANT X MODULO]]*704)-PRODUCTOS[[#This Row],[CANT. COMPRADA]],"")</f>
        <v>1860.8000000000002</v>
      </c>
      <c r="Z99" s="17">
        <f>+IFERROR(PRODUCTOS[[#This Row],[CANT. COMPRADA]]/PRODUCTOS[[#This Row],[PPTO FALTANTE]],"")</f>
        <v>0.58899398108340495</v>
      </c>
      <c r="AA99" s="3">
        <f>+IFERROR(PRODUCTOS[[#This Row],[PROYECCION COMPRA]]-(PRODUCTOS[[#This Row],[PPTO FALTANTE]]*PRODUCTOS[[#This Row],[PPTO]]),"")</f>
        <v>-83863.335766423377</v>
      </c>
      <c r="AB99" s="3">
        <f>+_xlfn.XLOOKUP(PRODUCTOS[[#This Row],[CODIGO]],DETALLE_GD_1[CODIGO],DETALLE_GD_1[VALOR PPTO],"",0)</f>
        <v>363</v>
      </c>
      <c r="AC99" s="3">
        <f>+AB99-PRODUCTOS[[#This Row],[PPTO_ACTUALIZADO]]</f>
        <v>0</v>
      </c>
    </row>
    <row r="100" spans="1:29" x14ac:dyDescent="0.25">
      <c r="A100">
        <v>1610023</v>
      </c>
      <c r="B100" s="81" t="s">
        <v>351</v>
      </c>
      <c r="C100" t="s">
        <v>59</v>
      </c>
      <c r="D100">
        <v>0</v>
      </c>
      <c r="E100">
        <v>0</v>
      </c>
      <c r="F100" s="2">
        <v>2109.0585420000002</v>
      </c>
      <c r="G100" s="6" t="s">
        <v>28</v>
      </c>
      <c r="H100" s="2">
        <v>0</v>
      </c>
      <c r="I100" t="b">
        <v>0</v>
      </c>
      <c r="J100" s="81" t="str">
        <f>+_xlfn.XLOOKUP(PRODUCTOS[[#This Row],[CODIGO]],P_CRITICOS[CODIGO],P_CRITICOS[DESC CORTA],"",0)</f>
        <v/>
      </c>
      <c r="K100" s="81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0.52500000000000002</v>
      </c>
      <c r="M100" s="2">
        <f>+IFERROR(PRODUCTOS[[#This Row],[PPTO]]*PRODUCTOS[[#This Row],[CANT X MODULO]],"")</f>
        <v>1107.2557345500002</v>
      </c>
      <c r="N100" s="2">
        <f>+IFERROR(PRODUCTOS[[#This Row],[PPTO X MODULO]]*32,"")</f>
        <v>35432.183505600005</v>
      </c>
      <c r="O100" s="2">
        <f>+IFERROR(PRODUCTOS[[#This Row],[PPTO X TORRE]]*22,"")</f>
        <v>779508.03712320013</v>
      </c>
      <c r="P100" s="3">
        <f>+IFERROR(PRODUCTOS[[#This Row],[CANT X MODULO]]*702,"")</f>
        <v>368.55</v>
      </c>
      <c r="Q100" s="3">
        <f>+SUMIFS(DETALLE_GD_1[CANTIDAD SOLICITADA],DETALLE_GD_1[CODIGO],PRODUCTOS[[#This Row],[CODIGO]])</f>
        <v>134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134</v>
      </c>
      <c r="T100" s="3">
        <f>+IFERROR(PRODUCTOS[[#This Row],[CANTIDAD RECIBIDA]]/PRODUCTOS[[#This Row],[CANT X MODULO]],"")</f>
        <v>255.23809523809524</v>
      </c>
      <c r="U100" s="3">
        <f>+SUMIFS(DETALLE_GD_1[VALOR TOTAL POR ITEM GD],DETALLE_GD_1[CODIGO],PRODUCTOS[[#This Row],[CODIGO]])</f>
        <v>302351</v>
      </c>
      <c r="V100" s="3">
        <f>+IFERROR(PRODUCTOS[[#This Row],[PRECIO DE COMPRA]]/PRODUCTOS[[#This Row],[CANT. COMPRADA]],"")</f>
        <v>2256.3507462686566</v>
      </c>
      <c r="W100" s="3">
        <f>+IFERROR(PRODUCTOS[[#This Row],[PRECIO COMPRA UNITARIO]]*PRODUCTOS[[#This Row],[PPTO FALTANTE]],"")</f>
        <v>531596.23582089553</v>
      </c>
      <c r="X100" s="7">
        <f>+IFERROR(PRODUCTOS[[#This Row],[PROYECCION COMPRA]]/PRODUCTOS[[#This Row],[PPTO TOTAL]]-1,"")</f>
        <v>-0.31803623503002121</v>
      </c>
      <c r="Y100" s="3">
        <f>+IFERROR((PRODUCTOS[[#This Row],[CANT X MODULO]]*704)-PRODUCTOS[[#This Row],[CANT. COMPRADA]],"")</f>
        <v>235.60000000000002</v>
      </c>
      <c r="Z100" s="17">
        <f>+IFERROR(PRODUCTOS[[#This Row],[CANT. COMPRADA]]/PRODUCTOS[[#This Row],[PPTO FALTANTE]],"")</f>
        <v>0.56876061120543286</v>
      </c>
      <c r="AA100" s="3">
        <f>+IFERROR(PRODUCTOS[[#This Row],[PROYECCION COMPRA]]-(PRODUCTOS[[#This Row],[PPTO FALTANTE]]*PRODUCTOS[[#This Row],[PPTO]]),"")</f>
        <v>34702.043325695442</v>
      </c>
      <c r="AB100" s="3">
        <f>+_xlfn.XLOOKUP(PRODUCTOS[[#This Row],[CODIGO]],DETALLE_GD_1[CODIGO],DETALLE_GD_1[VALOR PPTO],"",0)</f>
        <v>2109.0585000000001</v>
      </c>
      <c r="AC100" s="3">
        <f>+AB100-PRODUCTOS[[#This Row],[PPTO_ACTUALIZADO]]</f>
        <v>2109.0585000000001</v>
      </c>
    </row>
    <row r="101" spans="1:29" x14ac:dyDescent="0.25">
      <c r="A101">
        <v>1405040</v>
      </c>
      <c r="B101" s="81" t="s">
        <v>303</v>
      </c>
      <c r="C101" t="s">
        <v>640</v>
      </c>
      <c r="D101" t="s">
        <v>244</v>
      </c>
      <c r="E101" t="s">
        <v>406</v>
      </c>
      <c r="F101" s="2">
        <v>7568</v>
      </c>
      <c r="G101" s="6" t="s">
        <v>31</v>
      </c>
      <c r="H101" s="2">
        <v>7568</v>
      </c>
      <c r="I101" t="b">
        <v>1</v>
      </c>
      <c r="J101" s="81" t="str">
        <f>+_xlfn.XLOOKUP(PRODUCTOS[[#This Row],[CODIGO]],P_CRITICOS[CODIGO],P_CRITICOS[DESC CORTA],"",0)</f>
        <v/>
      </c>
      <c r="K101" s="8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0.52500000000000002</v>
      </c>
      <c r="M101" s="2">
        <f>+IFERROR(PRODUCTOS[[#This Row],[PPTO]]*PRODUCTOS[[#This Row],[CANT X MODULO]],"")</f>
        <v>3973.2000000000003</v>
      </c>
      <c r="N101" s="2">
        <f>+IFERROR(PRODUCTOS[[#This Row],[PPTO X MODULO]]*32,"")</f>
        <v>127142.40000000001</v>
      </c>
      <c r="O101" s="2">
        <f>+IFERROR(PRODUCTOS[[#This Row],[PPTO X TORRE]]*22,"")</f>
        <v>2797132.8000000003</v>
      </c>
      <c r="P101" s="3">
        <f>+IFERROR(PRODUCTOS[[#This Row],[CANT X MODULO]]*702,"")</f>
        <v>368.55</v>
      </c>
      <c r="Q101" s="3">
        <f>+SUMIFS(DETALLE_GD_1[CANTIDAD SOLICITADA],DETALLE_GD_1[CODIGO],PRODUCTOS[[#This Row],[CODIGO]])</f>
        <v>134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134</v>
      </c>
      <c r="T101" s="3">
        <f>+IFERROR(PRODUCTOS[[#This Row],[CANTIDAD RECIBIDA]]/PRODUCTOS[[#This Row],[CANT X MODULO]],"")</f>
        <v>255.23809523809524</v>
      </c>
      <c r="U101" s="3">
        <f>+SUMIFS(DETALLE_GD_1[VALOR TOTAL POR ITEM GD],DETALLE_GD_1[CODIGO],PRODUCTOS[[#This Row],[CODIGO]])</f>
        <v>1014899</v>
      </c>
      <c r="V101" s="3">
        <f>+IFERROR(PRODUCTOS[[#This Row],[PRECIO DE COMPRA]]/PRODUCTOS[[#This Row],[CANT. COMPRADA]],"")</f>
        <v>7573.873134328358</v>
      </c>
      <c r="W101" s="3">
        <f>+IFERROR(PRODUCTOS[[#This Row],[PRECIO COMPRA UNITARIO]]*PRODUCTOS[[#This Row],[PPTO FALTANTE]],"")</f>
        <v>1784404.5104477613</v>
      </c>
      <c r="X101" s="7">
        <f>+IFERROR(PRODUCTOS[[#This Row],[PROYECCION COMPRA]]/PRODUCTOS[[#This Row],[PPTO TOTAL]]-1,"")</f>
        <v>-0.36205942368994382</v>
      </c>
      <c r="Y101" s="3">
        <f>+IFERROR((PRODUCTOS[[#This Row],[CANT X MODULO]]*704)-PRODUCTOS[[#This Row],[CANT. COMPRADA]],"")</f>
        <v>235.60000000000002</v>
      </c>
      <c r="Z101" s="17">
        <f>+IFERROR(PRODUCTOS[[#This Row],[CANT. COMPRADA]]/PRODUCTOS[[#This Row],[PPTO FALTANTE]],"")</f>
        <v>0.56876061120543286</v>
      </c>
      <c r="AA101" s="3">
        <f>+IFERROR(PRODUCTOS[[#This Row],[PROYECCION COMPRA]]-(PRODUCTOS[[#This Row],[PPTO FALTANTE]]*PRODUCTOS[[#This Row],[PPTO]]),"")</f>
        <v>1383.7104477609973</v>
      </c>
      <c r="AB101" s="3">
        <f>+_xlfn.XLOOKUP(PRODUCTOS[[#This Row],[CODIGO]],DETALLE_GD_1[CODIGO],DETALLE_GD_1[VALOR PPTO],"",0)</f>
        <v>7568</v>
      </c>
      <c r="AC101" s="3">
        <f>+AB101-PRODUCTOS[[#This Row],[PPTO_ACTUALIZADO]]</f>
        <v>0</v>
      </c>
    </row>
    <row r="102" spans="1:29" x14ac:dyDescent="0.25">
      <c r="A102">
        <v>701040</v>
      </c>
      <c r="B102" s="81" t="s">
        <v>19</v>
      </c>
      <c r="C102" t="s">
        <v>562</v>
      </c>
      <c r="D102" t="s">
        <v>240</v>
      </c>
      <c r="E102" t="s">
        <v>402</v>
      </c>
      <c r="F102" s="2">
        <v>7835.7259539999995</v>
      </c>
      <c r="G102" s="6" t="s">
        <v>18</v>
      </c>
      <c r="H102" s="2">
        <v>7835.7259539999986</v>
      </c>
      <c r="I102" t="b">
        <v>1</v>
      </c>
      <c r="J102" s="81" t="str">
        <f>+_xlfn.XLOOKUP(PRODUCTOS[[#This Row],[CODIGO]],P_CRITICOS[CODIGO],P_CRITICOS[DESC CORTA],"",0)</f>
        <v/>
      </c>
      <c r="K102" s="81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4.2840000000000007</v>
      </c>
      <c r="M102" s="2">
        <f>+IFERROR(PRODUCTOS[[#This Row],[PPTO]]*PRODUCTOS[[#This Row],[CANT X MODULO]],"")</f>
        <v>33568.249986936004</v>
      </c>
      <c r="N102" s="2">
        <f>+IFERROR(PRODUCTOS[[#This Row],[PPTO X MODULO]]*32,"")</f>
        <v>1074183.9995819521</v>
      </c>
      <c r="O102" s="2">
        <f>+IFERROR(PRODUCTOS[[#This Row],[PPTO X TORRE]]*22,"")</f>
        <v>23632047.990802947</v>
      </c>
      <c r="P102" s="3">
        <f>+IFERROR(PRODUCTOS[[#This Row],[CANT X MODULO]]*702,"")</f>
        <v>3007.3680000000004</v>
      </c>
      <c r="Q102" s="3">
        <f>+SUMIFS(DETALLE_GD_1[CANTIDAD SOLICITADA],DETALLE_GD_1[CODIGO],PRODUCTOS[[#This Row],[CODIGO]])</f>
        <v>1055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1055</v>
      </c>
      <c r="T102" s="3">
        <f>+IFERROR(PRODUCTOS[[#This Row],[CANTIDAD RECIBIDA]]/PRODUCTOS[[#This Row],[CANT X MODULO]],"")</f>
        <v>246.26517273576093</v>
      </c>
      <c r="U102" s="3">
        <f>+SUMIFS(DETALLE_GD_1[VALOR TOTAL POR ITEM GD],DETALLE_GD_1[CODIGO],PRODUCTOS[[#This Row],[CODIGO]])</f>
        <v>8000165</v>
      </c>
      <c r="V102" s="3">
        <f>+IFERROR(PRODUCTOS[[#This Row],[PRECIO DE COMPRA]]/PRODUCTOS[[#This Row],[CANT. COMPRADA]],"")</f>
        <v>7583.0947867298582</v>
      </c>
      <c r="W102" s="3">
        <f>+IFERROR(PRODUCTOS[[#This Row],[PRECIO COMPRA UNITARIO]]*PRODUCTOS[[#This Row],[PPTO FALTANTE]],"")</f>
        <v>14869963.558710907</v>
      </c>
      <c r="X102" s="7">
        <f>+IFERROR(PRODUCTOS[[#This Row],[PROYECCION COMPRA]]/PRODUCTOS[[#This Row],[PPTO TOTAL]]-1,"")</f>
        <v>-0.37077126940085958</v>
      </c>
      <c r="Y102" s="3">
        <f>+IFERROR((PRODUCTOS[[#This Row],[CANT X MODULO]]*704)-PRODUCTOS[[#This Row],[CANT. COMPRADA]],"")</f>
        <v>1960.9360000000006</v>
      </c>
      <c r="Z102" s="17">
        <f>+IFERROR(PRODUCTOS[[#This Row],[CANT. COMPRADA]]/PRODUCTOS[[#This Row],[PPTO FALTANTE]],"")</f>
        <v>0.53800837967174842</v>
      </c>
      <c r="AA102" s="3">
        <f>+IFERROR(PRODUCTOS[[#This Row],[PROYECCION COMPRA]]-(PRODUCTOS[[#This Row],[PPTO FALTANTE]]*PRODUCTOS[[#This Row],[PPTO]]),"")</f>
        <v>-495393.55062204041</v>
      </c>
      <c r="AB102" s="3">
        <f>+_xlfn.XLOOKUP(PRODUCTOS[[#This Row],[CODIGO]],DETALLE_GD_1[CODIGO],DETALLE_GD_1[VALOR PPTO],"",0)</f>
        <v>7835.7259999999997</v>
      </c>
      <c r="AC102" s="3">
        <f>+AB102-PRODUCTOS[[#This Row],[PPTO_ACTUALIZADO]]</f>
        <v>4.6000001020729542E-5</v>
      </c>
    </row>
    <row r="103" spans="1:29" x14ac:dyDescent="0.25">
      <c r="A103">
        <v>410045</v>
      </c>
      <c r="B103" s="81" t="s">
        <v>110</v>
      </c>
      <c r="C103" t="s">
        <v>614</v>
      </c>
      <c r="D103" t="s">
        <v>240</v>
      </c>
      <c r="E103" t="s">
        <v>399</v>
      </c>
      <c r="F103" s="2">
        <v>368.00136099999997</v>
      </c>
      <c r="G103" s="6" t="s">
        <v>31</v>
      </c>
      <c r="H103" s="2">
        <v>368.00136099999992</v>
      </c>
      <c r="I103" t="b">
        <v>1</v>
      </c>
      <c r="J103" s="81" t="str">
        <f>+_xlfn.XLOOKUP(PRODUCTOS[[#This Row],[CODIGO]],P_CRITICOS[CODIGO],P_CRITICOS[DESC CORTA],"",0)</f>
        <v/>
      </c>
      <c r="K103" s="81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16.800000000000004</v>
      </c>
      <c r="M103" s="2">
        <f>+IFERROR(PRODUCTOS[[#This Row],[PPTO]]*PRODUCTOS[[#This Row],[CANT X MODULO]],"")</f>
        <v>6182.4228648000008</v>
      </c>
      <c r="N103" s="2">
        <f>+IFERROR(PRODUCTOS[[#This Row],[PPTO X MODULO]]*32,"")</f>
        <v>197837.53167360002</v>
      </c>
      <c r="O103" s="2">
        <f>+IFERROR(PRODUCTOS[[#This Row],[PPTO X TORRE]]*22,"")</f>
        <v>4352425.6968192002</v>
      </c>
      <c r="P103" s="3">
        <f>+IFERROR(PRODUCTOS[[#This Row],[CANT X MODULO]]*702,"")</f>
        <v>11793.600000000002</v>
      </c>
      <c r="Q103" s="3">
        <f>+SUMIFS(DETALLE_GD_1[CANTIDAD SOLICITADA],DETALLE_GD_1[CODIGO],PRODUCTOS[[#This Row],[CODIGO]])</f>
        <v>4045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4045</v>
      </c>
      <c r="T103" s="3">
        <f>+IFERROR(PRODUCTOS[[#This Row],[CANTIDAD RECIBIDA]]/PRODUCTOS[[#This Row],[CANT X MODULO]],"")</f>
        <v>240.77380952380946</v>
      </c>
      <c r="U103" s="3">
        <f>+SUMIFS(DETALLE_GD_1[VALOR TOTAL POR ITEM GD],DETALLE_GD_1[CODIGO],PRODUCTOS[[#This Row],[CODIGO]])</f>
        <v>1404842</v>
      </c>
      <c r="V103" s="3">
        <f>+IFERROR(PRODUCTOS[[#This Row],[PRECIO DE COMPRA]]/PRODUCTOS[[#This Row],[CANT. COMPRADA]],"")</f>
        <v>347.30333745364646</v>
      </c>
      <c r="W103" s="3">
        <f>+IFERROR(PRODUCTOS[[#This Row],[PRECIO COMPRA UNITARIO]]*PRODUCTOS[[#This Row],[PPTO FALTANTE]],"")</f>
        <v>2702784.0327317682</v>
      </c>
      <c r="X103" s="7">
        <f>+IFERROR(PRODUCTOS[[#This Row],[PROYECCION COMPRA]]/PRODUCTOS[[#This Row],[PPTO TOTAL]]-1,"")</f>
        <v>-0.379016617168906</v>
      </c>
      <c r="Y103" s="3">
        <f>+IFERROR((PRODUCTOS[[#This Row],[CANT X MODULO]]*704)-PRODUCTOS[[#This Row],[CANT. COMPRADA]],"")</f>
        <v>7782.2000000000025</v>
      </c>
      <c r="Z103" s="17">
        <f>+IFERROR(PRODUCTOS[[#This Row],[CANT. COMPRADA]]/PRODUCTOS[[#This Row],[PPTO FALTANTE]],"")</f>
        <v>0.51977589884608444</v>
      </c>
      <c r="AA103" s="3">
        <f>+IFERROR(PRODUCTOS[[#This Row],[PROYECCION COMPRA]]-(PRODUCTOS[[#This Row],[PPTO FALTANTE]]*PRODUCTOS[[#This Row],[PPTO]]),"")</f>
        <v>-161076.15884243231</v>
      </c>
      <c r="AB103" s="3">
        <f>+_xlfn.XLOOKUP(PRODUCTOS[[#This Row],[CODIGO]],DETALLE_GD_1[CODIGO],DETALLE_GD_1[VALOR PPTO],"",0)</f>
        <v>368.00139999999999</v>
      </c>
      <c r="AC103" s="3">
        <f>+AB103-PRODUCTOS[[#This Row],[PPTO_ACTUALIZADO]]</f>
        <v>3.9000000072064722E-5</v>
      </c>
    </row>
    <row r="104" spans="1:29" x14ac:dyDescent="0.25">
      <c r="A104">
        <v>1103088</v>
      </c>
      <c r="B104" s="81" t="s">
        <v>491</v>
      </c>
      <c r="C104" t="s">
        <v>685</v>
      </c>
      <c r="D104" t="s">
        <v>355</v>
      </c>
      <c r="E104" t="s">
        <v>355</v>
      </c>
      <c r="G104" s="6" t="s">
        <v>355</v>
      </c>
      <c r="H104" s="2">
        <v>3134</v>
      </c>
      <c r="I104" t="b">
        <v>0</v>
      </c>
      <c r="J104" s="81" t="str">
        <f>+_xlfn.XLOOKUP(PRODUCTOS[[#This Row],[CODIGO]],P_CRITICOS[CODIGO],P_CRITICOS[DESC CORTA],"",0)</f>
        <v/>
      </c>
      <c r="K104" s="81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1.05</v>
      </c>
      <c r="M104" s="2">
        <f>+IFERROR(PRODUCTOS[[#This Row],[PPTO]]*PRODUCTOS[[#This Row],[CANT X MODULO]],"")</f>
        <v>0</v>
      </c>
      <c r="N104" s="2">
        <f>+IFERROR(PRODUCTOS[[#This Row],[PPTO X MODULO]]*32,"")</f>
        <v>0</v>
      </c>
      <c r="O104" s="2">
        <f>+IFERROR(PRODUCTOS[[#This Row],[PPTO X TORRE]]*22,"")</f>
        <v>0</v>
      </c>
      <c r="P104" s="3">
        <f>+IFERROR(PRODUCTOS[[#This Row],[CANT X MODULO]]*702,"")</f>
        <v>737.1</v>
      </c>
      <c r="Q104" s="3">
        <f>+SUMIFS(DETALLE_GD_1[CANTIDAD SOLICITADA],DETALLE_GD_1[CODIGO],PRODUCTOS[[#This Row],[CODIGO]])</f>
        <v>250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250</v>
      </c>
      <c r="T104" s="3">
        <f>+IFERROR(PRODUCTOS[[#This Row],[CANTIDAD RECIBIDA]]/PRODUCTOS[[#This Row],[CANT X MODULO]],"")</f>
        <v>238.09523809523807</v>
      </c>
      <c r="U104" s="3">
        <f>+SUMIFS(DETALLE_GD_1[VALOR TOTAL POR ITEM GD],DETALLE_GD_1[CODIGO],PRODUCTOS[[#This Row],[CODIGO]])</f>
        <v>783500</v>
      </c>
      <c r="V104" s="3">
        <f>+IFERROR(PRODUCTOS[[#This Row],[PRECIO DE COMPRA]]/PRODUCTOS[[#This Row],[CANT. COMPRADA]],"")</f>
        <v>3134</v>
      </c>
      <c r="W104" s="3">
        <f>+IFERROR(PRODUCTOS[[#This Row],[PRECIO COMPRA UNITARIO]]*PRODUCTOS[[#This Row],[PPTO FALTANTE]],"")</f>
        <v>1533152.8</v>
      </c>
      <c r="X104" s="7" t="str">
        <f>+IFERROR(PRODUCTOS[[#This Row],[PROYECCION COMPRA]]/PRODUCTOS[[#This Row],[PPTO TOTAL]]-1,"")</f>
        <v/>
      </c>
      <c r="Y104" s="3">
        <f>+IFERROR((PRODUCTOS[[#This Row],[CANT X MODULO]]*704)-PRODUCTOS[[#This Row],[CANT. COMPRADA]],"")</f>
        <v>489.20000000000005</v>
      </c>
      <c r="Z104" s="17">
        <f>+IFERROR(PRODUCTOS[[#This Row],[CANT. COMPRADA]]/PRODUCTOS[[#This Row],[PPTO FALTANTE]],"")</f>
        <v>0.51103843008994276</v>
      </c>
      <c r="AA104" s="3">
        <f>+IFERROR(PRODUCTOS[[#This Row],[PROYECCION COMPRA]]-(PRODUCTOS[[#This Row],[PPTO FALTANTE]]*PRODUCTOS[[#This Row],[PPTO]]),"")</f>
        <v>1533152.8</v>
      </c>
      <c r="AB104" s="3">
        <f>+_xlfn.XLOOKUP(PRODUCTOS[[#This Row],[CODIGO]],DETALLE_GD_1[CODIGO],DETALLE_GD_1[VALOR PPTO],"",0)</f>
        <v>3134</v>
      </c>
      <c r="AC104" s="3">
        <f>+AB104-PRODUCTOS[[#This Row],[PPTO_ACTUALIZADO]]</f>
        <v>0</v>
      </c>
    </row>
    <row r="105" spans="1:29" x14ac:dyDescent="0.25">
      <c r="A105">
        <v>1902003</v>
      </c>
      <c r="B105" s="81" t="s">
        <v>155</v>
      </c>
      <c r="C105">
        <v>0</v>
      </c>
      <c r="D105" t="s">
        <v>240</v>
      </c>
      <c r="E105" t="s">
        <v>404</v>
      </c>
      <c r="F105" s="2">
        <v>150703.97545999999</v>
      </c>
      <c r="G105" s="6" t="s">
        <v>47</v>
      </c>
      <c r="H105" s="2">
        <v>150703.97545999996</v>
      </c>
      <c r="I105" t="b">
        <v>1</v>
      </c>
      <c r="J105" s="81" t="str">
        <f>+_xlfn.XLOOKUP(PRODUCTOS[[#This Row],[CODIGO]],P_CRITICOS[CODIGO],P_CRITICOS[DESC CORTA],"",0)</f>
        <v/>
      </c>
      <c r="K105" s="81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0.41466600000000009</v>
      </c>
      <c r="M105" s="2">
        <f>+IFERROR(PRODUCTOS[[#This Row],[PPTO]]*PRODUCTOS[[#This Row],[CANT X MODULO]],"")</f>
        <v>62491.814688096369</v>
      </c>
      <c r="N105" s="2">
        <f>+IFERROR(PRODUCTOS[[#This Row],[PPTO X MODULO]]*32,"")</f>
        <v>1999738.0700190838</v>
      </c>
      <c r="O105" s="2">
        <f>+IFERROR(PRODUCTOS[[#This Row],[PPTO X TORRE]]*22,"")</f>
        <v>43994237.540419847</v>
      </c>
      <c r="P105" s="3">
        <f>+IFERROR(PRODUCTOS[[#This Row],[CANT X MODULO]]*702,"")</f>
        <v>291.09553200000005</v>
      </c>
      <c r="Q105" s="3">
        <f>+SUMIFS(DETALLE_GD_1[CANTIDAD SOLICITADA],DETALLE_GD_1[CODIGO],PRODUCTOS[[#This Row],[CODIGO]])</f>
        <v>93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93</v>
      </c>
      <c r="T105" s="3">
        <f>+IFERROR(PRODUCTOS[[#This Row],[CANTIDAD RECIBIDA]]/PRODUCTOS[[#This Row],[CANT X MODULO]],"")</f>
        <v>224.27688790496444</v>
      </c>
      <c r="U105" s="3">
        <f>+SUMIFS(DETALLE_GD_1[VALOR TOTAL POR ITEM GD],DETALLE_GD_1[CODIGO],PRODUCTOS[[#This Row],[CODIGO]])</f>
        <v>14018874</v>
      </c>
      <c r="V105" s="3">
        <f>+IFERROR(PRODUCTOS[[#This Row],[PRECIO DE COMPRA]]/PRODUCTOS[[#This Row],[CANT. COMPRADA]],"")</f>
        <v>150740.5806451613</v>
      </c>
      <c r="W105" s="3">
        <f>+IFERROR(PRODUCTOS[[#This Row],[PRECIO COMPRA UNITARIO]]*PRODUCTOS[[#This Row],[PPTO FALTANTE]],"")</f>
        <v>29986049.504119754</v>
      </c>
      <c r="X105" s="7">
        <f>+IFERROR(PRODUCTOS[[#This Row],[PROYECCION COMPRA]]/PRODUCTOS[[#This Row],[PPTO TOTAL]]-1,"")</f>
        <v>-0.3184096104275026</v>
      </c>
      <c r="Y105" s="3">
        <f>+IFERROR((PRODUCTOS[[#This Row],[CANT X MODULO]]*704)-PRODUCTOS[[#This Row],[CANT. COMPRADA]],"")</f>
        <v>198.92486400000007</v>
      </c>
      <c r="Z105" s="17">
        <f>+IFERROR(PRODUCTOS[[#This Row],[CANT. COMPRADA]]/PRODUCTOS[[#This Row],[PPTO FALTANTE]],"")</f>
        <v>0.46751320136632074</v>
      </c>
      <c r="AA105" s="3">
        <f>+IFERROR(PRODUCTOS[[#This Row],[PROYECCION COMPRA]]-(PRODUCTOS[[#This Row],[PPTO FALTANTE]]*PRODUCTOS[[#This Row],[PPTO]]),"")</f>
        <v>7281.6814799085259</v>
      </c>
      <c r="AB105" s="3">
        <f>+_xlfn.XLOOKUP(PRODUCTOS[[#This Row],[CODIGO]],DETALLE_GD_1[CODIGO],DETALLE_GD_1[VALOR PPTO],"",0)</f>
        <v>150703.9755</v>
      </c>
      <c r="AC105" s="3">
        <f>+AB105-PRODUCTOS[[#This Row],[PPTO_ACTUALIZADO]]</f>
        <v>4.0000042645260692E-5</v>
      </c>
    </row>
    <row r="106" spans="1:29" x14ac:dyDescent="0.25">
      <c r="A106" t="s">
        <v>348</v>
      </c>
      <c r="B106" s="81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s="81" t="str">
        <f>+_xlfn.XLOOKUP(PRODUCTOS[[#This Row],[CODIGO]],P_CRITICOS[CODIGO],P_CRITICOS[DESC CORTA],"",0)</f>
        <v/>
      </c>
      <c r="K106" s="81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s="81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s="81" t="str">
        <f>+_xlfn.XLOOKUP(PRODUCTOS[[#This Row],[CODIGO]],P_CRITICOS[CODIGO],P_CRITICOS[DESC CORTA],"",0)</f>
        <v/>
      </c>
      <c r="K107" s="81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198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198</v>
      </c>
      <c r="T107" s="3">
        <f>+IFERROR(PRODUCTOS[[#This Row],[CANTIDAD RECIBIDA]]/PRODUCTOS[[#This Row],[CANT X MODULO]],"")</f>
        <v>206.62531551450886</v>
      </c>
      <c r="U107" s="3">
        <f>+SUMIFS(DETALLE_GD_1[VALOR TOTAL POR ITEM GD],DETALLE_GD_1[CODIGO],PRODUCTOS[[#This Row],[CODIGO]])</f>
        <v>6930000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16681433.999999991</v>
      </c>
      <c r="X107" s="7">
        <f>+IFERROR(PRODUCTOS[[#This Row],[PROYECCION COMPRA]]/PRODUCTOS[[#This Row],[PPTO TOTAL]]-1,"")</f>
        <v>-0.29350186862856364</v>
      </c>
      <c r="Y107" s="3">
        <f>+IFERROR((PRODUCTOS[[#This Row],[CANT X MODULO]]*704)-PRODUCTOS[[#This Row],[CANT. COMPRADA]],"")</f>
        <v>476.61239999999975</v>
      </c>
      <c r="Z107" s="17">
        <f>+IFERROR(PRODUCTOS[[#This Row],[CANT. COMPRADA]]/PRODUCTOS[[#This Row],[PPTO FALTANTE]],"")</f>
        <v>0.41543191070983487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s="81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s="81" t="str">
        <f>+_xlfn.XLOOKUP(PRODUCTOS[[#This Row],[CODIGO]],P_CRITICOS[CODIGO],P_CRITICOS[DESC CORTA],"",0)</f>
        <v/>
      </c>
      <c r="K108" s="81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s="81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s="81" t="str">
        <f>+_xlfn.XLOOKUP(PRODUCTOS[[#This Row],[CODIGO]],P_CRITICOS[CODIGO],P_CRITICOS[DESC CORTA],"",0)</f>
        <v/>
      </c>
      <c r="K109" s="81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s="81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s="81" t="str">
        <f>+_xlfn.XLOOKUP(PRODUCTOS[[#This Row],[CODIGO]],P_CRITICOS[CODIGO],P_CRITICOS[DESC CORTA],"",0)</f>
        <v/>
      </c>
      <c r="K110" s="81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s="8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s="81" t="str">
        <f>+_xlfn.XLOOKUP(PRODUCTOS[[#This Row],[CODIGO]],P_CRITICOS[CODIGO],P_CRITICOS[DESC CORTA],"",0)</f>
        <v/>
      </c>
      <c r="K111" s="8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s="81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s="81" t="str">
        <f>+_xlfn.XLOOKUP(PRODUCTOS[[#This Row],[CODIGO]],P_CRITICOS[CODIGO],P_CRITICOS[DESC CORTA],"",0)</f>
        <v/>
      </c>
      <c r="K112" s="81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s="81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s="81" t="str">
        <f>+_xlfn.XLOOKUP(PRODUCTOS[[#This Row],[CODIGO]],P_CRITICOS[CODIGO],P_CRITICOS[DESC CORTA],"",0)</f>
        <v/>
      </c>
      <c r="K113" s="81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s="81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s="81" t="str">
        <f>+_xlfn.XLOOKUP(PRODUCTOS[[#This Row],[CODIGO]],P_CRITICOS[CODIGO],P_CRITICOS[DESC CORTA],"",0)</f>
        <v/>
      </c>
      <c r="K114" s="81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s="81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s="81" t="str">
        <f>+_xlfn.XLOOKUP(PRODUCTOS[[#This Row],[CODIGO]],P_CRITICOS[CODIGO],P_CRITICOS[DESC CORTA],"",0)</f>
        <v/>
      </c>
      <c r="K115" s="81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s="81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s="81" t="str">
        <f>+_xlfn.XLOOKUP(PRODUCTOS[[#This Row],[CODIGO]],P_CRITICOS[CODIGO],P_CRITICOS[DESC CORTA],"",0)</f>
        <v/>
      </c>
      <c r="K116" s="81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407185</v>
      </c>
      <c r="B117" s="81" t="s">
        <v>43</v>
      </c>
      <c r="C117">
        <v>0</v>
      </c>
      <c r="D117" t="s">
        <v>240</v>
      </c>
      <c r="E117" t="s">
        <v>399</v>
      </c>
      <c r="F117" s="2">
        <v>6.8783200000000004</v>
      </c>
      <c r="G117" s="6" t="s">
        <v>31</v>
      </c>
      <c r="H117" s="2">
        <v>6.8783200000000004</v>
      </c>
      <c r="I117" t="b">
        <v>1</v>
      </c>
      <c r="J117" s="81" t="str">
        <f>+_xlfn.XLOOKUP(PRODUCTOS[[#This Row],[CODIGO]],P_CRITICOS[CODIGO],P_CRITICOS[DESC CORTA],"",0)</f>
        <v/>
      </c>
      <c r="K117" s="81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966</v>
      </c>
      <c r="M117" s="2">
        <f>+IFERROR(PRODUCTOS[[#This Row],[PPTO]]*PRODUCTOS[[#This Row],[CANT X MODULO]],"")</f>
        <v>6644.45712</v>
      </c>
      <c r="N117" s="2">
        <f>+IFERROR(PRODUCTOS[[#This Row],[PPTO X MODULO]]*32,"")</f>
        <v>212622.62784</v>
      </c>
      <c r="O117" s="2">
        <f>+IFERROR(PRODUCTOS[[#This Row],[PPTO X TORRE]]*22,"")</f>
        <v>4677697.8124799998</v>
      </c>
      <c r="P117" s="3">
        <f>+IFERROR(PRODUCTOS[[#This Row],[CANT X MODULO]]*702,"")</f>
        <v>678132</v>
      </c>
      <c r="Q117" s="3">
        <f>+SUMIFS(DETALLE_GD_1[CANTIDAD SOLICITADA],DETALLE_GD_1[CODIGO],PRODUCTOS[[#This Row],[CODIGO]])</f>
        <v>144982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144982</v>
      </c>
      <c r="T117" s="3">
        <f>+IFERROR(PRODUCTOS[[#This Row],[CANTIDAD RECIBIDA]]/PRODUCTOS[[#This Row],[CANT X MODULO]],"")</f>
        <v>150.08488612836439</v>
      </c>
      <c r="U117" s="3">
        <f>+SUMIFS(DETALLE_GD_1[VALOR TOTAL POR ITEM GD],DETALLE_GD_1[CODIGO],PRODUCTOS[[#This Row],[CODIGO]])</f>
        <v>940909</v>
      </c>
      <c r="V117" s="3">
        <f>+IFERROR(PRODUCTOS[[#This Row],[PRECIO DE COMPRA]]/PRODUCTOS[[#This Row],[CANT. COMPRADA]],"")</f>
        <v>6.4898332206756697</v>
      </c>
      <c r="W117" s="3">
        <f>+IFERROR(PRODUCTOS[[#This Row],[PRECIO COMPRA UNITARIO]]*PRODUCTOS[[#This Row],[PPTO FALTANTE]],"")</f>
        <v>3472592.9393855785</v>
      </c>
      <c r="X117" s="7">
        <f>+IFERROR(PRODUCTOS[[#This Row],[PROYECCION COMPRA]]/PRODUCTOS[[#This Row],[PPTO TOTAL]]-1,"")</f>
        <v>-0.25762777361958411</v>
      </c>
      <c r="Y117" s="3">
        <f>+IFERROR((PRODUCTOS[[#This Row],[CANT X MODULO]]*704)-PRODUCTOS[[#This Row],[CANT. COMPRADA]],"")</f>
        <v>535082</v>
      </c>
      <c r="Z117" s="17">
        <f>+IFERROR(PRODUCTOS[[#This Row],[CANT. COMPRADA]]/PRODUCTOS[[#This Row],[PPTO FALTANTE]],"")</f>
        <v>0.27095286329945689</v>
      </c>
      <c r="AA117" s="3">
        <f>+IFERROR(PRODUCTOS[[#This Row],[PROYECCION COMPRA]]-(PRODUCTOS[[#This Row],[PPTO FALTANTE]]*PRODUCTOS[[#This Row],[PPTO]]),"")</f>
        <v>-207872.28285442153</v>
      </c>
      <c r="AB117" s="3">
        <f>+_xlfn.XLOOKUP(PRODUCTOS[[#This Row],[CODIGO]],DETALLE_GD_1[CODIGO],DETALLE_GD_1[VALOR PPTO],"",0)</f>
        <v>6.8783000000000003</v>
      </c>
      <c r="AC117" s="3">
        <f>+AB117-PRODUCTOS[[#This Row],[PPTO_ACTUALIZADO]]</f>
        <v>-2.0000000000131024E-5</v>
      </c>
    </row>
    <row r="118" spans="1:29" x14ac:dyDescent="0.25">
      <c r="A118">
        <v>304007</v>
      </c>
      <c r="B118" s="81" t="s">
        <v>80</v>
      </c>
      <c r="C118" t="s">
        <v>540</v>
      </c>
      <c r="D118" t="s">
        <v>240</v>
      </c>
      <c r="E118" t="s">
        <v>401</v>
      </c>
      <c r="F118" s="2">
        <v>11444.353021999999</v>
      </c>
      <c r="G118" s="6" t="s">
        <v>18</v>
      </c>
      <c r="H118" s="2">
        <v>11444.353021999996</v>
      </c>
      <c r="I118" t="b">
        <v>1</v>
      </c>
      <c r="J118" s="81" t="str">
        <f>+_xlfn.XLOOKUP(PRODUCTOS[[#This Row],[CODIGO]],P_CRITICOS[CODIGO],P_CRITICOS[DESC CORTA],"",0)</f>
        <v>OSB 11MM</v>
      </c>
      <c r="K118" s="81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8.6625000000000014</v>
      </c>
      <c r="M118" s="2">
        <f>+IFERROR(PRODUCTOS[[#This Row],[PPTO]]*PRODUCTOS[[#This Row],[CANT X MODULO]],"")</f>
        <v>99136.70805307501</v>
      </c>
      <c r="N118" s="2">
        <f>+IFERROR(PRODUCTOS[[#This Row],[PPTO X MODULO]]*32,"")</f>
        <v>3172374.6576984003</v>
      </c>
      <c r="O118" s="2">
        <f>+IFERROR(PRODUCTOS[[#This Row],[PPTO X TORRE]]*22,"")</f>
        <v>69792242.469364807</v>
      </c>
      <c r="P118" s="3">
        <f>+IFERROR(PRODUCTOS[[#This Row],[CANT X MODULO]]*702,"")</f>
        <v>6081.0750000000007</v>
      </c>
      <c r="Q118" s="3">
        <f>+SUMIFS(DETALLE_GD_1[CANTIDAD SOLICITADA],DETALLE_GD_1[CODIGO],PRODUCTOS[[#This Row],[CODIGO]])</f>
        <v>1288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1288</v>
      </c>
      <c r="T118" s="3">
        <f>+IFERROR(PRODUCTOS[[#This Row],[CANTIDAD RECIBIDA]]/PRODUCTOS[[#This Row],[CANT X MODULO]],"")</f>
        <v>148.68686868686865</v>
      </c>
      <c r="U118" s="3">
        <f>+SUMIFS(DETALLE_GD_1[VALOR TOTAL POR ITEM GD],DETALLE_GD_1[CODIGO],PRODUCTOS[[#This Row],[CODIGO]])</f>
        <v>14808508</v>
      </c>
      <c r="V118" s="3">
        <f>+IFERROR(PRODUCTOS[[#This Row],[PRECIO DE COMPRA]]/PRODUCTOS[[#This Row],[CANT. COMPRADA]],"")</f>
        <v>11497.288819875776</v>
      </c>
      <c r="W118" s="3">
        <f>+IFERROR(PRODUCTOS[[#This Row],[PRECIO COMPRA UNITARIO]]*PRODUCTOS[[#This Row],[PPTO FALTANTE]],"")</f>
        <v>55306558.139130451</v>
      </c>
      <c r="X118" s="7">
        <f>+IFERROR(PRODUCTOS[[#This Row],[PROYECCION COMPRA]]/PRODUCTOS[[#This Row],[PPTO TOTAL]]-1,"")</f>
        <v>-0.20755436159817942</v>
      </c>
      <c r="Y118" s="3">
        <f>+IFERROR((PRODUCTOS[[#This Row],[CANT X MODULO]]*704)-PRODUCTOS[[#This Row],[CANT. COMPRADA]],"")</f>
        <v>4810.4000000000015</v>
      </c>
      <c r="Z118" s="17">
        <f>+IFERROR(PRODUCTOS[[#This Row],[CANT. COMPRADA]]/PRODUCTOS[[#This Row],[PPTO FALTANTE]],"")</f>
        <v>0.26775320139697312</v>
      </c>
      <c r="AA118" s="3">
        <f>+IFERROR(PRODUCTOS[[#This Row],[PROYECCION COMPRA]]-(PRODUCTOS[[#This Row],[PPTO FALTANTE]]*PRODUCTOS[[#This Row],[PPTO]]),"")</f>
        <v>254642.36210163683</v>
      </c>
      <c r="AB118" s="3">
        <f>+_xlfn.XLOOKUP(PRODUCTOS[[#This Row],[CODIGO]],DETALLE_GD_1[CODIGO],DETALLE_GD_1[VALOR PPTO],"",0)</f>
        <v>11444.352999999999</v>
      </c>
      <c r="AC118" s="3">
        <f>+AB118-PRODUCTOS[[#This Row],[PPTO_ACTUALIZADO]]</f>
        <v>-2.1999996533850208E-5</v>
      </c>
    </row>
    <row r="119" spans="1:29" x14ac:dyDescent="0.25">
      <c r="A119">
        <v>617057</v>
      </c>
      <c r="B119" s="81" t="s">
        <v>134</v>
      </c>
      <c r="C119" t="s">
        <v>628</v>
      </c>
      <c r="D119">
        <v>0</v>
      </c>
      <c r="E119">
        <v>0</v>
      </c>
      <c r="F119" s="2">
        <v>2042.119706</v>
      </c>
      <c r="G119" s="6" t="s">
        <v>31</v>
      </c>
      <c r="H119" s="2">
        <v>0</v>
      </c>
      <c r="I119" t="b">
        <v>0</v>
      </c>
      <c r="J119" s="81" t="str">
        <f>+_xlfn.XLOOKUP(PRODUCTOS[[#This Row],[CODIGO]],P_CRITICOS[CODIGO],P_CRITICOS[DESC CORTA],"",0)</f>
        <v/>
      </c>
      <c r="K119" s="81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1.575</v>
      </c>
      <c r="M119" s="2">
        <f>+IFERROR(PRODUCTOS[[#This Row],[PPTO]]*PRODUCTOS[[#This Row],[CANT X MODULO]],"")</f>
        <v>3216.3385369499997</v>
      </c>
      <c r="N119" s="2">
        <f>+IFERROR(PRODUCTOS[[#This Row],[PPTO X MODULO]]*32,"")</f>
        <v>102922.83318239999</v>
      </c>
      <c r="O119" s="2">
        <f>+IFERROR(PRODUCTOS[[#This Row],[PPTO X TORRE]]*22,"")</f>
        <v>2264302.3300127997</v>
      </c>
      <c r="P119" s="3">
        <f>+IFERROR(PRODUCTOS[[#This Row],[CANT X MODULO]]*702,"")</f>
        <v>1105.6499999999999</v>
      </c>
      <c r="Q119" s="3">
        <f>+SUMIFS(DETALLE_GD_1[CANTIDAD SOLICITADA],DETALLE_GD_1[CODIGO],PRODUCTOS[[#This Row],[CODIGO]])</f>
        <v>231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231</v>
      </c>
      <c r="T119" s="3">
        <f>+IFERROR(PRODUCTOS[[#This Row],[CANTIDAD RECIBIDA]]/PRODUCTOS[[#This Row],[CANT X MODULO]],"")</f>
        <v>146.66666666666666</v>
      </c>
      <c r="U119" s="3">
        <f>+SUMIFS(DETALLE_GD_1[VALOR TOTAL POR ITEM GD],DETALLE_GD_1[CODIGO],PRODUCTOS[[#This Row],[CODIGO]])</f>
        <v>424129</v>
      </c>
      <c r="V119" s="3">
        <f>+IFERROR(PRODUCTOS[[#This Row],[PRECIO DE COMPRA]]/PRODUCTOS[[#This Row],[CANT. COMPRADA]],"")</f>
        <v>1836.0562770562772</v>
      </c>
      <c r="W119" s="3">
        <f>+IFERROR(PRODUCTOS[[#This Row],[PRECIO COMPRA UNITARIO]]*PRODUCTOS[[#This Row],[PPTO FALTANTE]],"")</f>
        <v>1611690.2</v>
      </c>
      <c r="X119" s="7">
        <f>+IFERROR(PRODUCTOS[[#This Row],[PROYECCION COMPRA]]/PRODUCTOS[[#This Row],[PPTO TOTAL]]-1,"")</f>
        <v>-0.28821775315185527</v>
      </c>
      <c r="Y119" s="3">
        <f>+IFERROR((PRODUCTOS[[#This Row],[CANT X MODULO]]*704)-PRODUCTOS[[#This Row],[CANT. COMPRADA]],"")</f>
        <v>877.8</v>
      </c>
      <c r="Z119" s="17">
        <f>+IFERROR(PRODUCTOS[[#This Row],[CANT. COMPRADA]]/PRODUCTOS[[#This Row],[PPTO FALTANTE]],"")</f>
        <v>0.26315789473684215</v>
      </c>
      <c r="AA119" s="3">
        <f>+IFERROR(PRODUCTOS[[#This Row],[PROYECCION COMPRA]]-(PRODUCTOS[[#This Row],[PPTO FALTANTE]]*PRODUCTOS[[#This Row],[PPTO]]),"")</f>
        <v>-180882.47792679979</v>
      </c>
      <c r="AB119" s="3">
        <f>+_xlfn.XLOOKUP(PRODUCTOS[[#This Row],[CODIGO]],DETALLE_GD_1[CODIGO],DETALLE_GD_1[VALOR PPTO],"",0)</f>
        <v>2042.1197</v>
      </c>
      <c r="AC119" s="3">
        <f>+AB119-PRODUCTOS[[#This Row],[PPTO_ACTUALIZADO]]</f>
        <v>2042.1197</v>
      </c>
    </row>
    <row r="120" spans="1:29" x14ac:dyDescent="0.25">
      <c r="A120" t="s">
        <v>21</v>
      </c>
      <c r="B120" s="81" t="s">
        <v>22</v>
      </c>
      <c r="C120" t="s">
        <v>527</v>
      </c>
      <c r="D120" t="s">
        <v>240</v>
      </c>
      <c r="E120" t="s">
        <v>403</v>
      </c>
      <c r="F120" s="2">
        <v>15359.702784999999</v>
      </c>
      <c r="G120" s="6" t="s">
        <v>20</v>
      </c>
      <c r="H120" s="2">
        <v>15359.702785000003</v>
      </c>
      <c r="I120" t="b">
        <v>1</v>
      </c>
      <c r="J120" s="81" t="str">
        <f>+_xlfn.XLOOKUP(PRODUCTOS[[#This Row],[CODIGO]],P_CRITICOS[CODIGO],P_CRITICOS[DESC CORTA],"",0)</f>
        <v>PINO 3X8X320</v>
      </c>
      <c r="K120" s="81" t="str">
        <f>+IFERROR(IF(VLOOKUP(PRODUCTOS[[#This Row],[CODIGO]],P_CRITICOS[],3,0)="*","PRODUCTO CRITICO","NO CRITICO"),"NO CRITICO")</f>
        <v>PRODUCTO CRITICO</v>
      </c>
      <c r="L120" s="15">
        <f>+_xlfn.XLOOKUP(PRODUCTOS[[#This Row],[CODIGO]],BD_MODULO[Artículo],BD_MODULO[CUB_ACTUALIZADA],"",0)</f>
        <v>6.3000000000000007</v>
      </c>
      <c r="M120" s="2">
        <f>+IFERROR(PRODUCTOS[[#This Row],[PPTO]]*PRODUCTOS[[#This Row],[CANT X MODULO]],"")</f>
        <v>96766.127545500014</v>
      </c>
      <c r="N120" s="2">
        <f>+IFERROR(PRODUCTOS[[#This Row],[PPTO X MODULO]]*32,"")</f>
        <v>3096516.0814560005</v>
      </c>
      <c r="O120" s="2">
        <f>+IFERROR(PRODUCTOS[[#This Row],[PPTO X TORRE]]*22,"")</f>
        <v>68123353.792032003</v>
      </c>
      <c r="P120" s="3">
        <f>+IFERROR(PRODUCTOS[[#This Row],[CANT X MODULO]]*702,"")</f>
        <v>4422.6000000000004</v>
      </c>
      <c r="Q120" s="3">
        <f>+SUMIFS(DETALLE_GD_1[CANTIDAD SOLICITADA],DETALLE_GD_1[CODIGO],PRODUCTOS[[#This Row],[CODIGO]])</f>
        <v>888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888</v>
      </c>
      <c r="T120" s="3">
        <f>+IFERROR(PRODUCTOS[[#This Row],[CANTIDAD RECIBIDA]]/PRODUCTOS[[#This Row],[CANT X MODULO]],"")</f>
        <v>140.95238095238093</v>
      </c>
      <c r="U120" s="3">
        <f>+SUMIFS(DETALLE_GD_1[VALOR TOTAL POR ITEM GD],DETALLE_GD_1[CODIGO],PRODUCTOS[[#This Row],[CODIGO]])</f>
        <v>13713845</v>
      </c>
      <c r="V120" s="3">
        <f>+IFERROR(PRODUCTOS[[#This Row],[PRECIO DE COMPRA]]/PRODUCTOS[[#This Row],[CANT. COMPRADA]],"")</f>
        <v>15443.519144144144</v>
      </c>
      <c r="W120" s="3">
        <f>+IFERROR(PRODUCTOS[[#This Row],[PRECIO COMPRA UNITARIO]]*PRODUCTOS[[#This Row],[PPTO FALTANTE]],"")</f>
        <v>54781251.108108118</v>
      </c>
      <c r="X120" s="7">
        <f>+IFERROR(PRODUCTOS[[#This Row],[PROYECCION COMPRA]]/PRODUCTOS[[#This Row],[PPTO TOTAL]]-1,"")</f>
        <v>-0.19585211151897863</v>
      </c>
      <c r="Y120" s="3">
        <f>+IFERROR((PRODUCTOS[[#This Row],[CANT X MODULO]]*704)-PRODUCTOS[[#This Row],[CANT. COMPRADA]],"")</f>
        <v>3547.2000000000007</v>
      </c>
      <c r="Z120" s="17">
        <f>+IFERROR(PRODUCTOS[[#This Row],[CANT. COMPRADA]]/PRODUCTOS[[#This Row],[PPTO FALTANTE]],"")</f>
        <v>0.25033829499323407</v>
      </c>
      <c r="AA120" s="3">
        <f>+IFERROR(PRODUCTOS[[#This Row],[PROYECCION COMPRA]]-(PRODUCTOS[[#This Row],[PPTO FALTANTE]]*PRODUCTOS[[#This Row],[PPTO]]),"")</f>
        <v>297313.38915611058</v>
      </c>
      <c r="AB120" s="3">
        <f>+_xlfn.XLOOKUP(PRODUCTOS[[#This Row],[CODIGO]],DETALLE_GD_1[CODIGO],DETALLE_GD_1[VALOR PPTO],"",0)</f>
        <v>15359.702799999999</v>
      </c>
      <c r="AC120" s="3">
        <f>+AB120-PRODUCTOS[[#This Row],[PPTO_ACTUALIZADO]]</f>
        <v>1.499999598308932E-5</v>
      </c>
    </row>
    <row r="121" spans="1:29" x14ac:dyDescent="0.25">
      <c r="A121">
        <v>302046</v>
      </c>
      <c r="B121" s="81" t="s">
        <v>115</v>
      </c>
      <c r="C121" t="s">
        <v>546</v>
      </c>
      <c r="D121" t="s">
        <v>240</v>
      </c>
      <c r="E121" t="s">
        <v>403</v>
      </c>
      <c r="F121" s="2">
        <v>10156.598467</v>
      </c>
      <c r="G121" s="6" t="s">
        <v>20</v>
      </c>
      <c r="H121" s="2">
        <v>10156.598467000002</v>
      </c>
      <c r="I121" t="b">
        <v>1</v>
      </c>
      <c r="J121" s="81" t="str">
        <f>+_xlfn.XLOOKUP(PRODUCTOS[[#This Row],[CODIGO]],P_CRITICOS[CODIGO],P_CRITICOS[DESC CORTA],"",0)</f>
        <v>PINO 2X6X400</v>
      </c>
      <c r="K121" s="8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34.65</v>
      </c>
      <c r="M121" s="2">
        <f>+IFERROR(PRODUCTOS[[#This Row],[PPTO]]*PRODUCTOS[[#This Row],[CANT X MODULO]],"")</f>
        <v>351926.13688154996</v>
      </c>
      <c r="N121" s="2">
        <f>+IFERROR(PRODUCTOS[[#This Row],[PPTO X MODULO]]*32,"")</f>
        <v>11261636.380209599</v>
      </c>
      <c r="O121" s="2">
        <f>+IFERROR(PRODUCTOS[[#This Row],[PPTO X TORRE]]*22,"")</f>
        <v>247756000.36461118</v>
      </c>
      <c r="P121" s="3">
        <f>+IFERROR(PRODUCTOS[[#This Row],[CANT X MODULO]]*702,"")</f>
        <v>24324.3</v>
      </c>
      <c r="Q121" s="3">
        <f>+SUMIFS(DETALLE_GD_1[CANTIDAD SOLICITADA],DETALLE_GD_1[CODIGO],PRODUCTOS[[#This Row],[CODIGO]])</f>
        <v>4837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4837</v>
      </c>
      <c r="T121" s="3">
        <f>+IFERROR(PRODUCTOS[[#This Row],[CANTIDAD RECIBIDA]]/PRODUCTOS[[#This Row],[CANT X MODULO]],"")</f>
        <v>139.59595959595961</v>
      </c>
      <c r="U121" s="3">
        <f>+SUMIFS(DETALLE_GD_1[VALOR TOTAL POR ITEM GD],DETALLE_GD_1[CODIGO],PRODUCTOS[[#This Row],[CODIGO]])</f>
        <v>49768122</v>
      </c>
      <c r="V121" s="3">
        <f>+IFERROR(PRODUCTOS[[#This Row],[PRECIO DE COMPRA]]/PRODUCTOS[[#This Row],[CANT. COMPRADA]],"")</f>
        <v>10289.047343394666</v>
      </c>
      <c r="W121" s="3">
        <f>+IFERROR(PRODUCTOS[[#This Row],[PRECIO COMPRA UNITARIO]]*PRODUCTOS[[#This Row],[PPTO FALTANTE]],"")</f>
        <v>201218783.27583212</v>
      </c>
      <c r="X121" s="7">
        <f>+IFERROR(PRODUCTOS[[#This Row],[PROYECCION COMPRA]]/PRODUCTOS[[#This Row],[PPTO TOTAL]]-1,"")</f>
        <v>-0.18783487390938003</v>
      </c>
      <c r="Y121" s="3">
        <f>+IFERROR((PRODUCTOS[[#This Row],[CANT X MODULO]]*704)-PRODUCTOS[[#This Row],[CANT. COMPRADA]],"")</f>
        <v>19556.599999999999</v>
      </c>
      <c r="Z121" s="17">
        <f>+IFERROR(PRODUCTOS[[#This Row],[CANT. COMPRADA]]/PRODUCTOS[[#This Row],[PPTO FALTANTE]],"")</f>
        <v>0.24733338105805713</v>
      </c>
      <c r="AA121" s="3">
        <f>+IFERROR(PRODUCTOS[[#This Row],[PROYECCION COMPRA]]-(PRODUCTOS[[#This Row],[PPTO FALTANTE]]*PRODUCTOS[[#This Row],[PPTO]]),"")</f>
        <v>2590249.696099937</v>
      </c>
      <c r="AB121" s="3">
        <f>+_xlfn.XLOOKUP(PRODUCTOS[[#This Row],[CODIGO]],DETALLE_GD_1[CODIGO],DETALLE_GD_1[VALOR PPTO],"",0)</f>
        <v>10156.5985</v>
      </c>
      <c r="AC121" s="3">
        <f>+AB121-PRODUCTOS[[#This Row],[PPTO_ACTUALIZADO]]</f>
        <v>3.2999998438754119E-5</v>
      </c>
    </row>
    <row r="122" spans="1:29" x14ac:dyDescent="0.25">
      <c r="A122">
        <v>410046</v>
      </c>
      <c r="B122" s="81" t="s">
        <v>361</v>
      </c>
      <c r="C122">
        <v>0</v>
      </c>
      <c r="D122" t="s">
        <v>355</v>
      </c>
      <c r="E122" t="s">
        <v>355</v>
      </c>
      <c r="F122" s="2">
        <v>746</v>
      </c>
      <c r="G122" s="6" t="s">
        <v>31</v>
      </c>
      <c r="H122" s="2">
        <v>0</v>
      </c>
      <c r="I122" t="b">
        <v>0</v>
      </c>
      <c r="J122" s="81" t="str">
        <f>+_xlfn.XLOOKUP(PRODUCTOS[[#This Row],[CODIGO]],P_CRITICOS[CODIGO],P_CRITICOS[DESC CORTA],"",0)</f>
        <v/>
      </c>
      <c r="K122" s="81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8.4</v>
      </c>
      <c r="M122" s="2">
        <f>+IFERROR(PRODUCTOS[[#This Row],[PPTO]]*PRODUCTOS[[#This Row],[CANT X MODULO]],"")</f>
        <v>6266.4000000000005</v>
      </c>
      <c r="N122" s="2">
        <f>+IFERROR(PRODUCTOS[[#This Row],[PPTO X MODULO]]*32,"")</f>
        <v>200524.80000000002</v>
      </c>
      <c r="O122" s="2">
        <f>+IFERROR(PRODUCTOS[[#This Row],[PPTO X TORRE]]*22,"")</f>
        <v>4411545.6000000006</v>
      </c>
      <c r="P122" s="3">
        <f>+IFERROR(PRODUCTOS[[#This Row],[CANT X MODULO]]*702,"")</f>
        <v>5896.8</v>
      </c>
      <c r="Q122" s="3">
        <f>+SUMIFS(DETALLE_GD_1[CANTIDAD SOLICITADA],DETALLE_GD_1[CODIGO],PRODUCTOS[[#This Row],[CODIGO]])</f>
        <v>1161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1161</v>
      </c>
      <c r="T122" s="3">
        <f>+IFERROR(PRODUCTOS[[#This Row],[CANTIDAD RECIBIDA]]/PRODUCTOS[[#This Row],[CANT X MODULO]],"")</f>
        <v>138.21428571428572</v>
      </c>
      <c r="U122" s="3">
        <f>+SUMIFS(DETALLE_GD_1[VALOR TOTAL POR ITEM GD],DETALLE_GD_1[CODIGO],PRODUCTOS[[#This Row],[CODIGO]])</f>
        <v>866106</v>
      </c>
      <c r="V122" s="3">
        <f>+IFERROR(PRODUCTOS[[#This Row],[PRECIO DE COMPRA]]/PRODUCTOS[[#This Row],[CANT. COMPRADA]],"")</f>
        <v>746</v>
      </c>
      <c r="W122" s="3">
        <f>+IFERROR(PRODUCTOS[[#This Row],[PRECIO COMPRA UNITARIO]]*PRODUCTOS[[#This Row],[PPTO FALTANTE]],"")</f>
        <v>3545439.6</v>
      </c>
      <c r="X122" s="7">
        <f>+IFERROR(PRODUCTOS[[#This Row],[PROYECCION COMPRA]]/PRODUCTOS[[#This Row],[PPTO TOTAL]]-1,"")</f>
        <v>-0.19632711038961048</v>
      </c>
      <c r="Y122" s="3">
        <f>+IFERROR((PRODUCTOS[[#This Row],[CANT X MODULO]]*704)-PRODUCTOS[[#This Row],[CANT. COMPRADA]],"")</f>
        <v>4752.6000000000004</v>
      </c>
      <c r="Z122" s="17">
        <f>+IFERROR(PRODUCTOS[[#This Row],[CANT. COMPRADA]]/PRODUCTOS[[#This Row],[PPTO FALTANTE]],"")</f>
        <v>0.24428733745739173</v>
      </c>
      <c r="AA122" s="3">
        <f>+IFERROR(PRODUCTOS[[#This Row],[PROYECCION COMPRA]]-(PRODUCTOS[[#This Row],[PPTO FALTANTE]]*PRODUCTOS[[#This Row],[PPTO]]),"")</f>
        <v>0</v>
      </c>
      <c r="AB122" s="3">
        <f>+_xlfn.XLOOKUP(PRODUCTOS[[#This Row],[CODIGO]],DETALLE_GD_1[CODIGO],DETALLE_GD_1[VALOR PPTO],"",0)</f>
        <v>746</v>
      </c>
      <c r="AC122" s="3">
        <f>+AB122-PRODUCTOS[[#This Row],[PPTO_ACTUALIZADO]]</f>
        <v>746</v>
      </c>
    </row>
    <row r="123" spans="1:29" x14ac:dyDescent="0.25">
      <c r="A123">
        <v>2302024</v>
      </c>
      <c r="B123" s="81" t="s">
        <v>234</v>
      </c>
      <c r="C123">
        <v>0</v>
      </c>
      <c r="D123" t="s">
        <v>244</v>
      </c>
      <c r="E123" t="s">
        <v>399</v>
      </c>
      <c r="F123" s="2">
        <v>21916.523936000001</v>
      </c>
      <c r="G123" s="6" t="s">
        <v>68</v>
      </c>
      <c r="H123" s="2">
        <v>22292</v>
      </c>
      <c r="I123" t="b">
        <v>0</v>
      </c>
      <c r="J123" s="81" t="str">
        <f>+_xlfn.XLOOKUP(PRODUCTOS[[#This Row],[CODIGO]],P_CRITICOS[CODIGO],P_CRITICOS[DESC CORTA],"",0)</f>
        <v/>
      </c>
      <c r="K123" s="81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0.13125000000000001</v>
      </c>
      <c r="M123" s="2">
        <f>+IFERROR(PRODUCTOS[[#This Row],[PPTO]]*PRODUCTOS[[#This Row],[CANT X MODULO]],"")</f>
        <v>2876.5437666000003</v>
      </c>
      <c r="N123" s="2">
        <f>+IFERROR(PRODUCTOS[[#This Row],[PPTO X MODULO]]*32,"")</f>
        <v>92049.400531200008</v>
      </c>
      <c r="O123" s="2">
        <f>+IFERROR(PRODUCTOS[[#This Row],[PPTO X TORRE]]*22,"")</f>
        <v>2025086.8116864001</v>
      </c>
      <c r="P123" s="3">
        <f>+IFERROR(PRODUCTOS[[#This Row],[CANT X MODULO]]*702,"")</f>
        <v>92.137500000000003</v>
      </c>
      <c r="Q123" s="3">
        <f>+SUMIFS(DETALLE_GD_1[CANTIDAD SOLICITADA],DETALLE_GD_1[CODIGO],PRODUCTOS[[#This Row],[CODIGO]])</f>
        <v>18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18</v>
      </c>
      <c r="T123" s="3">
        <f>+IFERROR(PRODUCTOS[[#This Row],[CANTIDAD RECIBIDA]]/PRODUCTOS[[#This Row],[CANT X MODULO]],"")</f>
        <v>137.14285714285714</v>
      </c>
      <c r="U123" s="3">
        <f>+SUMIFS(DETALLE_GD_1[VALOR TOTAL POR ITEM GD],DETALLE_GD_1[CODIGO],PRODUCTOS[[#This Row],[CODIGO]])</f>
        <v>392207</v>
      </c>
      <c r="V123" s="3">
        <f>+IFERROR(PRODUCTOS[[#This Row],[PRECIO DE COMPRA]]/PRODUCTOS[[#This Row],[CANT. COMPRADA]],"")</f>
        <v>21789.277777777777</v>
      </c>
      <c r="W123" s="3">
        <f>+IFERROR(PRODUCTOS[[#This Row],[PRECIO COMPRA UNITARIO]]*PRODUCTOS[[#This Row],[PPTO FALTANTE]],"")</f>
        <v>1621122.2666666668</v>
      </c>
      <c r="X123" s="7">
        <f>+IFERROR(PRODUCTOS[[#This Row],[PROYECCION COMPRA]]/PRODUCTOS[[#This Row],[PPTO TOTAL]]-1,"")</f>
        <v>-0.19948011250111786</v>
      </c>
      <c r="Y123" s="3">
        <f>+IFERROR((PRODUCTOS[[#This Row],[CANT X MODULO]]*704)-PRODUCTOS[[#This Row],[CANT. COMPRADA]],"")</f>
        <v>74.400000000000006</v>
      </c>
      <c r="Z123" s="17">
        <f>+IFERROR(PRODUCTOS[[#This Row],[CANT. COMPRADA]]/PRODUCTOS[[#This Row],[PPTO FALTANTE]],"")</f>
        <v>0.24193548387096772</v>
      </c>
      <c r="AA123" s="3">
        <f>+IFERROR(PRODUCTOS[[#This Row],[PROYECCION COMPRA]]-(PRODUCTOS[[#This Row],[PPTO FALTANTE]]*PRODUCTOS[[#This Row],[PPTO]]),"")</f>
        <v>-9467.1141717333812</v>
      </c>
      <c r="AB123" s="3">
        <f>+_xlfn.XLOOKUP(PRODUCTOS[[#This Row],[CODIGO]],DETALLE_GD_1[CODIGO],DETALLE_GD_1[VALOR PPTO],"",0)</f>
        <v>22292</v>
      </c>
      <c r="AC123" s="3">
        <f>+AB123-PRODUCTOS[[#This Row],[PPTO_ACTUALIZADO]]</f>
        <v>0</v>
      </c>
    </row>
    <row r="124" spans="1:29" x14ac:dyDescent="0.25">
      <c r="A124">
        <v>1802659</v>
      </c>
      <c r="B124" s="81" t="s">
        <v>161</v>
      </c>
      <c r="C124">
        <v>0</v>
      </c>
      <c r="D124" t="s">
        <v>355</v>
      </c>
      <c r="E124" t="s">
        <v>355</v>
      </c>
      <c r="F124" s="2">
        <v>2929.463158</v>
      </c>
      <c r="G124" s="6" t="s">
        <v>355</v>
      </c>
      <c r="H124" s="2">
        <v>0</v>
      </c>
      <c r="I124" t="b">
        <v>0</v>
      </c>
      <c r="J124" s="81" t="str">
        <f>+_xlfn.XLOOKUP(PRODUCTOS[[#This Row],[CODIGO]],P_CRITICOS[CODIGO],P_CRITICOS[DESC CORTA],"",0)</f>
        <v/>
      </c>
      <c r="K124" s="81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0.52500000000000002</v>
      </c>
      <c r="M124" s="2">
        <f>+IFERROR(PRODUCTOS[[#This Row],[PPTO]]*PRODUCTOS[[#This Row],[CANT X MODULO]],"")</f>
        <v>1537.96815795</v>
      </c>
      <c r="N124" s="2">
        <f>+IFERROR(PRODUCTOS[[#This Row],[PPTO X MODULO]]*32,"")</f>
        <v>49214.981054399999</v>
      </c>
      <c r="O124" s="2">
        <f>+IFERROR(PRODUCTOS[[#This Row],[PPTO X TORRE]]*22,"")</f>
        <v>1082729.5831968</v>
      </c>
      <c r="P124" s="3">
        <f>+IFERROR(PRODUCTOS[[#This Row],[CANT X MODULO]]*702,"")</f>
        <v>368.55</v>
      </c>
      <c r="Q124" s="3">
        <f>+SUMIFS(DETALLE_GD_1[CANTIDAD SOLICITADA],DETALLE_GD_1[CODIGO],PRODUCTOS[[#This Row],[CODIGO]])</f>
        <v>71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71</v>
      </c>
      <c r="T124" s="3">
        <f>+IFERROR(PRODUCTOS[[#This Row],[CANTIDAD RECIBIDA]]/PRODUCTOS[[#This Row],[CANT X MODULO]],"")</f>
        <v>135.23809523809524</v>
      </c>
      <c r="U124" s="3">
        <f>+SUMIFS(DETALLE_GD_1[VALOR TOTAL POR ITEM GD],DETALLE_GD_1[CODIGO],PRODUCTOS[[#This Row],[CODIGO]])</f>
        <v>174195</v>
      </c>
      <c r="V124" s="3">
        <f>+IFERROR(PRODUCTOS[[#This Row],[PRECIO DE COMPRA]]/PRODUCTOS[[#This Row],[CANT. COMPRADA]],"")</f>
        <v>2453.4507042253522</v>
      </c>
      <c r="W124" s="3">
        <f>+IFERROR(PRODUCTOS[[#This Row],[PRECIO COMPRA UNITARIO]]*PRODUCTOS[[#This Row],[PPTO FALTANTE]],"")</f>
        <v>732600.38028169028</v>
      </c>
      <c r="X124" s="7">
        <f>+IFERROR(PRODUCTOS[[#This Row],[PROYECCION COMPRA]]/PRODUCTOS[[#This Row],[PPTO TOTAL]]-1,"")</f>
        <v>-0.3233764075064246</v>
      </c>
      <c r="Y124" s="3">
        <f>+IFERROR((PRODUCTOS[[#This Row],[CANT X MODULO]]*704)-PRODUCTOS[[#This Row],[CANT. COMPRADA]],"")</f>
        <v>298.60000000000002</v>
      </c>
      <c r="Z124" s="17">
        <f>+IFERROR(PRODUCTOS[[#This Row],[CANT. COMPRADA]]/PRODUCTOS[[#This Row],[PPTO FALTANTE]],"")</f>
        <v>0.2377762893503014</v>
      </c>
      <c r="AA124" s="3">
        <f>+IFERROR(PRODUCTOS[[#This Row],[PROYECCION COMPRA]]-(PRODUCTOS[[#This Row],[PPTO FALTANTE]]*PRODUCTOS[[#This Row],[PPTO]]),"")</f>
        <v>-142137.31869710982</v>
      </c>
      <c r="AB124" s="3">
        <f>+_xlfn.XLOOKUP(PRODUCTOS[[#This Row],[CODIGO]],DETALLE_GD_1[CODIGO],DETALLE_GD_1[VALOR PPTO],"",0)</f>
        <v>2929.4632000000001</v>
      </c>
      <c r="AC124" s="3">
        <f>+AB124-PRODUCTOS[[#This Row],[PPTO_ACTUALIZADO]]</f>
        <v>2929.4632000000001</v>
      </c>
    </row>
    <row r="125" spans="1:29" x14ac:dyDescent="0.25">
      <c r="A125">
        <v>701043</v>
      </c>
      <c r="B125" s="81" t="s">
        <v>197</v>
      </c>
      <c r="C125" t="s">
        <v>547</v>
      </c>
      <c r="D125" t="s">
        <v>240</v>
      </c>
      <c r="E125" t="s">
        <v>402</v>
      </c>
      <c r="F125" s="2">
        <v>22146.362772</v>
      </c>
      <c r="G125" s="6" t="s">
        <v>18</v>
      </c>
      <c r="H125" s="2">
        <v>22146.362772</v>
      </c>
      <c r="I125" t="b">
        <v>1</v>
      </c>
      <c r="J125" s="81" t="str">
        <f>+_xlfn.XLOOKUP(PRODUCTOS[[#This Row],[CODIGO]],P_CRITICOS[CODIGO],P_CRITICOS[DESC CORTA],"",0)</f>
        <v>VOLCANITA EMPAPELADA CIELO</v>
      </c>
      <c r="K125" s="81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7.0875000000000012</v>
      </c>
      <c r="M125" s="2">
        <f>+IFERROR(PRODUCTOS[[#This Row],[PPTO]]*PRODUCTOS[[#This Row],[CANT X MODULO]],"")</f>
        <v>156962.34614655003</v>
      </c>
      <c r="N125" s="2">
        <f>+IFERROR(PRODUCTOS[[#This Row],[PPTO X MODULO]]*32,"")</f>
        <v>5022795.0766896009</v>
      </c>
      <c r="O125" s="2">
        <f>+IFERROR(PRODUCTOS[[#This Row],[PPTO X TORRE]]*22,"")</f>
        <v>110501491.68717122</v>
      </c>
      <c r="P125" s="3">
        <f>+IFERROR(PRODUCTOS[[#This Row],[CANT X MODULO]]*702,"")</f>
        <v>4975.4250000000011</v>
      </c>
      <c r="Q125" s="3">
        <f>+SUMIFS(DETALLE_GD_1[CANTIDAD SOLICITADA],DETALLE_GD_1[CODIGO],PRODUCTOS[[#This Row],[CODIGO]])</f>
        <v>956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956</v>
      </c>
      <c r="T125" s="3">
        <f>+IFERROR(PRODUCTOS[[#This Row],[CANTIDAD RECIBIDA]]/PRODUCTOS[[#This Row],[CANT X MODULO]],"")</f>
        <v>134.8853615520282</v>
      </c>
      <c r="U125" s="3">
        <f>+SUMIFS(DETALLE_GD_1[VALOR TOTAL POR ITEM GD],DETALLE_GD_1[CODIGO],PRODUCTOS[[#This Row],[CODIGO]])</f>
        <v>21504261</v>
      </c>
      <c r="V125" s="3">
        <f>+IFERROR(PRODUCTOS[[#This Row],[PRECIO DE COMPRA]]/PRODUCTOS[[#This Row],[CANT. COMPRADA]],"")</f>
        <v>22493.996861924687</v>
      </c>
      <c r="W125" s="3">
        <f>+IFERROR(PRODUCTOS[[#This Row],[PRECIO COMPRA UNITARIO]]*PRODUCTOS[[#This Row],[PPTO FALTANTE]],"")</f>
        <v>90731785.742259443</v>
      </c>
      <c r="X125" s="7">
        <f>+IFERROR(PRODUCTOS[[#This Row],[PROYECCION COMPRA]]/PRODUCTOS[[#This Row],[PPTO TOTAL]]-1,"")</f>
        <v>-0.17890895084818992</v>
      </c>
      <c r="Y125" s="3">
        <f>+IFERROR((PRODUCTOS[[#This Row],[CANT X MODULO]]*704)-PRODUCTOS[[#This Row],[CANT. COMPRADA]],"")</f>
        <v>4033.6000000000013</v>
      </c>
      <c r="Z125" s="17">
        <f>+IFERROR(PRODUCTOS[[#This Row],[CANT. COMPRADA]]/PRODUCTOS[[#This Row],[PPTO FALTANTE]],"")</f>
        <v>0.23700912336374447</v>
      </c>
      <c r="AA125" s="3">
        <f>+IFERROR(PRODUCTOS[[#This Row],[PROYECCION COMPRA]]-(PRODUCTOS[[#This Row],[PPTO FALTANTE]]*PRODUCTOS[[#This Row],[PPTO]]),"")</f>
        <v>1402216.8651202172</v>
      </c>
      <c r="AB125" s="3">
        <f>+_xlfn.XLOOKUP(PRODUCTOS[[#This Row],[CODIGO]],DETALLE_GD_1[CODIGO],DETALLE_GD_1[VALOR PPTO],"",0)</f>
        <v>22146.362799999999</v>
      </c>
      <c r="AC125" s="3">
        <f>+AB125-PRODUCTOS[[#This Row],[PPTO_ACTUALIZADO]]</f>
        <v>2.7999998565064743E-5</v>
      </c>
    </row>
    <row r="126" spans="1:29" x14ac:dyDescent="0.25">
      <c r="A126">
        <v>5316484</v>
      </c>
      <c r="B126" s="81" t="s">
        <v>96</v>
      </c>
      <c r="C126" t="s">
        <v>601</v>
      </c>
      <c r="D126" t="s">
        <v>258</v>
      </c>
      <c r="E126" t="s">
        <v>405</v>
      </c>
      <c r="F126" s="2">
        <v>4372.7272730000004</v>
      </c>
      <c r="G126" s="6" t="s">
        <v>31</v>
      </c>
      <c r="H126" s="2">
        <v>4372.7272730000004</v>
      </c>
      <c r="I126" t="b">
        <v>1</v>
      </c>
      <c r="J126" s="81" t="str">
        <f>+_xlfn.XLOOKUP(PRODUCTOS[[#This Row],[CODIGO]],P_CRITICOS[CODIGO],P_CRITICOS[DESC CORTA],"",0)</f>
        <v/>
      </c>
      <c r="K126" s="81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0.52500000000000002</v>
      </c>
      <c r="M126" s="2">
        <f>+IFERROR(PRODUCTOS[[#This Row],[PPTO]]*PRODUCTOS[[#This Row],[CANT X MODULO]],"")</f>
        <v>2295.6818183250002</v>
      </c>
      <c r="N126" s="2">
        <f>+IFERROR(PRODUCTOS[[#This Row],[PPTO X MODULO]]*32,"")</f>
        <v>73461.818186400007</v>
      </c>
      <c r="O126" s="2">
        <f>+IFERROR(PRODUCTOS[[#This Row],[PPTO X TORRE]]*22,"")</f>
        <v>1616160.0001008001</v>
      </c>
      <c r="P126" s="3">
        <f>+IFERROR(PRODUCTOS[[#This Row],[CANT X MODULO]]*702,"")</f>
        <v>368.55</v>
      </c>
      <c r="Q126" s="3">
        <f>+SUMIFS(DETALLE_GD_1[CANTIDAD SOLICITADA],DETALLE_GD_1[CODIGO],PRODUCTOS[[#This Row],[CODIGO]])</f>
        <v>70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70</v>
      </c>
      <c r="T126" s="3">
        <f>+IFERROR(PRODUCTOS[[#This Row],[CANTIDAD RECIBIDA]]/PRODUCTOS[[#This Row],[CANT X MODULO]],"")</f>
        <v>133.33333333333331</v>
      </c>
      <c r="U126" s="3">
        <f>+SUMIFS(DETALLE_GD_1[VALOR TOTAL POR ITEM GD],DETALLE_GD_1[CODIGO],PRODUCTOS[[#This Row],[CODIGO]])</f>
        <v>303105</v>
      </c>
      <c r="V126" s="3">
        <f>+IFERROR(PRODUCTOS[[#This Row],[PRECIO DE COMPRA]]/PRODUCTOS[[#This Row],[CANT. COMPRADA]],"")</f>
        <v>4330.0714285714284</v>
      </c>
      <c r="W126" s="3">
        <f>+IFERROR(PRODUCTOS[[#This Row],[PRECIO COMPRA UNITARIO]]*PRODUCTOS[[#This Row],[PPTO FALTANTE]],"")</f>
        <v>1297289.4000000001</v>
      </c>
      <c r="X126" s="7">
        <f>+IFERROR(PRODUCTOS[[#This Row],[PROYECCION COMPRA]]/PRODUCTOS[[#This Row],[PPTO TOTAL]]-1,"")</f>
        <v>-0.19730138110144535</v>
      </c>
      <c r="Y126" s="3">
        <f>+IFERROR((PRODUCTOS[[#This Row],[CANT X MODULO]]*704)-PRODUCTOS[[#This Row],[CANT. COMPRADA]],"")</f>
        <v>299.60000000000002</v>
      </c>
      <c r="Z126" s="17">
        <f>+IFERROR(PRODUCTOS[[#This Row],[CANT. COMPRADA]]/PRODUCTOS[[#This Row],[PPTO FALTANTE]],"")</f>
        <v>0.23364485981308408</v>
      </c>
      <c r="AA126" s="3">
        <f>+IFERROR(PRODUCTOS[[#This Row],[PROYECCION COMPRA]]-(PRODUCTOS[[#This Row],[PPTO FALTANTE]]*PRODUCTOS[[#This Row],[PPTO]]),"")</f>
        <v>-12779.690990800038</v>
      </c>
      <c r="AB126" s="3">
        <f>+_xlfn.XLOOKUP(PRODUCTOS[[#This Row],[CODIGO]],DETALLE_GD_1[CODIGO],DETALLE_GD_1[VALOR PPTO],"",0)</f>
        <v>4372.7272999999996</v>
      </c>
      <c r="AC126" s="3">
        <f>+AB126-PRODUCTOS[[#This Row],[PPTO_ACTUALIZADO]]</f>
        <v>2.6999999136023689E-5</v>
      </c>
    </row>
    <row r="127" spans="1:29" x14ac:dyDescent="0.25">
      <c r="A127">
        <v>1405006</v>
      </c>
      <c r="B127" s="81" t="s">
        <v>199</v>
      </c>
      <c r="C127">
        <v>0</v>
      </c>
      <c r="D127" t="s">
        <v>244</v>
      </c>
      <c r="E127" t="s">
        <v>409</v>
      </c>
      <c r="F127" s="2">
        <v>35.19746</v>
      </c>
      <c r="G127" s="6" t="s">
        <v>31</v>
      </c>
      <c r="H127" s="2">
        <v>35.197460000000007</v>
      </c>
      <c r="I127" t="b">
        <v>1</v>
      </c>
      <c r="J127" s="81" t="str">
        <f>+_xlfn.XLOOKUP(PRODUCTOS[[#This Row],[CODIGO]],P_CRITICOS[CODIGO],P_CRITICOS[DESC CORTA],"",0)</f>
        <v/>
      </c>
      <c r="K127" s="81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30.450000000000003</v>
      </c>
      <c r="M127" s="2">
        <f>+IFERROR(PRODUCTOS[[#This Row],[PPTO]]*PRODUCTOS[[#This Row],[CANT X MODULO]],"")</f>
        <v>1071.762657</v>
      </c>
      <c r="N127" s="2">
        <f>+IFERROR(PRODUCTOS[[#This Row],[PPTO X MODULO]]*32,"")</f>
        <v>34296.405024</v>
      </c>
      <c r="O127" s="2">
        <f>+IFERROR(PRODUCTOS[[#This Row],[PPTO X TORRE]]*22,"")</f>
        <v>754520.91052799998</v>
      </c>
      <c r="P127" s="3">
        <f>+IFERROR(PRODUCTOS[[#This Row],[CANT X MODULO]]*702,"")</f>
        <v>21375.9</v>
      </c>
      <c r="Q127" s="3">
        <f>+SUMIFS(DETALLE_GD_1[CANTIDAD SOLICITADA],DETALLE_GD_1[CODIGO],PRODUCTOS[[#This Row],[CODIGO]])</f>
        <v>4050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4050</v>
      </c>
      <c r="T127" s="3">
        <f>+IFERROR(PRODUCTOS[[#This Row],[CANTIDAD RECIBIDA]]/PRODUCTOS[[#This Row],[CANT X MODULO]],"")</f>
        <v>133.00492610837438</v>
      </c>
      <c r="U127" s="3">
        <f>+SUMIFS(DETALLE_GD_1[VALOR TOTAL POR ITEM GD],DETALLE_GD_1[CODIGO],PRODUCTOS[[#This Row],[CODIGO]])</f>
        <v>142766</v>
      </c>
      <c r="V127" s="3">
        <f>+IFERROR(PRODUCTOS[[#This Row],[PRECIO DE COMPRA]]/PRODUCTOS[[#This Row],[CANT. COMPRADA]],"")</f>
        <v>35.250864197530866</v>
      </c>
      <c r="W127" s="3">
        <f>+IFERROR(PRODUCTOS[[#This Row],[PRECIO COMPRA UNITARIO]]*PRODUCTOS[[#This Row],[PPTO FALTANTE]],"")</f>
        <v>612899.7256296298</v>
      </c>
      <c r="X127" s="7">
        <f>+IFERROR(PRODUCTOS[[#This Row],[PROYECCION COMPRA]]/PRODUCTOS[[#This Row],[PPTO TOTAL]]-1,"")</f>
        <v>-0.18769683241683288</v>
      </c>
      <c r="Y127" s="3">
        <f>+IFERROR((PRODUCTOS[[#This Row],[CANT X MODULO]]*704)-PRODUCTOS[[#This Row],[CANT. COMPRADA]],"")</f>
        <v>17386.800000000003</v>
      </c>
      <c r="Z127" s="17">
        <f>+IFERROR(PRODUCTOS[[#This Row],[CANT. COMPRADA]]/PRODUCTOS[[#This Row],[PPTO FALTANTE]],"")</f>
        <v>0.23293533025053484</v>
      </c>
      <c r="AA127" s="3">
        <f>+IFERROR(PRODUCTOS[[#This Row],[PROYECCION COMPRA]]-(PRODUCTOS[[#This Row],[PPTO FALTANTE]]*PRODUCTOS[[#This Row],[PPTO]]),"")</f>
        <v>928.52810162969399</v>
      </c>
      <c r="AB127" s="3">
        <f>+_xlfn.XLOOKUP(PRODUCTOS[[#This Row],[CODIGO]],DETALLE_GD_1[CODIGO],DETALLE_GD_1[VALOR PPTO],"",0)</f>
        <v>35.197499999999998</v>
      </c>
      <c r="AC127" s="3">
        <f>+AB127-PRODUCTOS[[#This Row],[PPTO_ACTUALIZADO]]</f>
        <v>3.9999999991380264E-5</v>
      </c>
    </row>
    <row r="128" spans="1:29" x14ac:dyDescent="0.25">
      <c r="A128">
        <v>5316483</v>
      </c>
      <c r="B128" s="81" t="s">
        <v>97</v>
      </c>
      <c r="C128" t="s">
        <v>602</v>
      </c>
      <c r="D128" t="s">
        <v>258</v>
      </c>
      <c r="E128" t="s">
        <v>405</v>
      </c>
      <c r="F128" s="2">
        <v>3237.6071430000002</v>
      </c>
      <c r="G128" s="6" t="s">
        <v>31</v>
      </c>
      <c r="H128" s="2">
        <v>3237.6071430000002</v>
      </c>
      <c r="I128" t="b">
        <v>1</v>
      </c>
      <c r="J128" s="81" t="str">
        <f>+_xlfn.XLOOKUP(PRODUCTOS[[#This Row],[CODIGO]],P_CRITICOS[CODIGO],P_CRITICOS[DESC CORTA],"",0)</f>
        <v/>
      </c>
      <c r="K128" s="81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1699.7437500750002</v>
      </c>
      <c r="N128" s="2">
        <f>+IFERROR(PRODUCTOS[[#This Row],[PPTO X MODULO]]*32,"")</f>
        <v>54391.800002400007</v>
      </c>
      <c r="O128" s="2">
        <f>+IFERROR(PRODUCTOS[[#This Row],[PPTO X TORRE]]*22,"")</f>
        <v>1196619.6000528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69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69</v>
      </c>
      <c r="T128" s="3">
        <f>+IFERROR(PRODUCTOS[[#This Row],[CANTIDAD RECIBIDA]]/PRODUCTOS[[#This Row],[CANT X MODULO]],"")</f>
        <v>131.42857142857142</v>
      </c>
      <c r="U128" s="3">
        <f>+SUMIFS(DETALLE_GD_1[VALOR TOTAL POR ITEM GD],DETALLE_GD_1[CODIGO],PRODUCTOS[[#This Row],[CODIGO]])</f>
        <v>210070</v>
      </c>
      <c r="V128" s="3">
        <f>+IFERROR(PRODUCTOS[[#This Row],[PRECIO DE COMPRA]]/PRODUCTOS[[#This Row],[CANT. COMPRADA]],"")</f>
        <v>3044.4927536231885</v>
      </c>
      <c r="W128" s="3">
        <f>+IFERROR(PRODUCTOS[[#This Row],[PRECIO COMPRA UNITARIO]]*PRODUCTOS[[#This Row],[PPTO FALTANTE]],"")</f>
        <v>915174.52173913049</v>
      </c>
      <c r="X128" s="7">
        <f>+IFERROR(PRODUCTOS[[#This Row],[PROYECCION COMPRA]]/PRODUCTOS[[#This Row],[PPTO TOTAL]]-1,"")</f>
        <v>-0.23520012400035151</v>
      </c>
      <c r="Y128" s="3">
        <f>+IFERROR((PRODUCTOS[[#This Row],[CANT X MODULO]]*704)-PRODUCTOS[[#This Row],[CANT. COMPRADA]],"")</f>
        <v>300.60000000000002</v>
      </c>
      <c r="Z128" s="17">
        <f>+IFERROR(PRODUCTOS[[#This Row],[CANT. COMPRADA]]/PRODUCTOS[[#This Row],[PPTO FALTANTE]],"")</f>
        <v>0.22954091816367264</v>
      </c>
      <c r="AA128" s="3">
        <f>+IFERROR(PRODUCTOS[[#This Row],[PROYECCION COMPRA]]-(PRODUCTOS[[#This Row],[PPTO FALTANTE]]*PRODUCTOS[[#This Row],[PPTO]]),"")</f>
        <v>-58050.18544666958</v>
      </c>
      <c r="AB128" s="3">
        <f>+_xlfn.XLOOKUP(PRODUCTOS[[#This Row],[CODIGO]],DETALLE_GD_1[CODIGO],DETALLE_GD_1[VALOR PPTO],"",0)</f>
        <v>3237.6071000000002</v>
      </c>
      <c r="AC128" s="3">
        <f>+AB128-PRODUCTOS[[#This Row],[PPTO_ACTUALIZADO]]</f>
        <v>-4.3000000005122274E-5</v>
      </c>
    </row>
    <row r="129" spans="1:29" x14ac:dyDescent="0.25">
      <c r="A129">
        <v>408071</v>
      </c>
      <c r="B129" s="81" t="s">
        <v>111</v>
      </c>
      <c r="C129" t="s">
        <v>615</v>
      </c>
      <c r="D129" t="s">
        <v>240</v>
      </c>
      <c r="E129" t="s">
        <v>399</v>
      </c>
      <c r="F129" s="2">
        <v>23200.297871999999</v>
      </c>
      <c r="G129" s="6" t="s">
        <v>36</v>
      </c>
      <c r="H129" s="2">
        <v>23200.297871999981</v>
      </c>
      <c r="I129" t="b">
        <v>1</v>
      </c>
      <c r="J129" s="81" t="str">
        <f>+_xlfn.XLOOKUP(PRODUCTOS[[#This Row],[CODIGO]],P_CRITICOS[CODIGO],P_CRITICOS[DESC CORTA],"",0)</f>
        <v/>
      </c>
      <c r="K129" s="81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0.20317500000000016</v>
      </c>
      <c r="M129" s="2">
        <f>+IFERROR(PRODUCTOS[[#This Row],[PPTO]]*PRODUCTOS[[#This Row],[CANT X MODULO]],"")</f>
        <v>4713.7205201436036</v>
      </c>
      <c r="N129" s="2">
        <f>+IFERROR(PRODUCTOS[[#This Row],[PPTO X MODULO]]*32,"")</f>
        <v>150839.05664459532</v>
      </c>
      <c r="O129" s="2">
        <f>+IFERROR(PRODUCTOS[[#This Row],[PPTO X TORRE]]*22,"")</f>
        <v>3318459.2461810969</v>
      </c>
      <c r="P129" s="3">
        <f>+IFERROR(PRODUCTOS[[#This Row],[CANT X MODULO]]*702,"")</f>
        <v>142.62885000000011</v>
      </c>
      <c r="Q129" s="3">
        <f>+SUMIFS(DETALLE_GD_1[CANTIDAD SOLICITADA],DETALLE_GD_1[CODIGO],PRODUCTOS[[#This Row],[CODIGO]])</f>
        <v>26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26</v>
      </c>
      <c r="T129" s="3">
        <f>+IFERROR(PRODUCTOS[[#This Row],[CANTIDAD RECIBIDA]]/PRODUCTOS[[#This Row],[CANT X MODULO]],"")</f>
        <v>127.96850006152322</v>
      </c>
      <c r="U129" s="3">
        <f>+SUMIFS(DETALLE_GD_1[VALOR TOTAL POR ITEM GD],DETALLE_GD_1[CODIGO],PRODUCTOS[[#This Row],[CODIGO]])</f>
        <v>603223</v>
      </c>
      <c r="V129" s="3">
        <f>+IFERROR(PRODUCTOS[[#This Row],[PRECIO DE COMPRA]]/PRODUCTOS[[#This Row],[CANT. COMPRADA]],"")</f>
        <v>23200.884615384617</v>
      </c>
      <c r="W129" s="3">
        <f>+IFERROR(PRODUCTOS[[#This Row],[PRECIO COMPRA UNITARIO]]*PRODUCTOS[[#This Row],[PPTO FALTANTE]],"")</f>
        <v>2715320.1711384645</v>
      </c>
      <c r="X129" s="7">
        <f>+IFERROR(PRODUCTOS[[#This Row],[PROYECCION COMPRA]]/PRODUCTOS[[#This Row],[PPTO TOTAL]]-1,"")</f>
        <v>-0.18175274436072364</v>
      </c>
      <c r="Y129" s="3">
        <f>+IFERROR((PRODUCTOS[[#This Row],[CANT X MODULO]]*704)-PRODUCTOS[[#This Row],[CANT. COMPRADA]],"")</f>
        <v>117.03520000000012</v>
      </c>
      <c r="Z129" s="17">
        <f>+IFERROR(PRODUCTOS[[#This Row],[CANT. COMPRADA]]/PRODUCTOS[[#This Row],[PPTO FALTANTE]],"")</f>
        <v>0.2221553857301049</v>
      </c>
      <c r="AA129" s="3">
        <f>+IFERROR(PRODUCTOS[[#This Row],[PROYECCION COMPRA]]-(PRODUCTOS[[#This Row],[PPTO FALTANTE]]*PRODUCTOS[[#This Row],[PPTO]]),"")</f>
        <v>68.669629367534071</v>
      </c>
      <c r="AB129" s="3">
        <f>+_xlfn.XLOOKUP(PRODUCTOS[[#This Row],[CODIGO]],DETALLE_GD_1[CODIGO],DETALLE_GD_1[VALOR PPTO],"",0)</f>
        <v>23200.297900000001</v>
      </c>
      <c r="AC129" s="3">
        <f>+AB129-PRODUCTOS[[#This Row],[PPTO_ACTUALIZADO]]</f>
        <v>2.8000020392937586E-5</v>
      </c>
    </row>
    <row r="130" spans="1:29" x14ac:dyDescent="0.25">
      <c r="A130">
        <v>408088</v>
      </c>
      <c r="B130" s="81" t="s">
        <v>109</v>
      </c>
      <c r="C130" t="s">
        <v>613</v>
      </c>
      <c r="D130" t="s">
        <v>240</v>
      </c>
      <c r="E130" t="s">
        <v>399</v>
      </c>
      <c r="F130" s="2">
        <v>17500.092714999999</v>
      </c>
      <c r="G130" s="6" t="s">
        <v>36</v>
      </c>
      <c r="H130" s="2">
        <v>17500.092714999999</v>
      </c>
      <c r="I130" t="b">
        <v>1</v>
      </c>
      <c r="J130" s="81" t="str">
        <f>+_xlfn.XLOOKUP(PRODUCTOS[[#This Row],[CODIGO]],P_CRITICOS[CODIGO],P_CRITICOS[DESC CORTA],"",0)</f>
        <v/>
      </c>
      <c r="K130" s="81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0.126</v>
      </c>
      <c r="M130" s="2">
        <f>+IFERROR(PRODUCTOS[[#This Row],[PPTO]]*PRODUCTOS[[#This Row],[CANT X MODULO]],"")</f>
        <v>2205.0116820899998</v>
      </c>
      <c r="N130" s="2">
        <f>+IFERROR(PRODUCTOS[[#This Row],[PPTO X MODULO]]*32,"")</f>
        <v>70560.373826879993</v>
      </c>
      <c r="O130" s="2">
        <f>+IFERROR(PRODUCTOS[[#This Row],[PPTO X TORRE]]*22,"")</f>
        <v>1552328.2241913599</v>
      </c>
      <c r="P130" s="3">
        <f>+IFERROR(PRODUCTOS[[#This Row],[CANT X MODULO]]*702,"")</f>
        <v>88.451999999999998</v>
      </c>
      <c r="Q130" s="3">
        <f>+SUMIFS(DETALLE_GD_1[CANTIDAD SOLICITADA],DETALLE_GD_1[CODIGO],PRODUCTOS[[#This Row],[CODIGO]])</f>
        <v>16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16</v>
      </c>
      <c r="T130" s="3">
        <f>+IFERROR(PRODUCTOS[[#This Row],[CANTIDAD RECIBIDA]]/PRODUCTOS[[#This Row],[CANT X MODULO]],"")</f>
        <v>126.98412698412699</v>
      </c>
      <c r="U130" s="3">
        <f>+SUMIFS(DETALLE_GD_1[VALOR TOTAL POR ITEM GD],DETALLE_GD_1[CODIGO],PRODUCTOS[[#This Row],[CODIGO]])</f>
        <v>280000</v>
      </c>
      <c r="V130" s="3">
        <f>+IFERROR(PRODUCTOS[[#This Row],[PRECIO DE COMPRA]]/PRODUCTOS[[#This Row],[CANT. COMPRADA]],"")</f>
        <v>17500</v>
      </c>
      <c r="W130" s="3">
        <f>+IFERROR(PRODUCTOS[[#This Row],[PRECIO COMPRA UNITARIO]]*PRODUCTOS[[#This Row],[PPTO FALTANTE]],"")</f>
        <v>1272320.0000000002</v>
      </c>
      <c r="X130" s="7">
        <f>+IFERROR(PRODUCTOS[[#This Row],[PROYECCION COMPRA]]/PRODUCTOS[[#This Row],[PPTO TOTAL]]-1,"")</f>
        <v>-0.18037952272446878</v>
      </c>
      <c r="Y130" s="3">
        <f>+IFERROR((PRODUCTOS[[#This Row],[CANT X MODULO]]*704)-PRODUCTOS[[#This Row],[CANT. COMPRADA]],"")</f>
        <v>72.704000000000008</v>
      </c>
      <c r="Z130" s="17">
        <f>+IFERROR(PRODUCTOS[[#This Row],[CANT. COMPRADA]]/PRODUCTOS[[#This Row],[PPTO FALTANTE]],"")</f>
        <v>0.22007042253521125</v>
      </c>
      <c r="AA130" s="3">
        <f>+IFERROR(PRODUCTOS[[#This Row],[PROYECCION COMPRA]]-(PRODUCTOS[[#This Row],[PPTO FALTANTE]]*PRODUCTOS[[#This Row],[PPTO]]),"")</f>
        <v>-6.7407513598445803</v>
      </c>
      <c r="AB130" s="3">
        <f>+_xlfn.XLOOKUP(PRODUCTOS[[#This Row],[CODIGO]],DETALLE_GD_1[CODIGO],DETALLE_GD_1[VALOR PPTO],"",0)</f>
        <v>17500.092700000001</v>
      </c>
      <c r="AC130" s="3">
        <f>+AB130-PRODUCTOS[[#This Row],[PPTO_ACTUALIZADO]]</f>
        <v>-1.4999997802078724E-5</v>
      </c>
    </row>
    <row r="131" spans="1:29" x14ac:dyDescent="0.25">
      <c r="A131">
        <v>704025</v>
      </c>
      <c r="B131" s="81" t="s">
        <v>333</v>
      </c>
      <c r="C131" t="s">
        <v>673</v>
      </c>
      <c r="D131" t="s">
        <v>240</v>
      </c>
      <c r="E131" t="s">
        <v>402</v>
      </c>
      <c r="F131" s="2">
        <v>580</v>
      </c>
      <c r="G131" s="6" t="s">
        <v>31</v>
      </c>
      <c r="H131" s="2">
        <v>580</v>
      </c>
      <c r="I131" t="b">
        <v>1</v>
      </c>
      <c r="J131" s="81" t="str">
        <f>+_xlfn.XLOOKUP(PRODUCTOS[[#This Row],[CODIGO]],P_CRITICOS[CODIGO],P_CRITICOS[DESC CORTA],"",0)</f>
        <v/>
      </c>
      <c r="K131" s="8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4.2</v>
      </c>
      <c r="M131" s="2">
        <f>+IFERROR(PRODUCTOS[[#This Row],[PPTO]]*PRODUCTOS[[#This Row],[CANT X MODULO]],"")</f>
        <v>2436</v>
      </c>
      <c r="N131" s="2">
        <f>+IFERROR(PRODUCTOS[[#This Row],[PPTO X MODULO]]*32,"")</f>
        <v>77952</v>
      </c>
      <c r="O131" s="2">
        <f>+IFERROR(PRODUCTOS[[#This Row],[PPTO X TORRE]]*22,"")</f>
        <v>1714944</v>
      </c>
      <c r="P131" s="3">
        <f>+IFERROR(PRODUCTOS[[#This Row],[CANT X MODULO]]*702,"")</f>
        <v>2948.4</v>
      </c>
      <c r="Q131" s="3">
        <f>+SUMIFS(DETALLE_GD_1[CANTIDAD SOLICITADA],DETALLE_GD_1[CODIGO],PRODUCTOS[[#This Row],[CODIGO]])</f>
        <v>532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532</v>
      </c>
      <c r="T131" s="3">
        <f>+IFERROR(PRODUCTOS[[#This Row],[CANTIDAD RECIBIDA]]/PRODUCTOS[[#This Row],[CANT X MODULO]],"")</f>
        <v>126.66666666666666</v>
      </c>
      <c r="U131" s="3">
        <f>+SUMIFS(DETALLE_GD_1[VALOR TOTAL POR ITEM GD],DETALLE_GD_1[CODIGO],PRODUCTOS[[#This Row],[CODIGO]])</f>
        <v>308507</v>
      </c>
      <c r="V131" s="3">
        <f>+IFERROR(PRODUCTOS[[#This Row],[PRECIO DE COMPRA]]/PRODUCTOS[[#This Row],[CANT. COMPRADA]],"")</f>
        <v>579.9003759398496</v>
      </c>
      <c r="W131" s="3">
        <f>+IFERROR(PRODUCTOS[[#This Row],[PRECIO COMPRA UNITARIO]]*PRODUCTOS[[#This Row],[PPTO FALTANTE]],"")</f>
        <v>1406142.4315789475</v>
      </c>
      <c r="X131" s="7">
        <f>+IFERROR(PRODUCTOS[[#This Row],[PROYECCION COMPRA]]/PRODUCTOS[[#This Row],[PPTO TOTAL]]-1,"")</f>
        <v>-0.18006510324596747</v>
      </c>
      <c r="Y131" s="3">
        <f>+IFERROR((PRODUCTOS[[#This Row],[CANT X MODULO]]*704)-PRODUCTOS[[#This Row],[CANT. COMPRADA]],"")</f>
        <v>2424.8000000000002</v>
      </c>
      <c r="Z131" s="17">
        <f>+IFERROR(PRODUCTOS[[#This Row],[CANT. COMPRADA]]/PRODUCTOS[[#This Row],[PPTO FALTANTE]],"")</f>
        <v>0.21939953810623555</v>
      </c>
      <c r="AA131" s="3">
        <f>+IFERROR(PRODUCTOS[[#This Row],[PROYECCION COMPRA]]-(PRODUCTOS[[#This Row],[PPTO FALTANTE]]*PRODUCTOS[[#This Row],[PPTO]]),"")</f>
        <v>-241.568421052536</v>
      </c>
      <c r="AB131" s="3">
        <f>+_xlfn.XLOOKUP(PRODUCTOS[[#This Row],[CODIGO]],DETALLE_GD_1[CODIGO],DETALLE_GD_1[VALOR PPTO],"",0)</f>
        <v>580</v>
      </c>
      <c r="AC131" s="3">
        <f>+AB131-PRODUCTOS[[#This Row],[PPTO_ACTUALIZADO]]</f>
        <v>0</v>
      </c>
    </row>
    <row r="132" spans="1:29" x14ac:dyDescent="0.25">
      <c r="A132">
        <v>609008</v>
      </c>
      <c r="B132" s="81" t="s">
        <v>57</v>
      </c>
      <c r="C132" t="s">
        <v>579</v>
      </c>
      <c r="D132">
        <v>0</v>
      </c>
      <c r="E132">
        <v>0</v>
      </c>
      <c r="F132" s="2">
        <v>2130.75731</v>
      </c>
      <c r="G132" s="6" t="s">
        <v>58</v>
      </c>
      <c r="H132" s="2">
        <v>0</v>
      </c>
      <c r="I132" t="b">
        <v>0</v>
      </c>
      <c r="J132" s="81" t="str">
        <f>+_xlfn.XLOOKUP(PRODUCTOS[[#This Row],[CODIGO]],P_CRITICOS[CODIGO],P_CRITICOS[DESC CORTA],"",0)</f>
        <v/>
      </c>
      <c r="K132" s="81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1.05</v>
      </c>
      <c r="M132" s="2">
        <f>+IFERROR(PRODUCTOS[[#This Row],[PPTO]]*PRODUCTOS[[#This Row],[CANT X MODULO]],"")</f>
        <v>2237.2951754999999</v>
      </c>
      <c r="N132" s="2">
        <f>+IFERROR(PRODUCTOS[[#This Row],[PPTO X MODULO]]*32,"")</f>
        <v>71593.445615999997</v>
      </c>
      <c r="O132" s="2">
        <f>+IFERROR(PRODUCTOS[[#This Row],[PPTO X TORRE]]*22,"")</f>
        <v>1575055.8035519999</v>
      </c>
      <c r="P132" s="3">
        <f>+IFERROR(PRODUCTOS[[#This Row],[CANT X MODULO]]*702,"")</f>
        <v>737.1</v>
      </c>
      <c r="Q132" s="3">
        <f>+SUMIFS(DETALLE_GD_1[CANTIDAD SOLICITADA],DETALLE_GD_1[CODIGO],PRODUCTOS[[#This Row],[CODIGO]])</f>
        <v>129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129</v>
      </c>
      <c r="T132" s="3">
        <f>+IFERROR(PRODUCTOS[[#This Row],[CANTIDAD RECIBIDA]]/PRODUCTOS[[#This Row],[CANT X MODULO]],"")</f>
        <v>122.85714285714285</v>
      </c>
      <c r="U132" s="3">
        <f>+SUMIFS(DETALLE_GD_1[VALOR TOTAL POR ITEM GD],DETALLE_GD_1[CODIGO],PRODUCTOS[[#This Row],[CODIGO]])</f>
        <v>286580</v>
      </c>
      <c r="V132" s="3">
        <f>+IFERROR(PRODUCTOS[[#This Row],[PRECIO DE COMPRA]]/PRODUCTOS[[#This Row],[CANT. COMPRADA]],"")</f>
        <v>2221.5503875968993</v>
      </c>
      <c r="W132" s="3">
        <f>+IFERROR(PRODUCTOS[[#This Row],[PRECIO COMPRA UNITARIO]]*PRODUCTOS[[#This Row],[PPTO FALTANTE]],"")</f>
        <v>1355590.046511628</v>
      </c>
      <c r="X132" s="7">
        <f>+IFERROR(PRODUCTOS[[#This Row],[PROYECCION COMPRA]]/PRODUCTOS[[#This Row],[PPTO TOTAL]]-1,"")</f>
        <v>-0.13933840092867944</v>
      </c>
      <c r="Y132" s="3">
        <f>+IFERROR((PRODUCTOS[[#This Row],[CANT X MODULO]]*704)-PRODUCTOS[[#This Row],[CANT. COMPRADA]],"")</f>
        <v>610.20000000000005</v>
      </c>
      <c r="Z132" s="17">
        <f>+IFERROR(PRODUCTOS[[#This Row],[CANT. COMPRADA]]/PRODUCTOS[[#This Row],[PPTO FALTANTE]],"")</f>
        <v>0.21140609636184857</v>
      </c>
      <c r="AA132" s="3">
        <f>+IFERROR(PRODUCTOS[[#This Row],[PROYECCION COMPRA]]-(PRODUCTOS[[#This Row],[PPTO FALTANTE]]*PRODUCTOS[[#This Row],[PPTO]]),"")</f>
        <v>55401.935949628009</v>
      </c>
      <c r="AB132" s="3">
        <f>+_xlfn.XLOOKUP(PRODUCTOS[[#This Row],[CODIGO]],DETALLE_GD_1[CODIGO],DETALLE_GD_1[VALOR PPTO],"",0)</f>
        <v>2130.7573000000002</v>
      </c>
      <c r="AC132" s="3">
        <f>+AB132-PRODUCTOS[[#This Row],[PPTO_ACTUALIZADO]]</f>
        <v>2130.7573000000002</v>
      </c>
    </row>
    <row r="133" spans="1:29" x14ac:dyDescent="0.25">
      <c r="A133">
        <v>705028</v>
      </c>
      <c r="B133" s="81" t="s">
        <v>72</v>
      </c>
      <c r="C133" t="s">
        <v>589</v>
      </c>
      <c r="D133" t="s">
        <v>240</v>
      </c>
      <c r="E133" t="s">
        <v>402</v>
      </c>
      <c r="F133" s="2">
        <v>22927.086207</v>
      </c>
      <c r="G133" s="6" t="s">
        <v>18</v>
      </c>
      <c r="H133" s="2">
        <v>22927.086207</v>
      </c>
      <c r="I133" t="b">
        <v>1</v>
      </c>
      <c r="J133" s="81" t="str">
        <f>+_xlfn.XLOOKUP(PRODUCTOS[[#This Row],[CODIGO]],P_CRITICOS[CODIGO],P_CRITICOS[DESC CORTA],"",0)</f>
        <v>SIMPLISIMA</v>
      </c>
      <c r="K133" s="81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3.6749999999999998</v>
      </c>
      <c r="M133" s="2">
        <f>+IFERROR(PRODUCTOS[[#This Row],[PPTO]]*PRODUCTOS[[#This Row],[CANT X MODULO]],"")</f>
        <v>84257.041810725001</v>
      </c>
      <c r="N133" s="2">
        <f>+IFERROR(PRODUCTOS[[#This Row],[PPTO X MODULO]]*32,"")</f>
        <v>2696225.3379432</v>
      </c>
      <c r="O133" s="2">
        <f>+IFERROR(PRODUCTOS[[#This Row],[PPTO X TORRE]]*22,"")</f>
        <v>59316957.4347504</v>
      </c>
      <c r="P133" s="3">
        <f>+IFERROR(PRODUCTOS[[#This Row],[CANT X MODULO]]*702,"")</f>
        <v>2579.85</v>
      </c>
      <c r="Q133" s="3">
        <f>+SUMIFS(DETALLE_GD_1[CANTIDAD SOLICITADA],DETALLE_GD_1[CODIGO],PRODUCTOS[[#This Row],[CODIGO]])</f>
        <v>449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449</v>
      </c>
      <c r="T133" s="3">
        <f>+IFERROR(PRODUCTOS[[#This Row],[CANTIDAD RECIBIDA]]/PRODUCTOS[[#This Row],[CANT X MODULO]],"")</f>
        <v>122.17687074829932</v>
      </c>
      <c r="U133" s="3">
        <f>+SUMIFS(DETALLE_GD_1[VALOR TOTAL POR ITEM GD],DETALLE_GD_1[CODIGO],PRODUCTOS[[#This Row],[CODIGO]])</f>
        <v>10231413</v>
      </c>
      <c r="V133" s="3">
        <f>+IFERROR(PRODUCTOS[[#This Row],[PRECIO DE COMPRA]]/PRODUCTOS[[#This Row],[CANT. COMPRADA]],"")</f>
        <v>22787.11135857461</v>
      </c>
      <c r="W133" s="3">
        <f>+IFERROR(PRODUCTOS[[#This Row],[PRECIO COMPRA UNITARIO]]*PRODUCTOS[[#This Row],[PPTO FALTANTE]],"")</f>
        <v>48723401.50690423</v>
      </c>
      <c r="X133" s="7">
        <f>+IFERROR(PRODUCTOS[[#This Row],[PROYECCION COMPRA]]/PRODUCTOS[[#This Row],[PPTO TOTAL]]-1,"")</f>
        <v>-0.17859236862408612</v>
      </c>
      <c r="Y133" s="3">
        <f>+IFERROR((PRODUCTOS[[#This Row],[CANT X MODULO]]*704)-PRODUCTOS[[#This Row],[CANT. COMPRADA]],"")</f>
        <v>2138.1999999999998</v>
      </c>
      <c r="Z133" s="17">
        <f>+IFERROR(PRODUCTOS[[#This Row],[CANT. COMPRADA]]/PRODUCTOS[[#This Row],[PPTO FALTANTE]],"")</f>
        <v>0.20998971097184549</v>
      </c>
      <c r="AA133" s="3">
        <f>+IFERROR(PRODUCTOS[[#This Row],[PROYECCION COMPRA]]-(PRODUCTOS[[#This Row],[PPTO FALTANTE]]*PRODUCTOS[[#This Row],[PPTO]]),"")</f>
        <v>-299294.22090316564</v>
      </c>
      <c r="AB133" s="3">
        <f>+_xlfn.XLOOKUP(PRODUCTOS[[#This Row],[CODIGO]],DETALLE_GD_1[CODIGO],DETALLE_GD_1[VALOR PPTO],"",0)</f>
        <v>22927.086200000002</v>
      </c>
      <c r="AC133" s="3">
        <f>+AB133-PRODUCTOS[[#This Row],[PPTO_ACTUALIZADO]]</f>
        <v>-6.999998731771484E-6</v>
      </c>
    </row>
    <row r="134" spans="1:29" x14ac:dyDescent="0.25">
      <c r="A134">
        <v>601047</v>
      </c>
      <c r="B134" s="81" t="s">
        <v>129</v>
      </c>
      <c r="C134" t="s">
        <v>623</v>
      </c>
      <c r="D134">
        <v>0</v>
      </c>
      <c r="E134">
        <v>0</v>
      </c>
      <c r="F134" s="2">
        <v>50286.86</v>
      </c>
      <c r="G134" s="6" t="s">
        <v>355</v>
      </c>
      <c r="H134" s="2">
        <v>0</v>
      </c>
      <c r="I134" t="b">
        <v>0</v>
      </c>
      <c r="J134" s="81" t="str">
        <f>+_xlfn.XLOOKUP(PRODUCTOS[[#This Row],[CODIGO]],P_CRITICOS[CODIGO],P_CRITICOS[DESC CORTA],"",0)</f>
        <v/>
      </c>
      <c r="K134" s="81" t="str">
        <f>+IFERROR(IF(VLOOKUP(PRODUCTOS[[#This Row],[CODIGO]],P_CRITICOS[],3,0)="*","PRODUCTO CRITICO","NO CRITICO"),"NO CRITICO")</f>
        <v>NO CRITICO</v>
      </c>
      <c r="L134" s="15">
        <f>+_xlfn.XLOOKUP(PRODUCTOS[[#This Row],[CODIGO]],BD_MODULO[Artículo],BD_MODULO[CUB_ACTUALIZADA],"",0)</f>
        <v>0.1575</v>
      </c>
      <c r="M134" s="2">
        <f>+IFERROR(PRODUCTOS[[#This Row],[PPTO]]*PRODUCTOS[[#This Row],[CANT X MODULO]],"")</f>
        <v>7920.1804499999998</v>
      </c>
      <c r="N134" s="2">
        <f>+IFERROR(PRODUCTOS[[#This Row],[PPTO X MODULO]]*32,"")</f>
        <v>253445.77439999999</v>
      </c>
      <c r="O134" s="2">
        <f>+IFERROR(PRODUCTOS[[#This Row],[PPTO X TORRE]]*22,"")</f>
        <v>5575807.0367999999</v>
      </c>
      <c r="P134" s="3">
        <f>+IFERROR(PRODUCTOS[[#This Row],[CANT X MODULO]]*702,"")</f>
        <v>110.565</v>
      </c>
      <c r="Q134" s="3">
        <f>+SUMIFS(DETALLE_GD_1[CANTIDAD SOLICITADA],DETALLE_GD_1[CODIGO],PRODUCTOS[[#This Row],[CODIGO]])</f>
        <v>19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19</v>
      </c>
      <c r="T134" s="3">
        <f>+IFERROR(PRODUCTOS[[#This Row],[CANTIDAD RECIBIDA]]/PRODUCTOS[[#This Row],[CANT X MODULO]],"")</f>
        <v>120.63492063492063</v>
      </c>
      <c r="U134" s="3">
        <f>+SUMIFS(DETALLE_GD_1[VALOR TOTAL POR ITEM GD],DETALLE_GD_1[CODIGO],PRODUCTOS[[#This Row],[CODIGO]])</f>
        <v>934039</v>
      </c>
      <c r="V134" s="3">
        <f>+IFERROR(PRODUCTOS[[#This Row],[PRECIO DE COMPRA]]/PRODUCTOS[[#This Row],[CANT. COMPRADA]],"")</f>
        <v>49159.947368421053</v>
      </c>
      <c r="W134" s="3">
        <f>+IFERROR(PRODUCTOS[[#This Row],[PRECIO COMPRA UNITARIO]]*PRODUCTOS[[#This Row],[PPTO FALTANTE]],"")</f>
        <v>4516815.9642105261</v>
      </c>
      <c r="X134" s="7">
        <f>+IFERROR(PRODUCTOS[[#This Row],[PROYECCION COMPRA]]/PRODUCTOS[[#This Row],[PPTO TOTAL]]-1,"")</f>
        <v>-0.18992606193151862</v>
      </c>
      <c r="Y134" s="3">
        <f>+IFERROR((PRODUCTOS[[#This Row],[CANT X MODULO]]*704)-PRODUCTOS[[#This Row],[CANT. COMPRADA]],"")</f>
        <v>91.88</v>
      </c>
      <c r="Z134" s="17">
        <f>+IFERROR(PRODUCTOS[[#This Row],[CANT. COMPRADA]]/PRODUCTOS[[#This Row],[PPTO FALTANTE]],"")</f>
        <v>0.20679146713104049</v>
      </c>
      <c r="AA134" s="3">
        <f>+IFERROR(PRODUCTOS[[#This Row],[PROYECCION COMPRA]]-(PRODUCTOS[[#This Row],[PPTO FALTANTE]]*PRODUCTOS[[#This Row],[PPTO]]),"")</f>
        <v>-103540.73258947395</v>
      </c>
      <c r="AB134" s="3">
        <f>+_xlfn.XLOOKUP(PRODUCTOS[[#This Row],[CODIGO]],DETALLE_GD_1[CODIGO],DETALLE_GD_1[VALOR PPTO],"",0)</f>
        <v>50286.86</v>
      </c>
      <c r="AC134" s="3">
        <f>+AB134-PRODUCTOS[[#This Row],[PPTO_ACTUALIZADO]]</f>
        <v>50286.86</v>
      </c>
    </row>
    <row r="135" spans="1:29" x14ac:dyDescent="0.25">
      <c r="A135">
        <v>304002</v>
      </c>
      <c r="B135" s="81" t="s">
        <v>37</v>
      </c>
      <c r="C135" t="s">
        <v>544</v>
      </c>
      <c r="D135" t="s">
        <v>240</v>
      </c>
      <c r="E135" t="s">
        <v>402</v>
      </c>
      <c r="F135" s="2">
        <v>21246.507152999999</v>
      </c>
      <c r="G135" s="6" t="s">
        <v>18</v>
      </c>
      <c r="H135" s="2">
        <v>21246.507152999999</v>
      </c>
      <c r="I135" t="b">
        <v>1</v>
      </c>
      <c r="J135" s="81" t="str">
        <f>+_xlfn.XLOOKUP(PRODUCTOS[[#This Row],[CODIGO]],P_CRITICOS[CODIGO],P_CRITICOS[DESC CORTA],"",0)</f>
        <v>SMARTPANEL</v>
      </c>
      <c r="K135" s="81" t="str">
        <f>+IFERROR(IF(VLOOKUP(PRODUCTOS[[#This Row],[CODIGO]],P_CRITICOS[],3,0)="*","PRODUCTO CRITICO","NO CRITICO"),"NO CRITICO")</f>
        <v>PRODUCTO CRITICO</v>
      </c>
      <c r="L135" s="15">
        <f>+_xlfn.XLOOKUP(PRODUCTOS[[#This Row],[CODIGO]],BD_MODULO[Artículo],BD_MODULO[CUB_ACTUALIZADA],"",0)</f>
        <v>23.296874999999996</v>
      </c>
      <c r="M135" s="2">
        <f>+IFERROR(PRODUCTOS[[#This Row],[PPTO]]*PRODUCTOS[[#This Row],[CANT X MODULO]],"")</f>
        <v>494977.22133004677</v>
      </c>
      <c r="N135" s="2">
        <f>+IFERROR(PRODUCTOS[[#This Row],[PPTO X MODULO]]*32,"")</f>
        <v>15839271.082561497</v>
      </c>
      <c r="O135" s="2">
        <f>+IFERROR(PRODUCTOS[[#This Row],[PPTO X TORRE]]*22,"")</f>
        <v>348463963.8163529</v>
      </c>
      <c r="P135" s="3">
        <f>+IFERROR(PRODUCTOS[[#This Row],[CANT X MODULO]]*702,"")</f>
        <v>16354.406249999998</v>
      </c>
      <c r="Q135" s="3">
        <f>+SUMIFS(DETALLE_GD_1[CANTIDAD SOLICITADA],DETALLE_GD_1[CODIGO],PRODUCTOS[[#This Row],[CODIGO]])</f>
        <v>2783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2783</v>
      </c>
      <c r="T135" s="3">
        <f>+IFERROR(PRODUCTOS[[#This Row],[CANTIDAD RECIBIDA]]/PRODUCTOS[[#This Row],[CANT X MODULO]],"")</f>
        <v>119.45808182427902</v>
      </c>
      <c r="U135" s="3">
        <f>+SUMIFS(DETALLE_GD_1[VALOR TOTAL POR ITEM GD],DETALLE_GD_1[CODIGO],PRODUCTOS[[#This Row],[CODIGO]])</f>
        <v>60094732</v>
      </c>
      <c r="V135" s="3">
        <f>+IFERROR(PRODUCTOS[[#This Row],[PRECIO DE COMPRA]]/PRODUCTOS[[#This Row],[CANT. COMPRADA]],"")</f>
        <v>21593.507725476105</v>
      </c>
      <c r="W135" s="3">
        <f>+IFERROR(PRODUCTOS[[#This Row],[PRECIO COMPRA UNITARIO]]*PRODUCTOS[[#This Row],[PPTO FALTANTE]],"")</f>
        <v>294060388.2055335</v>
      </c>
      <c r="X135" s="7">
        <f>+IFERROR(PRODUCTOS[[#This Row],[PROYECCION COMPRA]]/PRODUCTOS[[#This Row],[PPTO TOTAL]]-1,"")</f>
        <v>-0.15612396477097734</v>
      </c>
      <c r="Y135" s="3">
        <f>+IFERROR((PRODUCTOS[[#This Row],[CANT X MODULO]]*704)-PRODUCTOS[[#This Row],[CANT. COMPRADA]],"")</f>
        <v>13617.999999999996</v>
      </c>
      <c r="Z135" s="17">
        <f>+IFERROR(PRODUCTOS[[#This Row],[CANT. COMPRADA]]/PRODUCTOS[[#This Row],[PPTO FALTANTE]],"")</f>
        <v>0.204361873990307</v>
      </c>
      <c r="AA135" s="3">
        <f>+IFERROR(PRODUCTOS[[#This Row],[PROYECCION COMPRA]]-(PRODUCTOS[[#This Row],[PPTO FALTANTE]]*PRODUCTOS[[#This Row],[PPTO]]),"")</f>
        <v>4725453.795979619</v>
      </c>
      <c r="AB135" s="3">
        <f>+_xlfn.XLOOKUP(PRODUCTOS[[#This Row],[CODIGO]],DETALLE_GD_1[CODIGO],DETALLE_GD_1[VALOR PPTO],"",0)</f>
        <v>21246.5072</v>
      </c>
      <c r="AC135" s="3">
        <f>+AB135-PRODUCTOS[[#This Row],[PPTO_ACTUALIZADO]]</f>
        <v>4.7000001359265298E-5</v>
      </c>
    </row>
    <row r="136" spans="1:29" x14ac:dyDescent="0.25">
      <c r="A136">
        <v>412280</v>
      </c>
      <c r="B136" s="81" t="s">
        <v>40</v>
      </c>
      <c r="C136" t="s">
        <v>551</v>
      </c>
      <c r="D136" t="s">
        <v>240</v>
      </c>
      <c r="E136" t="s">
        <v>399</v>
      </c>
      <c r="F136" s="2">
        <v>40002.920093000001</v>
      </c>
      <c r="G136" s="6" t="s">
        <v>31</v>
      </c>
      <c r="H136" s="2">
        <v>40002.920093000001</v>
      </c>
      <c r="I136" t="b">
        <v>1</v>
      </c>
      <c r="J136" s="81" t="str">
        <f>+_xlfn.XLOOKUP(PRODUCTOS[[#This Row],[CODIGO]],P_CRITICOS[CODIGO],P_CRITICOS[DESC CORTA],"",0)</f>
        <v>HOLDOWN PB2</v>
      </c>
      <c r="K136" s="81" t="str">
        <f>+IFERROR(IF(VLOOKUP(PRODUCTOS[[#This Row],[CODIGO]],P_CRITICOS[],3,0)="*","PRODUCTO CRITICO","NO CRITICO"),"NO CRITICO")</f>
        <v>PRODUCTO CRITICO</v>
      </c>
      <c r="L136" s="15">
        <f>+_xlfn.XLOOKUP(PRODUCTOS[[#This Row],[CODIGO]],BD_MODULO[Artículo],BD_MODULO[CUB_ACTUALIZADA],"",0)</f>
        <v>7.875</v>
      </c>
      <c r="M136" s="2">
        <f>+IFERROR(PRODUCTOS[[#This Row],[PPTO]]*PRODUCTOS[[#This Row],[CANT X MODULO]],"")</f>
        <v>315022.99573237501</v>
      </c>
      <c r="N136" s="2">
        <f>+IFERROR(PRODUCTOS[[#This Row],[PPTO X MODULO]]*32,"")</f>
        <v>10080735.863436</v>
      </c>
      <c r="O136" s="2">
        <f>+IFERROR(PRODUCTOS[[#This Row],[PPTO X TORRE]]*22,"")</f>
        <v>221776188.995592</v>
      </c>
      <c r="P136" s="3">
        <f>+IFERROR(PRODUCTOS[[#This Row],[CANT X MODULO]]*702,"")</f>
        <v>5528.25</v>
      </c>
      <c r="Q136" s="3">
        <f>+SUMIFS(DETALLE_GD_1[CANTIDAD SOLICITADA],DETALLE_GD_1[CODIGO],PRODUCTOS[[#This Row],[CODIGO]])</f>
        <v>926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926</v>
      </c>
      <c r="T136" s="3">
        <f>+IFERROR(PRODUCTOS[[#This Row],[CANTIDAD RECIBIDA]]/PRODUCTOS[[#This Row],[CANT X MODULO]],"")</f>
        <v>117.58730158730158</v>
      </c>
      <c r="U136" s="3">
        <f>+SUMIFS(DETALLE_GD_1[VALOR TOTAL POR ITEM GD],DETALLE_GD_1[CODIGO],PRODUCTOS[[#This Row],[CODIGO]])</f>
        <v>36177719</v>
      </c>
      <c r="V136" s="3">
        <f>+IFERROR(PRODUCTOS[[#This Row],[PRECIO DE COMPRA]]/PRODUCTOS[[#This Row],[CANT. COMPRADA]],"")</f>
        <v>39068.811015118794</v>
      </c>
      <c r="W136" s="3">
        <f>+IFERROR(PRODUCTOS[[#This Row],[PRECIO COMPRA UNITARIO]]*PRODUCTOS[[#This Row],[PPTO FALTANTE]],"")</f>
        <v>180419769.2678186</v>
      </c>
      <c r="X136" s="7">
        <f>+IFERROR(PRODUCTOS[[#This Row],[PROYECCION COMPRA]]/PRODUCTOS[[#This Row],[PPTO TOTAL]]-1,"")</f>
        <v>-0.18647817836113778</v>
      </c>
      <c r="Y136" s="3">
        <f>+IFERROR((PRODUCTOS[[#This Row],[CANT X MODULO]]*704)-PRODUCTOS[[#This Row],[CANT. COMPRADA]],"")</f>
        <v>4618</v>
      </c>
      <c r="Z136" s="17">
        <f>+IFERROR(PRODUCTOS[[#This Row],[CANT. COMPRADA]]/PRODUCTOS[[#This Row],[PPTO FALTANTE]],"")</f>
        <v>0.20051970550021656</v>
      </c>
      <c r="AA136" s="3">
        <f>+IFERROR(PRODUCTOS[[#This Row],[PROYECCION COMPRA]]-(PRODUCTOS[[#This Row],[PPTO FALTANTE]]*PRODUCTOS[[#This Row],[PPTO]]),"")</f>
        <v>-4313715.7216553986</v>
      </c>
      <c r="AB136" s="3">
        <f>+_xlfn.XLOOKUP(PRODUCTOS[[#This Row],[CODIGO]],DETALLE_GD_1[CODIGO],DETALLE_GD_1[VALOR PPTO],"",0)</f>
        <v>40002.920100000003</v>
      </c>
      <c r="AC136" s="3">
        <f>+AB136-PRODUCTOS[[#This Row],[PPTO_ACTUALIZADO]]</f>
        <v>7.0000023697502911E-6</v>
      </c>
    </row>
    <row r="137" spans="1:29" x14ac:dyDescent="0.25">
      <c r="A137">
        <v>407427</v>
      </c>
      <c r="B137" s="81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s="81" t="str">
        <f>+_xlfn.XLOOKUP(PRODUCTOS[[#This Row],[CODIGO]],P_CRITICOS[CODIGO],P_CRITICOS[DESC CORTA],"",0)</f>
        <v/>
      </c>
      <c r="K137" s="81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12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12</v>
      </c>
      <c r="T137" s="3">
        <f>+IFERROR(PRODUCTOS[[#This Row],[CANTIDAD RECIBIDA]]/PRODUCTOS[[#This Row],[CANT X MODULO]],"")</f>
        <v>114.28571428571429</v>
      </c>
      <c r="U137" s="3">
        <f>+SUMIFS(DETALLE_GD_1[VALOR TOTAL POR ITEM GD],DETALLE_GD_1[CODIGO],PRODUCTOS[[#This Row],[CODIGO]])</f>
        <v>270692</v>
      </c>
      <c r="V137" s="3">
        <f>+IFERROR(PRODUCTOS[[#This Row],[PRECIO DE COMPRA]]/PRODUCTOS[[#This Row],[CANT. COMPRADA]],"")</f>
        <v>22557.666666666668</v>
      </c>
      <c r="W137" s="3">
        <f>+IFERROR(PRODUCTOS[[#This Row],[PRECIO COMPRA UNITARIO]]*PRODUCTOS[[#This Row],[PPTO FALTANTE]],"")</f>
        <v>1396770.7200000002</v>
      </c>
      <c r="X137" s="7">
        <f>+IFERROR(PRODUCTOS[[#This Row],[PROYECCION COMPRA]]/PRODUCTOS[[#This Row],[PPTO TOTAL]]-1,"")</f>
        <v>-0.16233316120750796</v>
      </c>
      <c r="Y137" s="3">
        <f>+IFERROR((PRODUCTOS[[#This Row],[CANT X MODULO]]*704)-PRODUCTOS[[#This Row],[CANT. COMPRADA]],"")</f>
        <v>61.92</v>
      </c>
      <c r="Z137" s="17">
        <f>+IFERROR(PRODUCTOS[[#This Row],[CANT. COMPRADA]]/PRODUCTOS[[#This Row],[PPTO FALTANTE]],"")</f>
        <v>0.19379844961240308</v>
      </c>
      <c r="AA137" s="3">
        <f>+IFERROR(PRODUCTOS[[#This Row],[PROYECCION COMPRA]]-(PRODUCTOS[[#This Row],[PPTO FALTANTE]]*PRODUCTOS[[#This Row],[PPTO]]),"")</f>
        <v>7.5054264001082629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x14ac:dyDescent="0.25">
      <c r="A138">
        <v>704022</v>
      </c>
      <c r="B138" s="81" t="s">
        <v>330</v>
      </c>
      <c r="C138" t="s">
        <v>668</v>
      </c>
      <c r="D138" t="s">
        <v>240</v>
      </c>
      <c r="E138" t="s">
        <v>402</v>
      </c>
      <c r="F138" s="2">
        <v>306</v>
      </c>
      <c r="G138" s="6" t="s">
        <v>31</v>
      </c>
      <c r="H138" s="2">
        <v>306.00000000000006</v>
      </c>
      <c r="I138" t="b">
        <v>1</v>
      </c>
      <c r="J138" s="81" t="str">
        <f>+_xlfn.XLOOKUP(PRODUCTOS[[#This Row],[CODIGO]],P_CRITICOS[CODIGO],P_CRITICOS[DESC CORTA],"",0)</f>
        <v/>
      </c>
      <c r="K138" s="81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14.175000000000001</v>
      </c>
      <c r="M138" s="2">
        <f>+IFERROR(PRODUCTOS[[#This Row],[PPTO]]*PRODUCTOS[[#This Row],[CANT X MODULO]],"")</f>
        <v>4337.55</v>
      </c>
      <c r="N138" s="2">
        <f>+IFERROR(PRODUCTOS[[#This Row],[PPTO X MODULO]]*32,"")</f>
        <v>138801.60000000001</v>
      </c>
      <c r="O138" s="2">
        <f>+IFERROR(PRODUCTOS[[#This Row],[PPTO X TORRE]]*22,"")</f>
        <v>3053635.2</v>
      </c>
      <c r="P138" s="3">
        <f>+IFERROR(PRODUCTOS[[#This Row],[CANT X MODULO]]*702,"")</f>
        <v>9950.85</v>
      </c>
      <c r="Q138" s="3">
        <f>+SUMIFS(DETALLE_GD_1[CANTIDAD SOLICITADA],DETALLE_GD_1[CODIGO],PRODUCTOS[[#This Row],[CODIGO]])</f>
        <v>1610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1610</v>
      </c>
      <c r="T138" s="3">
        <f>+IFERROR(PRODUCTOS[[#This Row],[CANTIDAD RECIBIDA]]/PRODUCTOS[[#This Row],[CANT X MODULO]],"")</f>
        <v>113.58024691358024</v>
      </c>
      <c r="U138" s="3">
        <f>+SUMIFS(DETALLE_GD_1[VALOR TOTAL POR ITEM GD],DETALLE_GD_1[CODIGO],PRODUCTOS[[#This Row],[CODIGO]])</f>
        <v>416003</v>
      </c>
      <c r="V138" s="3">
        <f>+IFERROR(PRODUCTOS[[#This Row],[PRECIO DE COMPRA]]/PRODUCTOS[[#This Row],[CANT. COMPRADA]],"")</f>
        <v>258.38695652173914</v>
      </c>
      <c r="W138" s="3">
        <f>+IFERROR(PRODUCTOS[[#This Row],[PRECIO COMPRA UNITARIO]]*PRODUCTOS[[#This Row],[PPTO FALTANTE]],"")</f>
        <v>2162492.1165217394</v>
      </c>
      <c r="X138" s="7">
        <f>+IFERROR(PRODUCTOS[[#This Row],[PROYECCION COMPRA]]/PRODUCTOS[[#This Row],[PPTO TOTAL]]-1,"")</f>
        <v>-0.29183023678737419</v>
      </c>
      <c r="Y138" s="3">
        <f>+IFERROR((PRODUCTOS[[#This Row],[CANT X MODULO]]*704)-PRODUCTOS[[#This Row],[CANT. COMPRADA]],"")</f>
        <v>8369.2000000000007</v>
      </c>
      <c r="Z138" s="17">
        <f>+IFERROR(PRODUCTOS[[#This Row],[CANT. COMPRADA]]/PRODUCTOS[[#This Row],[PPTO FALTANTE]],"")</f>
        <v>0.19237203077952492</v>
      </c>
      <c r="AA138" s="3">
        <f>+IFERROR(PRODUCTOS[[#This Row],[PROYECCION COMPRA]]-(PRODUCTOS[[#This Row],[PPTO FALTANTE]]*PRODUCTOS[[#This Row],[PPTO]]),"")</f>
        <v>-398483.08347826079</v>
      </c>
      <c r="AB138" s="3">
        <f>+_xlfn.XLOOKUP(PRODUCTOS[[#This Row],[CODIGO]],DETALLE_GD_1[CODIGO],DETALLE_GD_1[VALOR PPTO],"",0)</f>
        <v>306</v>
      </c>
      <c r="AC138" s="3">
        <f>+AB138-PRODUCTOS[[#This Row],[PPTO_ACTUALIZADO]]</f>
        <v>0</v>
      </c>
    </row>
    <row r="139" spans="1:29" x14ac:dyDescent="0.25">
      <c r="A139">
        <v>412302</v>
      </c>
      <c r="B139" s="81" t="s">
        <v>165</v>
      </c>
      <c r="C139">
        <v>0</v>
      </c>
      <c r="D139" t="s">
        <v>240</v>
      </c>
      <c r="E139" t="s">
        <v>399</v>
      </c>
      <c r="F139" s="2">
        <v>4742.4586669999999</v>
      </c>
      <c r="G139" s="6" t="s">
        <v>31</v>
      </c>
      <c r="H139" s="2">
        <v>4742.4586669999999</v>
      </c>
      <c r="I139" t="b">
        <v>1</v>
      </c>
      <c r="J139" s="81" t="str">
        <f>+_xlfn.XLOOKUP(PRODUCTOS[[#This Row],[CODIGO]],P_CRITICOS[CODIGO],P_CRITICOS[DESC CORTA],"",0)</f>
        <v/>
      </c>
      <c r="K139" s="81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1.05</v>
      </c>
      <c r="M139" s="2">
        <f>+IFERROR(PRODUCTOS[[#This Row],[PPTO]]*PRODUCTOS[[#This Row],[CANT X MODULO]],"")</f>
        <v>4979.5816003500004</v>
      </c>
      <c r="N139" s="2">
        <f>+IFERROR(PRODUCTOS[[#This Row],[PPTO X MODULO]]*32,"")</f>
        <v>159346.61121120001</v>
      </c>
      <c r="O139" s="2">
        <f>+IFERROR(PRODUCTOS[[#This Row],[PPTO X TORRE]]*22,"")</f>
        <v>3505625.4466464003</v>
      </c>
      <c r="P139" s="3">
        <f>+IFERROR(PRODUCTOS[[#This Row],[CANT X MODULO]]*702,"")</f>
        <v>737.1</v>
      </c>
      <c r="Q139" s="3">
        <f>+SUMIFS(DETALLE_GD_1[CANTIDAD SOLICITADA],DETALLE_GD_1[CODIGO],PRODUCTOS[[#This Row],[CODIGO]])</f>
        <v>115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115</v>
      </c>
      <c r="T139" s="3">
        <f>+IFERROR(PRODUCTOS[[#This Row],[CANTIDAD RECIBIDA]]/PRODUCTOS[[#This Row],[CANT X MODULO]],"")</f>
        <v>109.52380952380952</v>
      </c>
      <c r="U139" s="3">
        <f>+SUMIFS(DETALLE_GD_1[VALOR TOTAL POR ITEM GD],DETALLE_GD_1[CODIGO],PRODUCTOS[[#This Row],[CODIGO]])</f>
        <v>545384</v>
      </c>
      <c r="V139" s="3">
        <f>+IFERROR(PRODUCTOS[[#This Row],[PRECIO DE COMPRA]]/PRODUCTOS[[#This Row],[CANT. COMPRADA]],"")</f>
        <v>4742.4695652173914</v>
      </c>
      <c r="W139" s="3">
        <f>+IFERROR(PRODUCTOS[[#This Row],[PRECIO COMPRA UNITARIO]]*PRODUCTOS[[#This Row],[PPTO FALTANTE]],"")</f>
        <v>2960249.502608696</v>
      </c>
      <c r="X139" s="7">
        <f>+IFERROR(PRODUCTOS[[#This Row],[PROYECCION COMPRA]]/PRODUCTOS[[#This Row],[PPTO TOTAL]]-1,"")</f>
        <v>-0.15557165257327454</v>
      </c>
      <c r="Y139" s="3">
        <f>+IFERROR((PRODUCTOS[[#This Row],[CANT X MODULO]]*704)-PRODUCTOS[[#This Row],[CANT. COMPRADA]],"")</f>
        <v>624.20000000000005</v>
      </c>
      <c r="Z139" s="17">
        <f>+IFERROR(PRODUCTOS[[#This Row],[CANT. COMPRADA]]/PRODUCTOS[[#This Row],[PPTO FALTANTE]],"")</f>
        <v>0.18423582185197052</v>
      </c>
      <c r="AA139" s="3">
        <f>+IFERROR(PRODUCTOS[[#This Row],[PROYECCION COMPRA]]-(PRODUCTOS[[#This Row],[PPTO FALTANTE]]*PRODUCTOS[[#This Row],[PPTO]]),"")</f>
        <v>6.802667296025902</v>
      </c>
      <c r="AB139" s="3">
        <f>+_xlfn.XLOOKUP(PRODUCTOS[[#This Row],[CODIGO]],DETALLE_GD_1[CODIGO],DETALLE_GD_1[VALOR PPTO],"",0)</f>
        <v>4742.4587000000001</v>
      </c>
      <c r="AC139" s="3">
        <f>+AB139-PRODUCTOS[[#This Row],[PPTO_ACTUALIZADO]]</f>
        <v>3.3000000257743523E-5</v>
      </c>
    </row>
    <row r="140" spans="1:29" x14ac:dyDescent="0.25">
      <c r="A140">
        <v>407011</v>
      </c>
      <c r="B140" s="81" t="s">
        <v>30</v>
      </c>
      <c r="C140" t="s">
        <v>548</v>
      </c>
      <c r="D140" t="s">
        <v>240</v>
      </c>
      <c r="E140" t="s">
        <v>399</v>
      </c>
      <c r="F140" s="2">
        <v>473.17523999999997</v>
      </c>
      <c r="G140" s="6" t="s">
        <v>31</v>
      </c>
      <c r="H140" s="2">
        <v>473.17523999999992</v>
      </c>
      <c r="I140" t="b">
        <v>1</v>
      </c>
      <c r="J140" s="81" t="str">
        <f>+_xlfn.XLOOKUP(PRODUCTOS[[#This Row],[CODIGO]],P_CRITICOS[CODIGO],P_CRITICOS[DESC CORTA],"",0)</f>
        <v>TORNILLO SIMPSON 6"</v>
      </c>
      <c r="K140" s="81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588</v>
      </c>
      <c r="M140" s="2">
        <f>+IFERROR(PRODUCTOS[[#This Row],[PPTO]]*PRODUCTOS[[#This Row],[CANT X MODULO]],"")</f>
        <v>278227.04112000001</v>
      </c>
      <c r="N140" s="2">
        <f>+IFERROR(PRODUCTOS[[#This Row],[PPTO X MODULO]]*32,"")</f>
        <v>8903265.3158400003</v>
      </c>
      <c r="O140" s="2">
        <f>+IFERROR(PRODUCTOS[[#This Row],[PPTO X TORRE]]*22,"")</f>
        <v>195871836.94848001</v>
      </c>
      <c r="P140" s="3">
        <f>+IFERROR(PRODUCTOS[[#This Row],[CANT X MODULO]]*702,"")</f>
        <v>412776</v>
      </c>
      <c r="Q140" s="3">
        <f>+SUMIFS(DETALLE_GD_1[CANTIDAD SOLICITADA],DETALLE_GD_1[CODIGO],PRODUCTOS[[#This Row],[CODIGO]])</f>
        <v>64298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64298</v>
      </c>
      <c r="T140" s="3">
        <f>+IFERROR(PRODUCTOS[[#This Row],[CANTIDAD RECIBIDA]]/PRODUCTOS[[#This Row],[CANT X MODULO]],"")</f>
        <v>109.35034013605443</v>
      </c>
      <c r="U140" s="3">
        <f>+SUMIFS(DETALLE_GD_1[VALOR TOTAL POR ITEM GD],DETALLE_GD_1[CODIGO],PRODUCTOS[[#This Row],[CODIGO]])</f>
        <v>29844629</v>
      </c>
      <c r="V140" s="3">
        <f>+IFERROR(PRODUCTOS[[#This Row],[PRECIO DE COMPRA]]/PRODUCTOS[[#This Row],[CANT. COMPRADA]],"")</f>
        <v>464.16107810507327</v>
      </c>
      <c r="W140" s="3">
        <f>+IFERROR(PRODUCTOS[[#This Row],[PRECIO COMPRA UNITARIO]]*PRODUCTOS[[#This Row],[PPTO FALTANTE]],"")</f>
        <v>162295777.6037513</v>
      </c>
      <c r="X140" s="7">
        <f>+IFERROR(PRODUCTOS[[#This Row],[PROYECCION COMPRA]]/PRODUCTOS[[#This Row],[PPTO TOTAL]]-1,"")</f>
        <v>-0.17141851461555546</v>
      </c>
      <c r="Y140" s="3">
        <f>+IFERROR((PRODUCTOS[[#This Row],[CANT X MODULO]]*704)-PRODUCTOS[[#This Row],[CANT. COMPRADA]],"")</f>
        <v>349654</v>
      </c>
      <c r="Z140" s="17">
        <f>+IFERROR(PRODUCTOS[[#This Row],[CANT. COMPRADA]]/PRODUCTOS[[#This Row],[PPTO FALTANTE]],"")</f>
        <v>0.18389036018463967</v>
      </c>
      <c r="AA140" s="3">
        <f>+IFERROR(PRODUCTOS[[#This Row],[PROYECCION COMPRA]]-(PRODUCTOS[[#This Row],[PPTO FALTANTE]]*PRODUCTOS[[#This Row],[PPTO]]),"")</f>
        <v>-3151837.7632086873</v>
      </c>
      <c r="AB140" s="3">
        <f>+_xlfn.XLOOKUP(PRODUCTOS[[#This Row],[CODIGO]],DETALLE_GD_1[CODIGO],DETALLE_GD_1[VALOR PPTO],"",0)</f>
        <v>473.17520000000002</v>
      </c>
      <c r="AC140" s="3">
        <f>+AB140-PRODUCTOS[[#This Row],[PPTO_ACTUALIZADO]]</f>
        <v>-3.9999999899009708E-5</v>
      </c>
    </row>
    <row r="141" spans="1:29" x14ac:dyDescent="0.25">
      <c r="A141">
        <v>1901008</v>
      </c>
      <c r="B141" s="81" t="s">
        <v>278</v>
      </c>
      <c r="C141" t="s">
        <v>539</v>
      </c>
      <c r="D141" t="s">
        <v>240</v>
      </c>
      <c r="E141" t="s">
        <v>404</v>
      </c>
      <c r="F141" s="2">
        <v>2112.795779</v>
      </c>
      <c r="G141" s="6" t="s">
        <v>26</v>
      </c>
      <c r="H141" s="2">
        <v>2112.795779</v>
      </c>
      <c r="I141" t="b">
        <v>1</v>
      </c>
      <c r="J141" s="81" t="str">
        <f>+_xlfn.XLOOKUP(PRODUCTOS[[#This Row],[CODIGO]],P_CRITICOS[CODIGO],P_CRITICOS[DESC CORTA],"",0)</f>
        <v>AISLAN GLASS 90MM</v>
      </c>
      <c r="K141" s="8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62.430325650000007</v>
      </c>
      <c r="M141" s="2">
        <f>+IFERROR(PRODUCTOS[[#This Row],[PPTO]]*PRODUCTOS[[#This Row],[CANT X MODULO]],"")</f>
        <v>131902.52851491544</v>
      </c>
      <c r="N141" s="2">
        <f>+IFERROR(PRODUCTOS[[#This Row],[PPTO X MODULO]]*32,"")</f>
        <v>4220880.912477294</v>
      </c>
      <c r="O141" s="2">
        <f>+IFERROR(PRODUCTOS[[#This Row],[PPTO X TORRE]]*22,"")</f>
        <v>92859380.074500471</v>
      </c>
      <c r="P141" s="3">
        <f>+IFERROR(PRODUCTOS[[#This Row],[CANT X MODULO]]*702,"")</f>
        <v>43826.088606300007</v>
      </c>
      <c r="Q141" s="3">
        <f>+SUMIFS(DETALLE_GD_1[CANTIDAD SOLICITADA],DETALLE_GD_1[CODIGO],PRODUCTOS[[#This Row],[CODIGO]])</f>
        <v>6747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6747</v>
      </c>
      <c r="T141" s="3">
        <f>+IFERROR(PRODUCTOS[[#This Row],[CANTIDAD RECIBIDA]]/PRODUCTOS[[#This Row],[CANT X MODULO]],"")</f>
        <v>108.07247807460378</v>
      </c>
      <c r="U141" s="3">
        <f>+SUMIFS(DETALLE_GD_1[VALOR TOTAL POR ITEM GD],DETALLE_GD_1[CODIGO],PRODUCTOS[[#This Row],[CODIGO]])</f>
        <v>13908918</v>
      </c>
      <c r="V141" s="3">
        <f>+IFERROR(PRODUCTOS[[#This Row],[PRECIO DE COMPRA]]/PRODUCTOS[[#This Row],[CANT. COMPRADA]],"")</f>
        <v>2061.4966651845266</v>
      </c>
      <c r="W141" s="3">
        <f>+IFERROR(PRODUCTOS[[#This Row],[PRECIO COMPRA UNITARIO]]*PRODUCTOS[[#This Row],[PPTO FALTANTE]],"")</f>
        <v>76695817.326236755</v>
      </c>
      <c r="X141" s="7">
        <f>+IFERROR(PRODUCTOS[[#This Row],[PROYECCION COMPRA]]/PRODUCTOS[[#This Row],[PPTO TOTAL]]-1,"")</f>
        <v>-0.17406494352316149</v>
      </c>
      <c r="Y141" s="3">
        <f>+IFERROR((PRODUCTOS[[#This Row],[CANT X MODULO]]*704)-PRODUCTOS[[#This Row],[CANT. COMPRADA]],"")</f>
        <v>37203.949257600005</v>
      </c>
      <c r="Z141" s="17">
        <f>+IFERROR(PRODUCTOS[[#This Row],[CANT. COMPRADA]]/PRODUCTOS[[#This Row],[PPTO FALTANTE]],"")</f>
        <v>0.18135171492907373</v>
      </c>
      <c r="AA141" s="3">
        <f>+IFERROR(PRODUCTOS[[#This Row],[PROYECCION COMPRA]]-(PRODUCTOS[[#This Row],[PPTO FALTANTE]]*PRODUCTOS[[#This Row],[PPTO]]),"")</f>
        <v>-1908529.6273507178</v>
      </c>
      <c r="AB141" s="3">
        <f>+_xlfn.XLOOKUP(PRODUCTOS[[#This Row],[CODIGO]],DETALLE_GD_1[CODIGO],DETALLE_GD_1[VALOR PPTO],"",0)</f>
        <v>2112.7957999999999</v>
      </c>
      <c r="AC141" s="3">
        <f>+AB141-PRODUCTOS[[#This Row],[PPTO_ACTUALIZADO]]</f>
        <v>2.0999999833293259E-5</v>
      </c>
    </row>
    <row r="142" spans="1:29" x14ac:dyDescent="0.25">
      <c r="A142">
        <v>304049</v>
      </c>
      <c r="B142" s="81" t="s">
        <v>318</v>
      </c>
      <c r="C142" t="s">
        <v>538</v>
      </c>
      <c r="D142" t="s">
        <v>240</v>
      </c>
      <c r="E142" t="s">
        <v>403</v>
      </c>
      <c r="F142" s="2">
        <v>14982</v>
      </c>
      <c r="G142" s="6" t="s">
        <v>18</v>
      </c>
      <c r="H142" s="2">
        <v>14981.999999999993</v>
      </c>
      <c r="I142" t="b">
        <v>1</v>
      </c>
      <c r="J142" s="81" t="str">
        <f>+_xlfn.XLOOKUP(PRODUCTOS[[#This Row],[CODIGO]],P_CRITICOS[CODIGO],P_CRITICOS[DESC CORTA],"",0)</f>
        <v>TERCIADO FENOLICO</v>
      </c>
      <c r="K142" s="81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23.273250000000008</v>
      </c>
      <c r="M142" s="2">
        <f>+IFERROR(PRODUCTOS[[#This Row],[PPTO]]*PRODUCTOS[[#This Row],[CANT X MODULO]],"")</f>
        <v>348679.83150000015</v>
      </c>
      <c r="N142" s="2">
        <f>+IFERROR(PRODUCTOS[[#This Row],[PPTO X MODULO]]*32,"")</f>
        <v>11157754.608000005</v>
      </c>
      <c r="O142" s="2">
        <f>+IFERROR(PRODUCTOS[[#This Row],[PPTO X TORRE]]*22,"")</f>
        <v>245470601.37600011</v>
      </c>
      <c r="P142" s="3">
        <f>+IFERROR(PRODUCTOS[[#This Row],[CANT X MODULO]]*702,"")</f>
        <v>16337.821500000005</v>
      </c>
      <c r="Q142" s="3">
        <f>+SUMIFS(DETALLE_GD_1[CANTIDAD SOLICITADA],DETALLE_GD_1[CODIGO],PRODUCTOS[[#This Row],[CODIGO]])</f>
        <v>2510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2510</v>
      </c>
      <c r="T142" s="3">
        <f>+IFERROR(PRODUCTOS[[#This Row],[CANTIDAD RECIBIDA]]/PRODUCTOS[[#This Row],[CANT X MODULO]],"")</f>
        <v>107.84914010720459</v>
      </c>
      <c r="U142" s="3">
        <f>+SUMIFS(DETALLE_GD_1[VALOR TOTAL POR ITEM GD],DETALLE_GD_1[CODIGO],PRODUCTOS[[#This Row],[CODIGO]])</f>
        <v>37819229</v>
      </c>
      <c r="V142" s="3">
        <f>+IFERROR(PRODUCTOS[[#This Row],[PRECIO DE COMPRA]]/PRODUCTOS[[#This Row],[CANT. COMPRADA]],"")</f>
        <v>15067.421912350597</v>
      </c>
      <c r="W142" s="3">
        <f>+IFERROR(PRODUCTOS[[#This Row],[PRECIO COMPRA UNITARIO]]*PRODUCTOS[[#This Row],[PPTO FALTANTE]],"")</f>
        <v>209050956.42321602</v>
      </c>
      <c r="X142" s="7">
        <f>+IFERROR(PRODUCTOS[[#This Row],[PROYECCION COMPRA]]/PRODUCTOS[[#This Row],[PPTO TOTAL]]-1,"")</f>
        <v>-0.1483666261810237</v>
      </c>
      <c r="Y142" s="3">
        <f>+IFERROR((PRODUCTOS[[#This Row],[CANT X MODULO]]*704)-PRODUCTOS[[#This Row],[CANT. COMPRADA]],"")</f>
        <v>13874.368000000006</v>
      </c>
      <c r="Z142" s="17">
        <f>+IFERROR(PRODUCTOS[[#This Row],[CANT. COMPRADA]]/PRODUCTOS[[#This Row],[PPTO FALTANTE]],"")</f>
        <v>0.1809091412307933</v>
      </c>
      <c r="AA142" s="3">
        <f>+IFERROR(PRODUCTOS[[#This Row],[PROYECCION COMPRA]]-(PRODUCTOS[[#This Row],[PPTO FALTANTE]]*PRODUCTOS[[#This Row],[PPTO]]),"")</f>
        <v>1185175.0472159386</v>
      </c>
      <c r="AB142" s="3">
        <f>+_xlfn.XLOOKUP(PRODUCTOS[[#This Row],[CODIGO]],DETALLE_GD_1[CODIGO],DETALLE_GD_1[VALOR PPTO],"",0)</f>
        <v>14982</v>
      </c>
      <c r="AC142" s="3">
        <f>+AB142-PRODUCTOS[[#This Row],[PPTO_ACTUALIZADO]]</f>
        <v>0</v>
      </c>
    </row>
    <row r="143" spans="1:29" x14ac:dyDescent="0.25">
      <c r="A143">
        <v>304101</v>
      </c>
      <c r="B143" s="81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s="81" t="str">
        <f>+_xlfn.XLOOKUP(PRODUCTOS[[#This Row],[CODIGO]],P_CRITICOS[CODIGO],P_CRITICOS[DESC CORTA],"",0)</f>
        <v>OSB 9.5</v>
      </c>
      <c r="K143" s="81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5137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5137</v>
      </c>
      <c r="T143" s="3">
        <f>+IFERROR(PRODUCTOS[[#This Row],[CANTIDAD RECIBIDA]]/PRODUCTOS[[#This Row],[CANT X MODULO]],"")</f>
        <v>107.82106782106787</v>
      </c>
      <c r="U143" s="3">
        <f>+SUMIFS(DETALLE_GD_1[VALOR TOTAL POR ITEM GD],DETALLE_GD_1[CODIGO],PRODUCTOS[[#This Row],[CODIGO]])</f>
        <v>49570780</v>
      </c>
      <c r="V143" s="3">
        <f>+IFERROR(PRODUCTOS[[#This Row],[PRECIO DE COMPRA]]/PRODUCTOS[[#This Row],[CANT. COMPRADA]],"")</f>
        <v>9649.7527739926027</v>
      </c>
      <c r="W143" s="3">
        <f>+IFERROR(PRODUCTOS[[#This Row],[PRECIO COMPRA UNITARIO]]*PRODUCTOS[[#This Row],[PPTO FALTANTE]],"")</f>
        <v>274093507.7430405</v>
      </c>
      <c r="X143" s="7">
        <f>+IFERROR(PRODUCTOS[[#This Row],[PROYECCION COMPRA]]/PRODUCTOS[[#This Row],[PPTO TOTAL]]-1,"")</f>
        <v>-0.15384196909019865</v>
      </c>
      <c r="Y143" s="3">
        <f>+IFERROR((PRODUCTOS[[#This Row],[CANT X MODULO]]*704)-PRODUCTOS[[#This Row],[CANT. COMPRADA]],"")</f>
        <v>28404.199999999983</v>
      </c>
      <c r="Z143" s="17">
        <f>+IFERROR(PRODUCTOS[[#This Row],[CANT. COMPRADA]]/PRODUCTOS[[#This Row],[PPTO FALTANTE]],"")</f>
        <v>0.18085353574471391</v>
      </c>
      <c r="AA143" s="3">
        <f>+IFERROR(PRODUCTOS[[#This Row],[PROYECCION COMPRA]]-(PRODUCTOS[[#This Row],[PPTO FALTANTE]]*PRODUCTOS[[#This Row],[PPTO]]),"")</f>
        <v>-222551.90634930134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412260</v>
      </c>
      <c r="B144" s="81" t="s">
        <v>41</v>
      </c>
      <c r="C144" t="s">
        <v>550</v>
      </c>
      <c r="D144" t="s">
        <v>240</v>
      </c>
      <c r="E144" t="s">
        <v>399</v>
      </c>
      <c r="F144" s="2">
        <v>87567.442477999997</v>
      </c>
      <c r="G144" s="6" t="s">
        <v>31</v>
      </c>
      <c r="H144" s="2">
        <v>87567.442477999983</v>
      </c>
      <c r="I144" t="b">
        <v>1</v>
      </c>
      <c r="J144" s="81" t="str">
        <f>+_xlfn.XLOOKUP(PRODUCTOS[[#This Row],[CODIGO]],P_CRITICOS[CODIGO],P_CRITICOS[DESC CORTA],"",0)</f>
        <v>HOLDOWN PB1</v>
      </c>
      <c r="K144" s="81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5.7750000000000004</v>
      </c>
      <c r="M144" s="2">
        <f>+IFERROR(PRODUCTOS[[#This Row],[PPTO]]*PRODUCTOS[[#This Row],[CANT X MODULO]],"")</f>
        <v>505701.98031045002</v>
      </c>
      <c r="N144" s="2">
        <f>+IFERROR(PRODUCTOS[[#This Row],[PPTO X MODULO]]*32,"")</f>
        <v>16182463.369934401</v>
      </c>
      <c r="O144" s="2">
        <f>+IFERROR(PRODUCTOS[[#This Row],[PPTO X TORRE]]*22,"")</f>
        <v>356014194.13855684</v>
      </c>
      <c r="P144" s="3">
        <f>+IFERROR(PRODUCTOS[[#This Row],[CANT X MODULO]]*702,"")</f>
        <v>4054.05</v>
      </c>
      <c r="Q144" s="3">
        <f>+SUMIFS(DETALLE_GD_1[CANTIDAD SOLICITADA],DETALLE_GD_1[CODIGO],PRODUCTOS[[#This Row],[CODIGO]])</f>
        <v>620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620</v>
      </c>
      <c r="T144" s="3">
        <f>+IFERROR(PRODUCTOS[[#This Row],[CANTIDAD RECIBIDA]]/PRODUCTOS[[#This Row],[CANT X MODULO]],"")</f>
        <v>107.35930735930735</v>
      </c>
      <c r="U144" s="3">
        <f>+SUMIFS(DETALLE_GD_1[VALOR TOTAL POR ITEM GD],DETALLE_GD_1[CODIGO],PRODUCTOS[[#This Row],[CODIGO]])</f>
        <v>53852106</v>
      </c>
      <c r="V144" s="3">
        <f>+IFERROR(PRODUCTOS[[#This Row],[PRECIO DE COMPRA]]/PRODUCTOS[[#This Row],[CANT. COMPRADA]],"")</f>
        <v>86858.235483870973</v>
      </c>
      <c r="W144" s="3">
        <f>+IFERROR(PRODUCTOS[[#This Row],[PRECIO COMPRA UNITARIO]]*PRODUCTOS[[#This Row],[PPTO FALTANTE]],"")</f>
        <v>299278736.18322587</v>
      </c>
      <c r="X144" s="7">
        <f>+IFERROR(PRODUCTOS[[#This Row],[PROYECCION COMPRA]]/PRODUCTOS[[#This Row],[PPTO TOTAL]]-1,"")</f>
        <v>-0.1593629099328836</v>
      </c>
      <c r="Y144" s="3">
        <f>+IFERROR((PRODUCTOS[[#This Row],[CANT X MODULO]]*704)-PRODUCTOS[[#This Row],[CANT. COMPRADA]],"")</f>
        <v>3445.6000000000004</v>
      </c>
      <c r="Z144" s="17">
        <f>+IFERROR(PRODUCTOS[[#This Row],[CANT. COMPRADA]]/PRODUCTOS[[#This Row],[PPTO FALTANTE]],"")</f>
        <v>0.17993963315532852</v>
      </c>
      <c r="AA144" s="3">
        <f>+IFERROR(PRODUCTOS[[#This Row],[PROYECCION COMPRA]]-(PRODUCTOS[[#This Row],[PPTO FALTANTE]]*PRODUCTOS[[#This Row],[PPTO]]),"")</f>
        <v>-2443643.6189709306</v>
      </c>
      <c r="AB144" s="3">
        <f>+_xlfn.XLOOKUP(PRODUCTOS[[#This Row],[CODIGO]],DETALLE_GD_1[CODIGO],DETALLE_GD_1[VALOR PPTO],"",0)</f>
        <v>87567.442500000005</v>
      </c>
      <c r="AC144" s="3">
        <f>+AB144-PRODUCTOS[[#This Row],[PPTO_ACTUALIZADO]]</f>
        <v>2.2000021999701858E-5</v>
      </c>
    </row>
    <row r="145" spans="1:29" x14ac:dyDescent="0.25">
      <c r="A145">
        <v>5309018</v>
      </c>
      <c r="B145" s="81" t="s">
        <v>112</v>
      </c>
      <c r="C145">
        <v>0</v>
      </c>
      <c r="D145" t="s">
        <v>244</v>
      </c>
      <c r="E145">
        <v>0</v>
      </c>
      <c r="F145" s="2">
        <v>699.99923200000001</v>
      </c>
      <c r="G145" s="6" t="s">
        <v>113</v>
      </c>
      <c r="H145" s="2">
        <v>699.99923200000046</v>
      </c>
      <c r="I145" t="b">
        <v>1</v>
      </c>
      <c r="J145" s="81" t="str">
        <f>+_xlfn.XLOOKUP(PRODUCTOS[[#This Row],[CODIGO]],P_CRITICOS[CODIGO],P_CRITICOS[DESC CORTA],"",0)</f>
        <v/>
      </c>
      <c r="K145" s="81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34.649999999999991</v>
      </c>
      <c r="M145" s="2">
        <f>+IFERROR(PRODUCTOS[[#This Row],[PPTO]]*PRODUCTOS[[#This Row],[CANT X MODULO]],"")</f>
        <v>24254.973388799994</v>
      </c>
      <c r="N145" s="2">
        <f>+IFERROR(PRODUCTOS[[#This Row],[PPTO X MODULO]]*32,"")</f>
        <v>776159.1484415998</v>
      </c>
      <c r="O145" s="2">
        <f>+IFERROR(PRODUCTOS[[#This Row],[PPTO X TORRE]]*22,"")</f>
        <v>17075501.265715197</v>
      </c>
      <c r="P145" s="3">
        <f>+IFERROR(PRODUCTOS[[#This Row],[CANT X MODULO]]*702,"")</f>
        <v>24324.299999999996</v>
      </c>
      <c r="Q145" s="3">
        <f>+SUMIFS(DETALLE_GD_1[CANTIDAD SOLICITADA],DETALLE_GD_1[CODIGO],PRODUCTOS[[#This Row],[CODIGO]])</f>
        <v>3700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3700</v>
      </c>
      <c r="T145" s="3">
        <f>+IFERROR(PRODUCTOS[[#This Row],[CANTIDAD RECIBIDA]]/PRODUCTOS[[#This Row],[CANT X MODULO]],"")</f>
        <v>106.78210678210681</v>
      </c>
      <c r="U145" s="3">
        <f>+SUMIFS(DETALLE_GD_1[VALOR TOTAL POR ITEM GD],DETALLE_GD_1[CODIGO],PRODUCTOS[[#This Row],[CODIGO]])</f>
        <v>2619115</v>
      </c>
      <c r="V145" s="3">
        <f>+IFERROR(PRODUCTOS[[#This Row],[PRECIO DE COMPRA]]/PRODUCTOS[[#This Row],[CANT. COMPRADA]],"")</f>
        <v>707.86891891891889</v>
      </c>
      <c r="W145" s="3">
        <f>+IFERROR(PRODUCTOS[[#This Row],[PRECIO COMPRA UNITARIO]]*PRODUCTOS[[#This Row],[PPTO FALTANTE]],"")</f>
        <v>14648356.260540536</v>
      </c>
      <c r="X145" s="7">
        <f>+IFERROR(PRODUCTOS[[#This Row],[PROYECCION COMPRA]]/PRODUCTOS[[#This Row],[PPTO TOTAL]]-1,"")</f>
        <v>-0.14214194754258658</v>
      </c>
      <c r="Y145" s="3">
        <f>+IFERROR((PRODUCTOS[[#This Row],[CANT X MODULO]]*704)-PRODUCTOS[[#This Row],[CANT. COMPRADA]],"")</f>
        <v>20693.599999999995</v>
      </c>
      <c r="Z145" s="17">
        <f>+IFERROR(PRODUCTOS[[#This Row],[CANT. COMPRADA]]/PRODUCTOS[[#This Row],[PPTO FALTANTE]],"")</f>
        <v>0.17879924227780575</v>
      </c>
      <c r="AA145" s="3">
        <f>+IFERROR(PRODUCTOS[[#This Row],[PROYECCION COMPRA]]-(PRODUCTOS[[#This Row],[PPTO FALTANTE]]*PRODUCTOS[[#This Row],[PPTO]]),"")</f>
        <v>162852.15322533995</v>
      </c>
      <c r="AB145" s="3">
        <f>+_xlfn.XLOOKUP(PRODUCTOS[[#This Row],[CODIGO]],DETALLE_GD_1[CODIGO],DETALLE_GD_1[VALOR PPTO],"",0)</f>
        <v>699.99919999999997</v>
      </c>
      <c r="AC145" s="3">
        <f>+AB145-PRODUCTOS[[#This Row],[PPTO_ACTUALIZADO]]</f>
        <v>-3.2000000487641955E-5</v>
      </c>
    </row>
    <row r="146" spans="1:29" x14ac:dyDescent="0.25">
      <c r="A146">
        <v>602255</v>
      </c>
      <c r="B146" s="81" t="s">
        <v>203</v>
      </c>
      <c r="C146">
        <v>0</v>
      </c>
      <c r="D146" t="s">
        <v>244</v>
      </c>
      <c r="E146" t="s">
        <v>407</v>
      </c>
      <c r="F146" s="2">
        <v>47889.5</v>
      </c>
      <c r="G146" s="6" t="s">
        <v>25</v>
      </c>
      <c r="H146" s="2">
        <v>47889.5</v>
      </c>
      <c r="I146" t="b">
        <v>1</v>
      </c>
      <c r="J146" s="81" t="str">
        <f>+_xlfn.XLOOKUP(PRODUCTOS[[#This Row],[CODIGO]],P_CRITICOS[CODIGO],P_CRITICOS[DESC CORTA],"",0)</f>
        <v/>
      </c>
      <c r="K146" s="81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0.30194718749999999</v>
      </c>
      <c r="M146" s="2">
        <f>+IFERROR(PRODUCTOS[[#This Row],[PPTO]]*PRODUCTOS[[#This Row],[CANT X MODULO]],"")</f>
        <v>14460.09983578125</v>
      </c>
      <c r="N146" s="2">
        <f>+IFERROR(PRODUCTOS[[#This Row],[PPTO X MODULO]]*32,"")</f>
        <v>462723.19474499999</v>
      </c>
      <c r="O146" s="2">
        <f>+IFERROR(PRODUCTOS[[#This Row],[PPTO X TORRE]]*22,"")</f>
        <v>10179910.284389999</v>
      </c>
      <c r="P146" s="3">
        <f>+IFERROR(PRODUCTOS[[#This Row],[CANT X MODULO]]*702,"")</f>
        <v>211.96692562499999</v>
      </c>
      <c r="Q146" s="3">
        <f>+SUMIFS(DETALLE_GD_1[CANTIDAD SOLICITADA],DETALLE_GD_1[CODIGO],PRODUCTOS[[#This Row],[CODIGO]])</f>
        <v>32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</v>
      </c>
      <c r="T146" s="3">
        <f>+IFERROR(PRODUCTOS[[#This Row],[CANTIDAD RECIBIDA]]/PRODUCTOS[[#This Row],[CANT X MODULO]],"")</f>
        <v>105.97879803069867</v>
      </c>
      <c r="U146" s="3">
        <f>+SUMIFS(DETALLE_GD_1[VALOR TOTAL POR ITEM GD],DETALLE_GD_1[CODIGO],PRODUCTOS[[#This Row],[CODIGO]])</f>
        <v>1532480</v>
      </c>
      <c r="V146" s="3">
        <f>+IFERROR(PRODUCTOS[[#This Row],[PRECIO DE COMPRA]]/PRODUCTOS[[#This Row],[CANT. COMPRADA]],"")</f>
        <v>47890</v>
      </c>
      <c r="W146" s="3">
        <f>+IFERROR(PRODUCTOS[[#This Row],[PRECIO COMPRA UNITARIO]]*PRODUCTOS[[#This Row],[PPTO FALTANTE]],"")</f>
        <v>8647536.5698000006</v>
      </c>
      <c r="X146" s="7">
        <f>+IFERROR(PRODUCTOS[[#This Row],[PROYECCION COMPRA]]/PRODUCTOS[[#This Row],[PPTO TOTAL]]-1,"")</f>
        <v>-0.1505291964055675</v>
      </c>
      <c r="Y146" s="3">
        <f>+IFERROR((PRODUCTOS[[#This Row],[CANT X MODULO]]*704)-PRODUCTOS[[#This Row],[CANT. COMPRADA]],"")</f>
        <v>180.57082</v>
      </c>
      <c r="Z146" s="17">
        <f>+IFERROR(PRODUCTOS[[#This Row],[CANT. COMPRADA]]/PRODUCTOS[[#This Row],[PPTO FALTANTE]],"")</f>
        <v>0.17721578713548514</v>
      </c>
      <c r="AA146" s="3">
        <f>+IFERROR(PRODUCTOS[[#This Row],[PROYECCION COMPRA]]-(PRODUCTOS[[#This Row],[PPTO FALTANTE]]*PRODUCTOS[[#This Row],[PPTO]]),"")</f>
        <v>90.285410000011325</v>
      </c>
      <c r="AB146" s="3">
        <f>+_xlfn.XLOOKUP(PRODUCTOS[[#This Row],[CODIGO]],DETALLE_GD_1[CODIGO],DETALLE_GD_1[VALOR PPTO],"",0)</f>
        <v>47889.5</v>
      </c>
      <c r="AC146" s="3">
        <f>+AB146-PRODUCTOS[[#This Row],[PPTO_ACTUALIZADO]]</f>
        <v>0</v>
      </c>
    </row>
    <row r="147" spans="1:29" x14ac:dyDescent="0.25">
      <c r="A147">
        <v>410126</v>
      </c>
      <c r="B147" s="81" t="s">
        <v>159</v>
      </c>
      <c r="C147">
        <v>0</v>
      </c>
      <c r="D147" t="s">
        <v>240</v>
      </c>
      <c r="E147">
        <v>0</v>
      </c>
      <c r="F147" s="2">
        <v>983.61888099999999</v>
      </c>
      <c r="G147" s="6" t="s">
        <v>31</v>
      </c>
      <c r="H147" s="2">
        <v>983.61888099999999</v>
      </c>
      <c r="I147" t="b">
        <v>1</v>
      </c>
      <c r="J147" s="81" t="str">
        <f>+_xlfn.XLOOKUP(PRODUCTOS[[#This Row],[CODIGO]],P_CRITICOS[CODIGO],P_CRITICOS[DESC CORTA],"",0)</f>
        <v/>
      </c>
      <c r="K147" s="81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10.5</v>
      </c>
      <c r="M147" s="2">
        <f>+IFERROR(PRODUCTOS[[#This Row],[PPTO]]*PRODUCTOS[[#This Row],[CANT X MODULO]],"")</f>
        <v>10327.998250500001</v>
      </c>
      <c r="N147" s="2">
        <f>+IFERROR(PRODUCTOS[[#This Row],[PPTO X MODULO]]*32,"")</f>
        <v>330495.94401600002</v>
      </c>
      <c r="O147" s="2">
        <f>+IFERROR(PRODUCTOS[[#This Row],[PPTO X TORRE]]*22,"")</f>
        <v>7270910.768352</v>
      </c>
      <c r="P147" s="3">
        <f>+IFERROR(PRODUCTOS[[#This Row],[CANT X MODULO]]*702,"")</f>
        <v>7371</v>
      </c>
      <c r="Q147" s="3">
        <f>+SUMIFS(DETALLE_GD_1[CANTIDAD SOLICITADA],DETALLE_GD_1[CODIGO],PRODUCTOS[[#This Row],[CODIGO]])</f>
        <v>1106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1106</v>
      </c>
      <c r="T147" s="3">
        <f>+IFERROR(PRODUCTOS[[#This Row],[CANTIDAD RECIBIDA]]/PRODUCTOS[[#This Row],[CANT X MODULO]],"")</f>
        <v>105.33333333333333</v>
      </c>
      <c r="U147" s="3">
        <f>+SUMIFS(DETALLE_GD_1[VALOR TOTAL POR ITEM GD],DETALLE_GD_1[CODIGO],PRODUCTOS[[#This Row],[CODIGO]])</f>
        <v>1088091</v>
      </c>
      <c r="V147" s="3">
        <f>+IFERROR(PRODUCTOS[[#This Row],[PRECIO DE COMPRA]]/PRODUCTOS[[#This Row],[CANT. COMPRADA]],"")</f>
        <v>983.80741410488247</v>
      </c>
      <c r="W147" s="3">
        <f>+IFERROR(PRODUCTOS[[#This Row],[PRECIO COMPRA UNITARIO]]*PRODUCTOS[[#This Row],[PPTO FALTANTE]],"")</f>
        <v>6184213.4050632911</v>
      </c>
      <c r="X147" s="7">
        <f>+IFERROR(PRODUCTOS[[#This Row],[PROYECCION COMPRA]]/PRODUCTOS[[#This Row],[PPTO TOTAL]]-1,"")</f>
        <v>-0.14945821753428234</v>
      </c>
      <c r="Y147" s="3">
        <f>+IFERROR((PRODUCTOS[[#This Row],[CANT X MODULO]]*704)-PRODUCTOS[[#This Row],[CANT. COMPRADA]],"")</f>
        <v>6286</v>
      </c>
      <c r="Z147" s="17">
        <f>+IFERROR(PRODUCTOS[[#This Row],[CANT. COMPRADA]]/PRODUCTOS[[#This Row],[PPTO FALTANTE]],"")</f>
        <v>0.17594654788418709</v>
      </c>
      <c r="AA147" s="3">
        <f>+IFERROR(PRODUCTOS[[#This Row],[PROYECCION COMPRA]]-(PRODUCTOS[[#This Row],[PPTO FALTANTE]]*PRODUCTOS[[#This Row],[PPTO]]),"")</f>
        <v>1185.1190972914919</v>
      </c>
      <c r="AB147" s="3">
        <f>+_xlfn.XLOOKUP(PRODUCTOS[[#This Row],[CODIGO]],DETALLE_GD_1[CODIGO],DETALLE_GD_1[VALOR PPTO],"",0)</f>
        <v>983.61890000000005</v>
      </c>
      <c r="AC147" s="3">
        <f>+AB147-PRODUCTOS[[#This Row],[PPTO_ACTUALIZADO]]</f>
        <v>1.9000000065716449E-5</v>
      </c>
    </row>
    <row r="148" spans="1:29" x14ac:dyDescent="0.25">
      <c r="A148" t="s">
        <v>166</v>
      </c>
      <c r="B148" s="81" t="s">
        <v>167</v>
      </c>
      <c r="C148" t="s">
        <v>533</v>
      </c>
      <c r="D148" t="s">
        <v>244</v>
      </c>
      <c r="E148">
        <v>0</v>
      </c>
      <c r="F148" s="2">
        <v>11882.387917</v>
      </c>
      <c r="G148" s="6" t="s">
        <v>26</v>
      </c>
      <c r="H148" s="2">
        <v>11882.387917</v>
      </c>
      <c r="I148" t="b">
        <v>1</v>
      </c>
      <c r="J148" s="81" t="str">
        <f>+_xlfn.XLOOKUP(PRODUCTOS[[#This Row],[CODIGO]],P_CRITICOS[CODIGO],P_CRITICOS[DESC CORTA],"",0)</f>
        <v>PISO TARKET</v>
      </c>
      <c r="K148" s="81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7.6124999999999998</v>
      </c>
      <c r="M148" s="2">
        <f>+IFERROR(PRODUCTOS[[#This Row],[PPTO]]*PRODUCTOS[[#This Row],[CANT X MODULO]],"")</f>
        <v>90454.678018162493</v>
      </c>
      <c r="N148" s="2">
        <f>+IFERROR(PRODUCTOS[[#This Row],[PPTO X MODULO]]*32,"")</f>
        <v>2894549.6965811998</v>
      </c>
      <c r="O148" s="2">
        <f>+IFERROR(PRODUCTOS[[#This Row],[PPTO X TORRE]]*22,"")</f>
        <v>63680093.324786395</v>
      </c>
      <c r="P148" s="3">
        <f>+IFERROR(PRODUCTOS[[#This Row],[CANT X MODULO]]*702,"")</f>
        <v>5343.9749999999995</v>
      </c>
      <c r="Q148" s="3">
        <f>+SUMIFS(DETALLE_GD_1[CANTIDAD SOLICITADA],DETALLE_GD_1[CODIGO],PRODUCTOS[[#This Row],[CODIGO]])</f>
        <v>800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800</v>
      </c>
      <c r="T148" s="3">
        <f>+IFERROR(PRODUCTOS[[#This Row],[CANTIDAD RECIBIDA]]/PRODUCTOS[[#This Row],[CANT X MODULO]],"")</f>
        <v>105.09031198686371</v>
      </c>
      <c r="U148" s="3">
        <f>+SUMIFS(DETALLE_GD_1[VALOR TOTAL POR ITEM GD],DETALLE_GD_1[CODIGO],PRODUCTOS[[#This Row],[CODIGO]])</f>
        <v>10666609</v>
      </c>
      <c r="V148" s="3">
        <f>+IFERROR(PRODUCTOS[[#This Row],[PRECIO DE COMPRA]]/PRODUCTOS[[#This Row],[CANT. COMPRADA]],"")</f>
        <v>13333.26125</v>
      </c>
      <c r="W148" s="3">
        <f>+IFERROR(PRODUCTOS[[#This Row],[PRECIO COMPRA UNITARIO]]*PRODUCTOS[[#This Row],[PPTO FALTANTE]],"")</f>
        <v>60789004.690999992</v>
      </c>
      <c r="X148" s="7">
        <f>+IFERROR(PRODUCTOS[[#This Row],[PROYECCION COMPRA]]/PRODUCTOS[[#This Row],[PPTO TOTAL]]-1,"")</f>
        <v>-4.5400194673726912E-2</v>
      </c>
      <c r="Y148" s="3">
        <f>+IFERROR((PRODUCTOS[[#This Row],[CANT X MODULO]]*704)-PRODUCTOS[[#This Row],[CANT. COMPRADA]],"")</f>
        <v>4559.2</v>
      </c>
      <c r="Z148" s="17">
        <f>+IFERROR(PRODUCTOS[[#This Row],[CANT. COMPRADA]]/PRODUCTOS[[#This Row],[PPTO FALTANTE]],"")</f>
        <v>0.1754693805930865</v>
      </c>
      <c r="AA148" s="3">
        <f>+IFERROR(PRODUCTOS[[#This Row],[PROYECCION COMPRA]]-(PRODUCTOS[[#This Row],[PPTO FALTANTE]]*PRODUCTOS[[#This Row],[PPTO]]),"")</f>
        <v>6614821.6998135969</v>
      </c>
      <c r="AB148" s="3">
        <f>+_xlfn.XLOOKUP(PRODUCTOS[[#This Row],[CODIGO]],DETALLE_GD_1[CODIGO],DETALLE_GD_1[VALOR PPTO],"",0)</f>
        <v>11882.3879</v>
      </c>
      <c r="AC148" s="3">
        <f>+AB148-PRODUCTOS[[#This Row],[PPTO_ACTUALIZADO]]</f>
        <v>-1.7000000298139639E-5</v>
      </c>
    </row>
    <row r="149" spans="1:29" x14ac:dyDescent="0.25">
      <c r="A149" t="s">
        <v>179</v>
      </c>
      <c r="B149" s="81" t="s">
        <v>180</v>
      </c>
      <c r="C149">
        <v>0</v>
      </c>
      <c r="D149" t="s">
        <v>240</v>
      </c>
      <c r="E149" t="s">
        <v>399</v>
      </c>
      <c r="F149" s="2">
        <v>55858.301887000001</v>
      </c>
      <c r="G149" s="6" t="s">
        <v>36</v>
      </c>
      <c r="H149" s="2">
        <v>55858.301886999994</v>
      </c>
      <c r="I149" t="b">
        <v>1</v>
      </c>
      <c r="J149" s="81" t="str">
        <f>+_xlfn.XLOOKUP(PRODUCTOS[[#This Row],[CODIGO]],P_CRITICOS[CODIGO],P_CRITICOS[DESC CORTA],"",0)</f>
        <v/>
      </c>
      <c r="K149" s="81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0.68833333333333335</v>
      </c>
      <c r="M149" s="2">
        <f>+IFERROR(PRODUCTOS[[#This Row],[PPTO]]*PRODUCTOS[[#This Row],[CANT X MODULO]],"")</f>
        <v>38449.131132218332</v>
      </c>
      <c r="N149" s="2">
        <f>+IFERROR(PRODUCTOS[[#This Row],[PPTO X MODULO]]*32,"")</f>
        <v>1230372.1962309866</v>
      </c>
      <c r="O149" s="2">
        <f>+IFERROR(PRODUCTOS[[#This Row],[PPTO X TORRE]]*22,"")</f>
        <v>27068188.317081705</v>
      </c>
      <c r="P149" s="3">
        <f>+IFERROR(PRODUCTOS[[#This Row],[CANT X MODULO]]*702,"")</f>
        <v>483.21000000000004</v>
      </c>
      <c r="Q149" s="3">
        <f>+SUMIFS(DETALLE_GD_1[CANTIDAD SOLICITADA],DETALLE_GD_1[CODIGO],PRODUCTOS[[#This Row],[CODIGO]])</f>
        <v>72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72</v>
      </c>
      <c r="T149" s="3">
        <f>+IFERROR(PRODUCTOS[[#This Row],[CANTIDAD RECIBIDA]]/PRODUCTOS[[#This Row],[CANT X MODULO]],"")</f>
        <v>104.60048426150121</v>
      </c>
      <c r="U149" s="3">
        <f>+SUMIFS(DETALLE_GD_1[VALOR TOTAL POR ITEM GD],DETALLE_GD_1[CODIGO],PRODUCTOS[[#This Row],[CODIGO]])</f>
        <v>4221794</v>
      </c>
      <c r="V149" s="3">
        <f>+IFERROR(PRODUCTOS[[#This Row],[PRECIO DE COMPRA]]/PRODUCTOS[[#This Row],[CANT. COMPRADA]],"")</f>
        <v>58636.027777777781</v>
      </c>
      <c r="W149" s="3">
        <f>+IFERROR(PRODUCTOS[[#This Row],[PRECIO COMPRA UNITARIO]]*PRODUCTOS[[#This Row],[PPTO FALTANTE]],"")</f>
        <v>24192443.24740741</v>
      </c>
      <c r="X149" s="7">
        <f>+IFERROR(PRODUCTOS[[#This Row],[PROYECCION COMPRA]]/PRODUCTOS[[#This Row],[PPTO TOTAL]]-1,"")</f>
        <v>-0.10624076631901958</v>
      </c>
      <c r="Y149" s="3">
        <f>+IFERROR((PRODUCTOS[[#This Row],[CANT X MODULO]]*704)-PRODUCTOS[[#This Row],[CANT. COMPRADA]],"")</f>
        <v>412.5866666666667</v>
      </c>
      <c r="Z149" s="17">
        <f>+IFERROR(PRODUCTOS[[#This Row],[CANT. COMPRADA]]/PRODUCTOS[[#This Row],[PPTO FALTANTE]],"")</f>
        <v>0.17450879007238881</v>
      </c>
      <c r="AA149" s="3">
        <f>+IFERROR(PRODUCTOS[[#This Row],[PROYECCION COMPRA]]-(PRODUCTOS[[#This Row],[PPTO FALTANTE]]*PRODUCTOS[[#This Row],[PPTO]]),"")</f>
        <v>1146052.6661897004</v>
      </c>
      <c r="AB149" s="3">
        <f>+_xlfn.XLOOKUP(PRODUCTOS[[#This Row],[CODIGO]],DETALLE_GD_1[CODIGO],DETALLE_GD_1[VALOR PPTO],"",0)</f>
        <v>55858.301899999999</v>
      </c>
      <c r="AC149" s="3">
        <f>+AB149-PRODUCTOS[[#This Row],[PPTO_ACTUALIZADO]]</f>
        <v>1.3000004400964826E-5</v>
      </c>
    </row>
    <row r="150" spans="1:29" x14ac:dyDescent="0.25">
      <c r="A150">
        <v>412313</v>
      </c>
      <c r="B150" s="81" t="s">
        <v>253</v>
      </c>
      <c r="C150">
        <v>0</v>
      </c>
      <c r="D150" t="s">
        <v>355</v>
      </c>
      <c r="E150" t="s">
        <v>355</v>
      </c>
      <c r="F150" s="2">
        <v>23724.067384999998</v>
      </c>
      <c r="G150" s="6" t="s">
        <v>36</v>
      </c>
      <c r="H150" s="2">
        <v>0</v>
      </c>
      <c r="I150" t="b">
        <v>0</v>
      </c>
      <c r="J150" s="81" t="str">
        <f>+_xlfn.XLOOKUP(PRODUCTOS[[#This Row],[CODIGO]],P_CRITICOS[CODIGO],P_CRITICOS[DESC CORTA],"",0)</f>
        <v/>
      </c>
      <c r="K150" s="81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0.86531250000000004</v>
      </c>
      <c r="M150" s="2">
        <f>+IFERROR(PRODUCTOS[[#This Row],[PPTO]]*PRODUCTOS[[#This Row],[CANT X MODULO]],"")</f>
        <v>20528.732059082813</v>
      </c>
      <c r="N150" s="2">
        <f>+IFERROR(PRODUCTOS[[#This Row],[PPTO X MODULO]]*32,"")</f>
        <v>656919.42589065002</v>
      </c>
      <c r="O150" s="2">
        <f>+IFERROR(PRODUCTOS[[#This Row],[PPTO X TORRE]]*22,"")</f>
        <v>14452227.3695943</v>
      </c>
      <c r="P150" s="3">
        <f>+IFERROR(PRODUCTOS[[#This Row],[CANT X MODULO]]*702,"")</f>
        <v>607.44937500000003</v>
      </c>
      <c r="Q150" s="3">
        <f>+SUMIFS(DETALLE_GD_1[CANTIDAD SOLICITADA],DETALLE_GD_1[CODIGO],PRODUCTOS[[#This Row],[CODIGO]])</f>
        <v>90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90</v>
      </c>
      <c r="T150" s="3">
        <f>+IFERROR(PRODUCTOS[[#This Row],[CANTIDAD RECIBIDA]]/PRODUCTOS[[#This Row],[CANT X MODULO]],"")</f>
        <v>104.00866738894908</v>
      </c>
      <c r="U150" s="3">
        <f>+SUMIFS(DETALLE_GD_1[VALOR TOTAL POR ITEM GD],DETALLE_GD_1[CODIGO],PRODUCTOS[[#This Row],[CODIGO]])</f>
        <v>2135164</v>
      </c>
      <c r="V150" s="3">
        <f>+IFERROR(PRODUCTOS[[#This Row],[PRECIO DE COMPRA]]/PRODUCTOS[[#This Row],[CANT. COMPRADA]],"")</f>
        <v>23724.044444444444</v>
      </c>
      <c r="W150" s="3">
        <f>+IFERROR(PRODUCTOS[[#This Row],[PRECIO COMPRA UNITARIO]]*PRODUCTOS[[#This Row],[PPTO FALTANTE]],"")</f>
        <v>12317049.394666668</v>
      </c>
      <c r="X150" s="7">
        <f>+IFERROR(PRODUCTOS[[#This Row],[PROYECCION COMPRA]]/PRODUCTOS[[#This Row],[PPTO TOTAL]]-1,"")</f>
        <v>-0.14774040847293768</v>
      </c>
      <c r="Y150" s="3">
        <f>+IFERROR((PRODUCTOS[[#This Row],[CANT X MODULO]]*704)-PRODUCTOS[[#This Row],[CANT. COMPRADA]],"")</f>
        <v>519.18000000000006</v>
      </c>
      <c r="Z150" s="17">
        <f>+IFERROR(PRODUCTOS[[#This Row],[CANT. COMPRADA]]/PRODUCTOS[[#This Row],[PPTO FALTANTE]],"")</f>
        <v>0.17335028313879577</v>
      </c>
      <c r="AA150" s="3">
        <f>+IFERROR(PRODUCTOS[[#This Row],[PROYECCION COMPRA]]-(PRODUCTOS[[#This Row],[PPTO FALTANTE]]*PRODUCTOS[[#This Row],[PPTO]]),"")</f>
        <v>-11.91027763299644</v>
      </c>
      <c r="AB150" s="3">
        <f>+_xlfn.XLOOKUP(PRODUCTOS[[#This Row],[CODIGO]],DETALLE_GD_1[CODIGO],DETALLE_GD_1[VALOR PPTO],"",0)</f>
        <v>23724.0674</v>
      </c>
      <c r="AC150" s="3">
        <f>+AB150-PRODUCTOS[[#This Row],[PPTO_ACTUALIZADO]]</f>
        <v>23724.0674</v>
      </c>
    </row>
    <row r="151" spans="1:29" x14ac:dyDescent="0.25">
      <c r="A151">
        <v>5314002</v>
      </c>
      <c r="B151" s="81" t="s">
        <v>342</v>
      </c>
      <c r="C151" t="s">
        <v>342</v>
      </c>
      <c r="D151">
        <v>0</v>
      </c>
      <c r="E151">
        <v>0</v>
      </c>
      <c r="F151" s="2">
        <v>311.91986600000001</v>
      </c>
      <c r="G151" s="6" t="s">
        <v>31</v>
      </c>
      <c r="H151" s="2">
        <v>0</v>
      </c>
      <c r="I151" t="b">
        <v>0</v>
      </c>
      <c r="J151" s="81" t="str">
        <f>+_xlfn.XLOOKUP(PRODUCTOS[[#This Row],[CODIGO]],P_CRITICOS[CODIGO],P_CRITICOS[DESC CORTA],"",0)</f>
        <v/>
      </c>
      <c r="K151" s="8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0.26250000000000001</v>
      </c>
      <c r="M151" s="2">
        <f>+IFERROR(PRODUCTOS[[#This Row],[PPTO]]*PRODUCTOS[[#This Row],[CANT X MODULO]],"")</f>
        <v>81.878964825000011</v>
      </c>
      <c r="N151" s="2">
        <f>+IFERROR(PRODUCTOS[[#This Row],[PPTO X MODULO]]*32,"")</f>
        <v>2620.1268744000004</v>
      </c>
      <c r="O151" s="2">
        <f>+IFERROR(PRODUCTOS[[#This Row],[PPTO X TORRE]]*22,"")</f>
        <v>57642.791236800011</v>
      </c>
      <c r="P151" s="3">
        <f>+IFERROR(PRODUCTOS[[#This Row],[CANT X MODULO]]*702,"")</f>
        <v>184.27500000000001</v>
      </c>
      <c r="Q151" s="3">
        <f>+SUMIFS(DETALLE_GD_1[CANTIDAD SOLICITADA],DETALLE_GD_1[CODIGO],PRODUCTOS[[#This Row],[CODIGO]])</f>
        <v>27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27</v>
      </c>
      <c r="T151" s="3">
        <f>+IFERROR(PRODUCTOS[[#This Row],[CANTIDAD RECIBIDA]]/PRODUCTOS[[#This Row],[CANT X MODULO]],"")</f>
        <v>102.85714285714285</v>
      </c>
      <c r="U151" s="3">
        <f>+SUMIFS(DETALLE_GD_1[VALOR TOTAL POR ITEM GD],DETALLE_GD_1[CODIGO],PRODUCTOS[[#This Row],[CODIGO]])</f>
        <v>8423</v>
      </c>
      <c r="V151" s="3">
        <f>+IFERROR(PRODUCTOS[[#This Row],[PRECIO DE COMPRA]]/PRODUCTOS[[#This Row],[CANT. COMPRADA]],"")</f>
        <v>311.96296296296299</v>
      </c>
      <c r="W151" s="3">
        <f>+IFERROR(PRODUCTOS[[#This Row],[PRECIO COMPRA UNITARIO]]*PRODUCTOS[[#This Row],[PPTO FALTANTE]],"")</f>
        <v>49227.755555555566</v>
      </c>
      <c r="X151" s="7">
        <f>+IFERROR(PRODUCTOS[[#This Row],[PROYECCION COMPRA]]/PRODUCTOS[[#This Row],[PPTO TOTAL]]-1,"")</f>
        <v>-0.14598591603024524</v>
      </c>
      <c r="Y151" s="3">
        <f>+IFERROR((PRODUCTOS[[#This Row],[CANT X MODULO]]*704)-PRODUCTOS[[#This Row],[CANT. COMPRADA]],"")</f>
        <v>157.80000000000001</v>
      </c>
      <c r="Z151" s="17">
        <f>+IFERROR(PRODUCTOS[[#This Row],[CANT. COMPRADA]]/PRODUCTOS[[#This Row],[PPTO FALTANTE]],"")</f>
        <v>0.17110266159695817</v>
      </c>
      <c r="AA151" s="3">
        <f>+IFERROR(PRODUCTOS[[#This Row],[PROYECCION COMPRA]]-(PRODUCTOS[[#This Row],[PPTO FALTANTE]]*PRODUCTOS[[#This Row],[PPTO]]),"")</f>
        <v>6.8007007555643213</v>
      </c>
      <c r="AB151" s="3">
        <f>+_xlfn.XLOOKUP(PRODUCTOS[[#This Row],[CODIGO]],DETALLE_GD_1[CODIGO],DETALLE_GD_1[VALOR PPTO],"",0)</f>
        <v>311.91989999999998</v>
      </c>
      <c r="AC151" s="3">
        <f>+AB151-PRODUCTOS[[#This Row],[PPTO_ACTUALIZADO]]</f>
        <v>311.91989999999998</v>
      </c>
    </row>
    <row r="152" spans="1:29" x14ac:dyDescent="0.25">
      <c r="A152">
        <v>412281</v>
      </c>
      <c r="B152" s="81" t="s">
        <v>326</v>
      </c>
      <c r="C152" t="s">
        <v>677</v>
      </c>
      <c r="D152" t="s">
        <v>240</v>
      </c>
      <c r="E152" t="s">
        <v>399</v>
      </c>
      <c r="F152" s="2">
        <v>0</v>
      </c>
      <c r="G152" s="6" t="s">
        <v>31</v>
      </c>
      <c r="H152" s="2">
        <v>0</v>
      </c>
      <c r="I152" t="b">
        <v>1</v>
      </c>
      <c r="J152" s="81" t="str">
        <f>+_xlfn.XLOOKUP(PRODUCTOS[[#This Row],[CODIGO]],P_CRITICOS[CODIGO],P_CRITICOS[DESC CORTA],"",0)</f>
        <v/>
      </c>
      <c r="K152" s="81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1.8374999999999999</v>
      </c>
      <c r="M152" s="2">
        <f>+IFERROR(PRODUCTOS[[#This Row],[PPTO]]*PRODUCTOS[[#This Row],[CANT X MODULO]],"")</f>
        <v>0</v>
      </c>
      <c r="N152" s="2">
        <f>+IFERROR(PRODUCTOS[[#This Row],[PPTO X MODULO]]*32,"")</f>
        <v>0</v>
      </c>
      <c r="O152" s="2">
        <f>+IFERROR(PRODUCTOS[[#This Row],[PPTO X TORRE]]*22,"")</f>
        <v>0</v>
      </c>
      <c r="P152" s="3">
        <f>+IFERROR(PRODUCTOS[[#This Row],[CANT X MODULO]]*702,"")</f>
        <v>1289.925</v>
      </c>
      <c r="Q152" s="3">
        <f>+SUMIFS(DETALLE_GD_1[CANTIDAD SOLICITADA],DETALLE_GD_1[CODIGO],PRODUCTOS[[#This Row],[CODIGO]])</f>
        <v>186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186</v>
      </c>
      <c r="T152" s="3">
        <f>+IFERROR(PRODUCTOS[[#This Row],[CANTIDAD RECIBIDA]]/PRODUCTOS[[#This Row],[CANT X MODULO]],"")</f>
        <v>101.22448979591837</v>
      </c>
      <c r="U152" s="3">
        <f>+SUMIFS(DETALLE_GD_1[VALOR TOTAL POR ITEM GD],DETALLE_GD_1[CODIGO],PRODUCTOS[[#This Row],[CODIGO]])</f>
        <v>1664968</v>
      </c>
      <c r="V152" s="3">
        <f>+IFERROR(PRODUCTOS[[#This Row],[PRECIO DE COMPRA]]/PRODUCTOS[[#This Row],[CANT. COMPRADA]],"")</f>
        <v>8951.4408602150543</v>
      </c>
      <c r="W152" s="3">
        <f>+IFERROR(PRODUCTOS[[#This Row],[PRECIO COMPRA UNITARIO]]*PRODUCTOS[[#This Row],[PPTO FALTANTE]],"")</f>
        <v>9914615.8967741933</v>
      </c>
      <c r="X152" s="7" t="str">
        <f>+IFERROR(PRODUCTOS[[#This Row],[PROYECCION COMPRA]]/PRODUCTOS[[#This Row],[PPTO TOTAL]]-1,"")</f>
        <v/>
      </c>
      <c r="Y152" s="3">
        <f>+IFERROR((PRODUCTOS[[#This Row],[CANT X MODULO]]*704)-PRODUCTOS[[#This Row],[CANT. COMPRADA]],"")</f>
        <v>1107.5999999999999</v>
      </c>
      <c r="Z152" s="17">
        <f>+IFERROR(PRODUCTOS[[#This Row],[CANT. COMPRADA]]/PRODUCTOS[[#This Row],[PPTO FALTANTE]],"")</f>
        <v>0.16793066088840738</v>
      </c>
      <c r="AA152" s="3">
        <f>+IFERROR(PRODUCTOS[[#This Row],[PROYECCION COMPRA]]-(PRODUCTOS[[#This Row],[PPTO FALTANTE]]*PRODUCTOS[[#This Row],[PPTO]]),"")</f>
        <v>9914615.8967741933</v>
      </c>
      <c r="AB152" s="3">
        <f>+_xlfn.XLOOKUP(PRODUCTOS[[#This Row],[CODIGO]],DETALLE_GD_1[CODIGO],DETALLE_GD_1[VALOR PPTO],"",0)</f>
        <v>0</v>
      </c>
      <c r="AC152" s="3">
        <f>+AB152-PRODUCTOS[[#This Row],[PPTO_ACTUALIZADO]]</f>
        <v>0</v>
      </c>
    </row>
    <row r="153" spans="1:29" x14ac:dyDescent="0.25">
      <c r="A153">
        <v>407049</v>
      </c>
      <c r="B153" s="81" t="s">
        <v>232</v>
      </c>
      <c r="C153">
        <v>0</v>
      </c>
      <c r="D153" t="s">
        <v>240</v>
      </c>
      <c r="E153" t="s">
        <v>399</v>
      </c>
      <c r="F153" s="2">
        <v>16.202162000000001</v>
      </c>
      <c r="G153" s="6" t="s">
        <v>31</v>
      </c>
      <c r="H153" s="2">
        <v>16.202162000000001</v>
      </c>
      <c r="I153" t="b">
        <v>1</v>
      </c>
      <c r="J153" s="81" t="str">
        <f>+_xlfn.XLOOKUP(PRODUCTOS[[#This Row],[CODIGO]],P_CRITICOS[CODIGO],P_CRITICOS[DESC CORTA],"",0)</f>
        <v/>
      </c>
      <c r="K153" s="81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52.5</v>
      </c>
      <c r="M153" s="2">
        <f>+IFERROR(PRODUCTOS[[#This Row],[PPTO]]*PRODUCTOS[[#This Row],[CANT X MODULO]],"")</f>
        <v>850.61350500000003</v>
      </c>
      <c r="N153" s="2">
        <f>+IFERROR(PRODUCTOS[[#This Row],[PPTO X MODULO]]*32,"")</f>
        <v>27219.632160000001</v>
      </c>
      <c r="O153" s="2">
        <f>+IFERROR(PRODUCTOS[[#This Row],[PPTO X TORRE]]*22,"")</f>
        <v>598831.90752000001</v>
      </c>
      <c r="P153" s="3">
        <f>+IFERROR(PRODUCTOS[[#This Row],[CANT X MODULO]]*702,"")</f>
        <v>36855</v>
      </c>
      <c r="Q153" s="3">
        <f>+SUMIFS(DETALLE_GD_1[CANTIDAD SOLICITADA],DETALLE_GD_1[CODIGO],PRODUCTOS[[#This Row],[CODIGO]])</f>
        <v>5255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5255</v>
      </c>
      <c r="T153" s="3">
        <f>+IFERROR(PRODUCTOS[[#This Row],[CANTIDAD RECIBIDA]]/PRODUCTOS[[#This Row],[CANT X MODULO]],"")</f>
        <v>100.0952380952381</v>
      </c>
      <c r="U153" s="3">
        <f>+SUMIFS(DETALLE_GD_1[VALOR TOTAL POR ITEM GD],DETALLE_GD_1[CODIGO],PRODUCTOS[[#This Row],[CODIGO]])</f>
        <v>85141</v>
      </c>
      <c r="V153" s="3">
        <f>+IFERROR(PRODUCTOS[[#This Row],[PRECIO DE COMPRA]]/PRODUCTOS[[#This Row],[CANT. COMPRADA]],"")</f>
        <v>16.201902949571835</v>
      </c>
      <c r="W153" s="3">
        <f>+IFERROR(PRODUCTOS[[#This Row],[PRECIO COMPRA UNITARIO]]*PRODUCTOS[[#This Row],[PPTO FALTANTE]],"")</f>
        <v>513681.33301617502</v>
      </c>
      <c r="X153" s="7">
        <f>+IFERROR(PRODUCTOS[[#This Row],[PROYECCION COMPRA]]/PRODUCTOS[[#This Row],[PPTO TOTAL]]-1,"")</f>
        <v>-0.14219445128845465</v>
      </c>
      <c r="Y153" s="3">
        <f>+IFERROR((PRODUCTOS[[#This Row],[CANT X MODULO]]*704)-PRODUCTOS[[#This Row],[CANT. COMPRADA]],"")</f>
        <v>31705</v>
      </c>
      <c r="Z153" s="17">
        <f>+IFERROR(PRODUCTOS[[#This Row],[CANT. COMPRADA]]/PRODUCTOS[[#This Row],[PPTO FALTANTE]],"")</f>
        <v>0.16574672764548179</v>
      </c>
      <c r="AA153" s="3">
        <f>+IFERROR(PRODUCTOS[[#This Row],[PROYECCION COMPRA]]-(PRODUCTOS[[#This Row],[PPTO FALTANTE]]*PRODUCTOS[[#This Row],[PPTO]]),"")</f>
        <v>-8.2131938250386156</v>
      </c>
      <c r="AB153" s="3">
        <f>+_xlfn.XLOOKUP(PRODUCTOS[[#This Row],[CODIGO]],DETALLE_GD_1[CODIGO],DETALLE_GD_1[VALOR PPTO],"",0)</f>
        <v>16.202200000000001</v>
      </c>
      <c r="AC153" s="3">
        <f>+AB153-PRODUCTOS[[#This Row],[PPTO_ACTUALIZADO]]</f>
        <v>3.7999999999982492E-5</v>
      </c>
    </row>
    <row r="154" spans="1:29" x14ac:dyDescent="0.25">
      <c r="A154">
        <v>409011</v>
      </c>
      <c r="B154" s="81" t="s">
        <v>251</v>
      </c>
      <c r="C154">
        <v>0</v>
      </c>
      <c r="D154">
        <v>0</v>
      </c>
      <c r="E154">
        <v>0</v>
      </c>
      <c r="F154" s="2">
        <v>13713.269504</v>
      </c>
      <c r="G154" s="6" t="s">
        <v>137</v>
      </c>
      <c r="H154" s="2">
        <v>0</v>
      </c>
      <c r="I154" t="b">
        <v>0</v>
      </c>
      <c r="J154" s="81" t="str">
        <f>+_xlfn.XLOOKUP(PRODUCTOS[[#This Row],[CODIGO]],P_CRITICOS[CODIGO],P_CRITICOS[DESC CORTA],"",0)</f>
        <v/>
      </c>
      <c r="K154" s="81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0.13125000000000001</v>
      </c>
      <c r="M154" s="2">
        <f>+IFERROR(PRODUCTOS[[#This Row],[PPTO]]*PRODUCTOS[[#This Row],[CANT X MODULO]],"")</f>
        <v>1799.8666224000001</v>
      </c>
      <c r="N154" s="2">
        <f>+IFERROR(PRODUCTOS[[#This Row],[PPTO X MODULO]]*32,"")</f>
        <v>57595.731916800003</v>
      </c>
      <c r="O154" s="2">
        <f>+IFERROR(PRODUCTOS[[#This Row],[PPTO X TORRE]]*22,"")</f>
        <v>1267106.1021696001</v>
      </c>
      <c r="P154" s="3">
        <f>+IFERROR(PRODUCTOS[[#This Row],[CANT X MODULO]]*702,"")</f>
        <v>92.137500000000003</v>
      </c>
      <c r="Q154" s="3">
        <f>+SUMIFS(DETALLE_GD_1[CANTIDAD SOLICITADA],DETALLE_GD_1[CODIGO],PRODUCTOS[[#This Row],[CODIGO]])</f>
        <v>13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13</v>
      </c>
      <c r="T154" s="3">
        <f>+IFERROR(PRODUCTOS[[#This Row],[CANTIDAD RECIBIDA]]/PRODUCTOS[[#This Row],[CANT X MODULO]],"")</f>
        <v>99.047619047619037</v>
      </c>
      <c r="U154" s="3">
        <f>+SUMIFS(DETALLE_GD_1[VALOR TOTAL POR ITEM GD],DETALLE_GD_1[CODIGO],PRODUCTOS[[#This Row],[CODIGO]])</f>
        <v>192563</v>
      </c>
      <c r="V154" s="3">
        <f>+IFERROR(PRODUCTOS[[#This Row],[PRECIO DE COMPRA]]/PRODUCTOS[[#This Row],[CANT. COMPRADA]],"")</f>
        <v>14812.538461538461</v>
      </c>
      <c r="W154" s="3">
        <f>+IFERROR(PRODUCTOS[[#This Row],[PRECIO COMPRA UNITARIO]]*PRODUCTOS[[#This Row],[PPTO FALTANTE]],"")</f>
        <v>1176115.5538461539</v>
      </c>
      <c r="X154" s="7">
        <f>+IFERROR(PRODUCTOS[[#This Row],[PROYECCION COMPRA]]/PRODUCTOS[[#This Row],[PPTO TOTAL]]-1,"")</f>
        <v>-7.1809730982786535E-2</v>
      </c>
      <c r="Y154" s="3">
        <f>+IFERROR((PRODUCTOS[[#This Row],[CANT X MODULO]]*704)-PRODUCTOS[[#This Row],[CANT. COMPRADA]],"")</f>
        <v>79.400000000000006</v>
      </c>
      <c r="Z154" s="17">
        <f>+IFERROR(PRODUCTOS[[#This Row],[CANT. COMPRADA]]/PRODUCTOS[[#This Row],[PPTO FALTANTE]],"")</f>
        <v>0.16372795969773299</v>
      </c>
      <c r="AA154" s="3">
        <f>+IFERROR(PRODUCTOS[[#This Row],[PROYECCION COMPRA]]-(PRODUCTOS[[#This Row],[PPTO FALTANTE]]*PRODUCTOS[[#This Row],[PPTO]]),"")</f>
        <v>87281.955228553852</v>
      </c>
      <c r="AB154" s="3">
        <f>+_xlfn.XLOOKUP(PRODUCTOS[[#This Row],[CODIGO]],DETALLE_GD_1[CODIGO],DETALLE_GD_1[VALOR PPTO],"",0)</f>
        <v>13713.2695</v>
      </c>
      <c r="AC154" s="3">
        <f>+AB154-PRODUCTOS[[#This Row],[PPTO_ACTUALIZADO]]</f>
        <v>13713.2695</v>
      </c>
    </row>
    <row r="155" spans="1:29" x14ac:dyDescent="0.25">
      <c r="A155">
        <v>302010</v>
      </c>
      <c r="B155" s="81" t="s">
        <v>323</v>
      </c>
      <c r="C155" t="s">
        <v>536</v>
      </c>
      <c r="D155" t="s">
        <v>240</v>
      </c>
      <c r="E155" t="s">
        <v>403</v>
      </c>
      <c r="F155" s="2">
        <v>6585.1337450000001</v>
      </c>
      <c r="G155" s="6" t="s">
        <v>20</v>
      </c>
      <c r="H155" s="2">
        <v>6585.1337449999919</v>
      </c>
      <c r="I155" t="b">
        <v>0</v>
      </c>
      <c r="J155" s="81" t="str">
        <f>+_xlfn.XLOOKUP(PRODUCTOS[[#This Row],[CODIGO]],P_CRITICOS[CODIGO],P_CRITICOS[DESC CORTA],"",0)</f>
        <v>PINO 2X6X320</v>
      </c>
      <c r="K155" s="81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34.912500000000023</v>
      </c>
      <c r="M155" s="2">
        <f>+IFERROR(PRODUCTOS[[#This Row],[PPTO]]*PRODUCTOS[[#This Row],[CANT X MODULO]],"")</f>
        <v>229903.48187231267</v>
      </c>
      <c r="N155" s="2">
        <f>+IFERROR(PRODUCTOS[[#This Row],[PPTO X MODULO]]*32,"")</f>
        <v>7356911.4199140053</v>
      </c>
      <c r="O155" s="2">
        <f>+IFERROR(PRODUCTOS[[#This Row],[PPTO X TORRE]]*22,"")</f>
        <v>161852051.23810813</v>
      </c>
      <c r="P155" s="3">
        <f>+IFERROR(PRODUCTOS[[#This Row],[CANT X MODULO]]*702,"")</f>
        <v>24508.575000000015</v>
      </c>
      <c r="Q155" s="3">
        <f>+SUMIFS(DETALLE_GD_1[CANTIDAD SOLICITADA],DETALLE_GD_1[CODIGO],PRODUCTOS[[#This Row],[CODIGO]])</f>
        <v>4032</v>
      </c>
      <c r="R155" s="3">
        <f>+SUMIFS(DETALLE_GD_1[DEVOLUCIÓN],DETALLE_GD_1[CODIGO],PRODUCTOS[[#This Row],[CODIGO]])</f>
        <v>588</v>
      </c>
      <c r="S155" s="3">
        <f>+PRODUCTOS[[#This Row],[CANT. COMPRADA]]-PRODUCTOS[[#This Row],[DEVOLUCIONES]]</f>
        <v>3444</v>
      </c>
      <c r="T155" s="3">
        <f>+IFERROR(PRODUCTOS[[#This Row],[CANTIDAD RECIBIDA]]/PRODUCTOS[[#This Row],[CANT X MODULO]],"")</f>
        <v>98.646616541353325</v>
      </c>
      <c r="U155" s="3">
        <f>+SUMIFS(DETALLE_GD_1[VALOR TOTAL POR ITEM GD],DETALLE_GD_1[CODIGO],PRODUCTOS[[#This Row],[CODIGO]])</f>
        <v>22944301</v>
      </c>
      <c r="V155" s="3">
        <f>+IFERROR(PRODUCTOS[[#This Row],[PRECIO DE COMPRA]]/PRODUCTOS[[#This Row],[CANT. COMPRADA]],"")</f>
        <v>5690.5508432539682</v>
      </c>
      <c r="W155" s="3">
        <f>+IFERROR(PRODUCTOS[[#This Row],[PRECIO COMPRA UNITARIO]]*PRODUCTOS[[#This Row],[PPTO FALTANTE]],"")</f>
        <v>116920333.84583342</v>
      </c>
      <c r="X155" s="7">
        <f>+IFERROR(PRODUCTOS[[#This Row],[PROYECCION COMPRA]]/PRODUCTOS[[#This Row],[PPTO TOTAL]]-1,"")</f>
        <v>-0.27760981123540751</v>
      </c>
      <c r="Y155" s="3">
        <f>+IFERROR((PRODUCTOS[[#This Row],[CANT X MODULO]]*704)-PRODUCTOS[[#This Row],[CANT. COMPRADA]],"")</f>
        <v>20546.400000000016</v>
      </c>
      <c r="Z155" s="17">
        <f>+IFERROR(PRODUCTOS[[#This Row],[CANT. COMPRADA]]/PRODUCTOS[[#This Row],[PPTO FALTANTE]],"")</f>
        <v>0.19623875715453787</v>
      </c>
      <c r="AA155" s="3">
        <f>+IFERROR(PRODUCTOS[[#This Row],[PROYECCION COMPRA]]-(PRODUCTOS[[#This Row],[PPTO FALTANTE]]*PRODUCTOS[[#This Row],[PPTO]]),"")</f>
        <v>-18380458.132434696</v>
      </c>
      <c r="AB155" s="3">
        <f>+_xlfn.XLOOKUP(PRODUCTOS[[#This Row],[CODIGO]],DETALLE_GD_1[CODIGO],DETALLE_GD_1[VALOR PPTO],"",0)</f>
        <v>6585.1337000000003</v>
      </c>
      <c r="AC155" s="3">
        <f>+AB155-PRODUCTOS[[#This Row],[PPTO_ACTUALIZADO]]</f>
        <v>-4.4999991587246768E-5</v>
      </c>
    </row>
    <row r="156" spans="1:29" x14ac:dyDescent="0.25">
      <c r="A156">
        <v>1808003</v>
      </c>
      <c r="B156" s="81" t="s">
        <v>195</v>
      </c>
      <c r="C156">
        <v>0</v>
      </c>
      <c r="D156" t="s">
        <v>244</v>
      </c>
      <c r="E156" t="s">
        <v>406</v>
      </c>
      <c r="F156" s="2">
        <v>167.74485799999999</v>
      </c>
      <c r="G156" s="6" t="s">
        <v>31</v>
      </c>
      <c r="H156" s="2">
        <v>167.74485800000002</v>
      </c>
      <c r="I156" t="b">
        <v>1</v>
      </c>
      <c r="J156" s="81" t="str">
        <f>+_xlfn.XLOOKUP(PRODUCTOS[[#This Row],[CODIGO]],P_CRITICOS[CODIGO],P_CRITICOS[DESC CORTA],"",0)</f>
        <v/>
      </c>
      <c r="K156" s="81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0.91874999999999996</v>
      </c>
      <c r="M156" s="2">
        <f>+IFERROR(PRODUCTOS[[#This Row],[PPTO]]*PRODUCTOS[[#This Row],[CANT X MODULO]],"")</f>
        <v>154.11558828749997</v>
      </c>
      <c r="N156" s="2">
        <f>+IFERROR(PRODUCTOS[[#This Row],[PPTO X MODULO]]*32,"")</f>
        <v>4931.6988251999992</v>
      </c>
      <c r="O156" s="2">
        <f>+IFERROR(PRODUCTOS[[#This Row],[PPTO X TORRE]]*22,"")</f>
        <v>108497.37415439998</v>
      </c>
      <c r="P156" s="3">
        <f>+IFERROR(PRODUCTOS[[#This Row],[CANT X MODULO]]*702,"")</f>
        <v>644.96249999999998</v>
      </c>
      <c r="Q156" s="3">
        <f>+SUMIFS(DETALLE_GD_1[CANTIDAD SOLICITADA],DETALLE_GD_1[CODIGO],PRODUCTOS[[#This Row],[CODIGO]])</f>
        <v>89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89</v>
      </c>
      <c r="T156" s="3">
        <f>+IFERROR(PRODUCTOS[[#This Row],[CANTIDAD RECIBIDA]]/PRODUCTOS[[#This Row],[CANT X MODULO]],"")</f>
        <v>96.870748299319729</v>
      </c>
      <c r="U156" s="3">
        <f>+SUMIFS(DETALLE_GD_1[VALOR TOTAL POR ITEM GD],DETALLE_GD_1[CODIGO],PRODUCTOS[[#This Row],[CODIGO]])</f>
        <v>14929</v>
      </c>
      <c r="V156" s="3">
        <f>+IFERROR(PRODUCTOS[[#This Row],[PRECIO DE COMPRA]]/PRODUCTOS[[#This Row],[CANT. COMPRADA]],"")</f>
        <v>167.74157303370785</v>
      </c>
      <c r="W156" s="3">
        <f>+IFERROR(PRODUCTOS[[#This Row],[PRECIO COMPRA UNITARIO]]*PRODUCTOS[[#This Row],[PPTO FALTANTE]],"")</f>
        <v>93566.249438202227</v>
      </c>
      <c r="X156" s="7">
        <f>+IFERROR(PRODUCTOS[[#This Row],[PROYECCION COMPRA]]/PRODUCTOS[[#This Row],[PPTO TOTAL]]-1,"")</f>
        <v>-0.13761738320919759</v>
      </c>
      <c r="Y156" s="3">
        <f>+IFERROR((PRODUCTOS[[#This Row],[CANT X MODULO]]*704)-PRODUCTOS[[#This Row],[CANT. COMPRADA]],"")</f>
        <v>557.79999999999995</v>
      </c>
      <c r="Z156" s="17">
        <f>+IFERROR(PRODUCTOS[[#This Row],[CANT. COMPRADA]]/PRODUCTOS[[#This Row],[PPTO FALTANTE]],"")</f>
        <v>0.15955539619935463</v>
      </c>
      <c r="AA156" s="3">
        <f>+IFERROR(PRODUCTOS[[#This Row],[PROYECCION COMPRA]]-(PRODUCTOS[[#This Row],[PPTO FALTANTE]]*PRODUCTOS[[#This Row],[PPTO]]),"")</f>
        <v>-1.832354197758832</v>
      </c>
      <c r="AB156" s="3">
        <f>+_xlfn.XLOOKUP(PRODUCTOS[[#This Row],[CODIGO]],DETALLE_GD_1[CODIGO],DETALLE_GD_1[VALOR PPTO],"",0)</f>
        <v>167.7449</v>
      </c>
      <c r="AC156" s="3">
        <f>+AB156-PRODUCTOS[[#This Row],[PPTO_ACTUALIZADO]]</f>
        <v>4.1999999979225322E-5</v>
      </c>
    </row>
    <row r="157" spans="1:29" x14ac:dyDescent="0.25">
      <c r="A157">
        <v>407115</v>
      </c>
      <c r="B157" s="81" t="s">
        <v>282</v>
      </c>
      <c r="C157">
        <v>0</v>
      </c>
      <c r="D157" t="s">
        <v>240</v>
      </c>
      <c r="E157" t="s">
        <v>399</v>
      </c>
      <c r="F157" s="2">
        <v>547.98400000000004</v>
      </c>
      <c r="G157" s="6" t="s">
        <v>31</v>
      </c>
      <c r="H157" s="2">
        <v>567</v>
      </c>
      <c r="I157" t="b">
        <v>0</v>
      </c>
      <c r="J157" s="81" t="str">
        <f>+_xlfn.XLOOKUP(PRODUCTOS[[#This Row],[CODIGO]],P_CRITICOS[CODIGO],P_CRITICOS[DESC CORTA],"",0)</f>
        <v/>
      </c>
      <c r="K157" s="81" t="str">
        <f>+IFERROR(IF(VLOOKUP(PRODUCTOS[[#This Row],[CODIGO]],P_CRITICOS[],3,0)="*","PRODUCTO CRITICO","NO CRITICO"),"NO CRITICO")</f>
        <v>NO CRITICO</v>
      </c>
      <c r="L157" s="15">
        <f>+_xlfn.XLOOKUP(PRODUCTOS[[#This Row],[CODIGO]],BD_MODULO[Artículo],BD_MODULO[CUB_ACTUALIZADA],"",0)</f>
        <v>4.2</v>
      </c>
      <c r="M157" s="2">
        <f>+IFERROR(PRODUCTOS[[#This Row],[PPTO]]*PRODUCTOS[[#This Row],[CANT X MODULO]],"")</f>
        <v>2301.5328000000004</v>
      </c>
      <c r="N157" s="2">
        <f>+IFERROR(PRODUCTOS[[#This Row],[PPTO X MODULO]]*32,"")</f>
        <v>73649.049600000013</v>
      </c>
      <c r="O157" s="2">
        <f>+IFERROR(PRODUCTOS[[#This Row],[PPTO X TORRE]]*22,"")</f>
        <v>1620279.0912000004</v>
      </c>
      <c r="P157" s="3">
        <f>+IFERROR(PRODUCTOS[[#This Row],[CANT X MODULO]]*702,"")</f>
        <v>2948.4</v>
      </c>
      <c r="Q157" s="3">
        <f>+SUMIFS(DETALLE_GD_1[CANTIDAD SOLICITADA],DETALLE_GD_1[CODIGO],PRODUCTOS[[#This Row],[CODIGO]])</f>
        <v>400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400</v>
      </c>
      <c r="T157" s="3">
        <f>+IFERROR(PRODUCTOS[[#This Row],[CANTIDAD RECIBIDA]]/PRODUCTOS[[#This Row],[CANT X MODULO]],"")</f>
        <v>95.238095238095241</v>
      </c>
      <c r="U157" s="3">
        <f>+SUMIFS(DETALLE_GD_1[VALOR TOTAL POR ITEM GD],DETALLE_GD_1[CODIGO],PRODUCTOS[[#This Row],[CODIGO]])</f>
        <v>219193</v>
      </c>
      <c r="V157" s="3">
        <f>+IFERROR(PRODUCTOS[[#This Row],[PRECIO DE COMPRA]]/PRODUCTOS[[#This Row],[CANT. COMPRADA]],"")</f>
        <v>547.98249999999996</v>
      </c>
      <c r="W157" s="3">
        <f>+IFERROR(PRODUCTOS[[#This Row],[PRECIO COMPRA UNITARIO]]*PRODUCTOS[[#This Row],[PPTO FALTANTE]],"")</f>
        <v>1401081.656</v>
      </c>
      <c r="X157" s="7">
        <f>+IFERROR(PRODUCTOS[[#This Row],[PROYECCION COMPRA]]/PRODUCTOS[[#This Row],[PPTO TOTAL]]-1,"")</f>
        <v>-0.13528375228100975</v>
      </c>
      <c r="Y157" s="3">
        <f>+IFERROR((PRODUCTOS[[#This Row],[CANT X MODULO]]*704)-PRODUCTOS[[#This Row],[CANT. COMPRADA]],"")</f>
        <v>2556.8000000000002</v>
      </c>
      <c r="Z157" s="17">
        <f>+IFERROR(PRODUCTOS[[#This Row],[CANT. COMPRADA]]/PRODUCTOS[[#This Row],[PPTO FALTANTE]],"")</f>
        <v>0.15644555694618273</v>
      </c>
      <c r="AA157" s="3">
        <f>+IFERROR(PRODUCTOS[[#This Row],[PROYECCION COMPRA]]-(PRODUCTOS[[#This Row],[PPTO FALTANTE]]*PRODUCTOS[[#This Row],[PPTO]]),"")</f>
        <v>-3.8352000003214926</v>
      </c>
      <c r="AB157" s="3">
        <f>+_xlfn.XLOOKUP(PRODUCTOS[[#This Row],[CODIGO]],DETALLE_GD_1[CODIGO],DETALLE_GD_1[VALOR PPTO],"",0)</f>
        <v>567</v>
      </c>
      <c r="AC157" s="3">
        <f>+AB157-PRODUCTOS[[#This Row],[PPTO_ACTUALIZADO]]</f>
        <v>0</v>
      </c>
    </row>
    <row r="158" spans="1:29" x14ac:dyDescent="0.25">
      <c r="A158">
        <v>1103087</v>
      </c>
      <c r="B158" s="81" t="s">
        <v>490</v>
      </c>
      <c r="C158" t="s">
        <v>685</v>
      </c>
      <c r="D158" t="s">
        <v>355</v>
      </c>
      <c r="E158" t="s">
        <v>355</v>
      </c>
      <c r="G158" s="6" t="s">
        <v>137</v>
      </c>
      <c r="H158" s="2">
        <v>9841</v>
      </c>
      <c r="I158" t="b">
        <v>0</v>
      </c>
      <c r="J158" s="81" t="str">
        <f>+_xlfn.XLOOKUP(PRODUCTOS[[#This Row],[CODIGO]],P_CRITICOS[CODIGO],P_CRITICOS[DESC CORTA],"",0)</f>
        <v/>
      </c>
      <c r="K158" s="81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0.52500000000000002</v>
      </c>
      <c r="M158" s="2">
        <f>+IFERROR(PRODUCTOS[[#This Row],[PPTO]]*PRODUCTOS[[#This Row],[CANT X MODULO]],"")</f>
        <v>0</v>
      </c>
      <c r="N158" s="2">
        <f>+IFERROR(PRODUCTOS[[#This Row],[PPTO X MODULO]]*32,"")</f>
        <v>0</v>
      </c>
      <c r="O158" s="2">
        <f>+IFERROR(PRODUCTOS[[#This Row],[PPTO X TORRE]]*22,"")</f>
        <v>0</v>
      </c>
      <c r="P158" s="3">
        <f>+IFERROR(PRODUCTOS[[#This Row],[CANT X MODULO]]*702,"")</f>
        <v>368.55</v>
      </c>
      <c r="Q158" s="3">
        <f>+SUMIFS(DETALLE_GD_1[CANTIDAD SOLICITADA],DETALLE_GD_1[CODIGO],PRODUCTOS[[#This Row],[CODIGO]])</f>
        <v>50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50</v>
      </c>
      <c r="T158" s="3">
        <f>+IFERROR(PRODUCTOS[[#This Row],[CANTIDAD RECIBIDA]]/PRODUCTOS[[#This Row],[CANT X MODULO]],"")</f>
        <v>95.238095238095241</v>
      </c>
      <c r="U158" s="3">
        <f>+SUMIFS(DETALLE_GD_1[VALOR TOTAL POR ITEM GD],DETALLE_GD_1[CODIGO],PRODUCTOS[[#This Row],[CODIGO]])</f>
        <v>492044</v>
      </c>
      <c r="V158" s="3">
        <f>+IFERROR(PRODUCTOS[[#This Row],[PRECIO DE COMPRA]]/PRODUCTOS[[#This Row],[CANT. COMPRADA]],"")</f>
        <v>9840.8799999999992</v>
      </c>
      <c r="W158" s="3">
        <f>+IFERROR(PRODUCTOS[[#This Row],[PRECIO COMPRA UNITARIO]]*PRODUCTOS[[#This Row],[PPTO FALTANTE]],"")</f>
        <v>3145145.2480000001</v>
      </c>
      <c r="X158" s="7" t="str">
        <f>+IFERROR(PRODUCTOS[[#This Row],[PROYECCION COMPRA]]/PRODUCTOS[[#This Row],[PPTO TOTAL]]-1,"")</f>
        <v/>
      </c>
      <c r="Y158" s="3">
        <f>+IFERROR((PRODUCTOS[[#This Row],[CANT X MODULO]]*704)-PRODUCTOS[[#This Row],[CANT. COMPRADA]],"")</f>
        <v>319.60000000000002</v>
      </c>
      <c r="Z158" s="17">
        <f>+IFERROR(PRODUCTOS[[#This Row],[CANT. COMPRADA]]/PRODUCTOS[[#This Row],[PPTO FALTANTE]],"")</f>
        <v>0.15644555694618273</v>
      </c>
      <c r="AA158" s="3">
        <f>+IFERROR(PRODUCTOS[[#This Row],[PROYECCION COMPRA]]-(PRODUCTOS[[#This Row],[PPTO FALTANTE]]*PRODUCTOS[[#This Row],[PPTO]]),"")</f>
        <v>3145145.2480000001</v>
      </c>
      <c r="AB158" s="3">
        <f>+_xlfn.XLOOKUP(PRODUCTOS[[#This Row],[CODIGO]],DETALLE_GD_1[CODIGO],DETALLE_GD_1[VALOR PPTO],"",0)</f>
        <v>9841</v>
      </c>
      <c r="AC158" s="3">
        <f>+AB158-PRODUCTOS[[#This Row],[PPTO_ACTUALIZADO]]</f>
        <v>0</v>
      </c>
    </row>
    <row r="159" spans="1:29" x14ac:dyDescent="0.25">
      <c r="A159">
        <v>602254</v>
      </c>
      <c r="B159" s="81" t="s">
        <v>214</v>
      </c>
      <c r="C159">
        <v>0</v>
      </c>
      <c r="D159" t="s">
        <v>244</v>
      </c>
      <c r="E159" t="s">
        <v>407</v>
      </c>
      <c r="F159" s="2">
        <v>46060</v>
      </c>
      <c r="G159" s="6" t="s">
        <v>25</v>
      </c>
      <c r="H159" s="2">
        <v>46060</v>
      </c>
      <c r="I159" t="b">
        <v>1</v>
      </c>
      <c r="J159" s="81" t="str">
        <f>+_xlfn.XLOOKUP(PRODUCTOS[[#This Row],[CODIGO]],P_CRITICOS[CODIGO],P_CRITICOS[DESC CORTA],"",0)</f>
        <v/>
      </c>
      <c r="K159" s="81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0.35920828125000004</v>
      </c>
      <c r="M159" s="2">
        <f>+IFERROR(PRODUCTOS[[#This Row],[PPTO]]*PRODUCTOS[[#This Row],[CANT X MODULO]],"")</f>
        <v>16545.133434375002</v>
      </c>
      <c r="N159" s="2">
        <f>+IFERROR(PRODUCTOS[[#This Row],[PPTO X MODULO]]*32,"")</f>
        <v>529444.26990000007</v>
      </c>
      <c r="O159" s="2">
        <f>+IFERROR(PRODUCTOS[[#This Row],[PPTO X TORRE]]*22,"")</f>
        <v>11647773.937800001</v>
      </c>
      <c r="P159" s="3">
        <f>+IFERROR(PRODUCTOS[[#This Row],[CANT X MODULO]]*702,"")</f>
        <v>252.16421343750002</v>
      </c>
      <c r="Q159" s="3">
        <f>+SUMIFS(DETALLE_GD_1[CANTIDAD SOLICITADA],DETALLE_GD_1[CODIGO],PRODUCTOS[[#This Row],[CODIGO]])</f>
        <v>35</v>
      </c>
      <c r="R159" s="3">
        <f>+SUMIFS(DETALLE_GD_1[DEVOLUCIÓN],DETALLE_GD_1[CODIGO],PRODUCTOS[[#This Row],[CODIGO]])</f>
        <v>1</v>
      </c>
      <c r="S159" s="3">
        <f>+PRODUCTOS[[#This Row],[CANT. COMPRADA]]-PRODUCTOS[[#This Row],[DEVOLUCIONES]]</f>
        <v>34</v>
      </c>
      <c r="T159" s="3">
        <f>+IFERROR(PRODUCTOS[[#This Row],[CANTIDAD RECIBIDA]]/PRODUCTOS[[#This Row],[CANT X MODULO]],"")</f>
        <v>94.652606230803585</v>
      </c>
      <c r="U159" s="3">
        <f>+SUMIFS(DETALLE_GD_1[VALOR TOTAL POR ITEM GD],DETALLE_GD_1[CODIGO],PRODUCTOS[[#This Row],[CODIGO]])</f>
        <v>1566040</v>
      </c>
      <c r="V159" s="3">
        <f>+IFERROR(PRODUCTOS[[#This Row],[PRECIO DE COMPRA]]/PRODUCTOS[[#This Row],[CANT. COMPRADA]],"")</f>
        <v>44744</v>
      </c>
      <c r="W159" s="3">
        <f>+IFERROR(PRODUCTOS[[#This Row],[PRECIO COMPRA UNITARIO]]*PRODUCTOS[[#This Row],[PPTO FALTANTE]],"")</f>
        <v>9748940.3967200015</v>
      </c>
      <c r="X159" s="7">
        <f>+IFERROR(PRODUCTOS[[#This Row],[PROYECCION COMPRA]]/PRODUCTOS[[#This Row],[PPTO TOTAL]]-1,"")</f>
        <v>-0.16302115333109279</v>
      </c>
      <c r="Y159" s="3">
        <f>+IFERROR((PRODUCTOS[[#This Row],[CANT X MODULO]]*704)-PRODUCTOS[[#This Row],[CANT. COMPRADA]],"")</f>
        <v>217.88263000000003</v>
      </c>
      <c r="Z159" s="17">
        <f>+IFERROR(PRODUCTOS[[#This Row],[CANT. COMPRADA]]/PRODUCTOS[[#This Row],[PPTO FALTANTE]],"")</f>
        <v>0.16063694476241633</v>
      </c>
      <c r="AA159" s="3">
        <f>+IFERROR(PRODUCTOS[[#This Row],[PROYECCION COMPRA]]-(PRODUCTOS[[#This Row],[PPTO FALTANTE]]*PRODUCTOS[[#This Row],[PPTO]]),"")</f>
        <v>-286733.54107999988</v>
      </c>
      <c r="AB159" s="3">
        <f>+_xlfn.XLOOKUP(PRODUCTOS[[#This Row],[CODIGO]],DETALLE_GD_1[CODIGO],DETALLE_GD_1[VALOR PPTO],"",0)</f>
        <v>46060</v>
      </c>
      <c r="AC159" s="3">
        <f>+AB159-PRODUCTOS[[#This Row],[PPTO_ACTUALIZADO]]</f>
        <v>0</v>
      </c>
    </row>
    <row r="160" spans="1:29" x14ac:dyDescent="0.25">
      <c r="A160">
        <v>1902014</v>
      </c>
      <c r="B160" s="81" t="s">
        <v>316</v>
      </c>
      <c r="C160" t="s">
        <v>300</v>
      </c>
      <c r="D160" t="s">
        <v>240</v>
      </c>
      <c r="E160">
        <v>0</v>
      </c>
      <c r="F160" s="2">
        <v>29779</v>
      </c>
      <c r="G160" s="6" t="s">
        <v>18</v>
      </c>
      <c r="H160" s="2">
        <v>29779.000000000004</v>
      </c>
      <c r="I160" t="b">
        <v>1</v>
      </c>
      <c r="J160" s="81" t="str">
        <f>+_xlfn.XLOOKUP(PRODUCTOS[[#This Row],[CODIGO]],P_CRITICOS[CODIGO],P_CRITICOS[DESC CORTA],"",0)</f>
        <v>VOLCOGLASS</v>
      </c>
      <c r="K160" s="81" t="str">
        <f>+IFERROR(IF(VLOOKUP(PRODUCTOS[[#This Row],[CODIGO]],P_CRITICOS[],3,0)="*","PRODUCTO CRITICO","NO CRITICO"),"NO CRITICO")</f>
        <v>PRODUCTO CRITICO</v>
      </c>
      <c r="L160" s="15">
        <f>+_xlfn.XLOOKUP(PRODUCTOS[[#This Row],[CODIGO]],BD_MODULO[Artículo],BD_MODULO[CUB_ACTUALIZADA],"",0)</f>
        <v>5.5125000000000002</v>
      </c>
      <c r="M160" s="2">
        <f>+IFERROR(PRODUCTOS[[#This Row],[PPTO]]*PRODUCTOS[[#This Row],[CANT X MODULO]],"")</f>
        <v>164156.73750000002</v>
      </c>
      <c r="N160" s="2">
        <f>+IFERROR(PRODUCTOS[[#This Row],[PPTO X MODULO]]*32,"")</f>
        <v>5253015.6000000006</v>
      </c>
      <c r="O160" s="2">
        <f>+IFERROR(PRODUCTOS[[#This Row],[PPTO X TORRE]]*22,"")</f>
        <v>115566343.20000002</v>
      </c>
      <c r="P160" s="3">
        <f>+IFERROR(PRODUCTOS[[#This Row],[CANT X MODULO]]*702,"")</f>
        <v>3869.7750000000001</v>
      </c>
      <c r="Q160" s="3">
        <f>+SUMIFS(DETALLE_GD_1[CANTIDAD SOLICITADA],DETALLE_GD_1[CODIGO],PRODUCTOS[[#This Row],[CODIGO]])</f>
        <v>520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520</v>
      </c>
      <c r="T160" s="3">
        <f>+IFERROR(PRODUCTOS[[#This Row],[CANTIDAD RECIBIDA]]/PRODUCTOS[[#This Row],[CANT X MODULO]],"")</f>
        <v>94.331065759637184</v>
      </c>
      <c r="U160" s="3">
        <f>+SUMIFS(DETALLE_GD_1[VALOR TOTAL POR ITEM GD],DETALLE_GD_1[CODIGO],PRODUCTOS[[#This Row],[CODIGO]])</f>
        <v>15495874</v>
      </c>
      <c r="V160" s="3">
        <f>+IFERROR(PRODUCTOS[[#This Row],[PRECIO DE COMPRA]]/PRODUCTOS[[#This Row],[CANT. COMPRADA]],"")</f>
        <v>29799.757692307692</v>
      </c>
      <c r="W160" s="3">
        <f>+IFERROR(PRODUCTOS[[#This Row],[PRECIO COMPRA UNITARIO]]*PRODUCTOS[[#This Row],[PPTO FALTANTE]],"")</f>
        <v>100151025.6523077</v>
      </c>
      <c r="X160" s="7">
        <f>+IFERROR(PRODUCTOS[[#This Row],[PROYECCION COMPRA]]/PRODUCTOS[[#This Row],[PPTO TOTAL]]-1,"")</f>
        <v>-0.13338933396044594</v>
      </c>
      <c r="Y160" s="3">
        <f>+IFERROR((PRODUCTOS[[#This Row],[CANT X MODULO]]*704)-PRODUCTOS[[#This Row],[CANT. COMPRADA]],"")</f>
        <v>3360.8</v>
      </c>
      <c r="Z160" s="17">
        <f>+IFERROR(PRODUCTOS[[#This Row],[CANT. COMPRADA]]/PRODUCTOS[[#This Row],[PPTO FALTANTE]],"")</f>
        <v>0.1547250654606046</v>
      </c>
      <c r="AA160" s="3">
        <f>+IFERROR(PRODUCTOS[[#This Row],[PROYECCION COMPRA]]-(PRODUCTOS[[#This Row],[PPTO FALTANTE]]*PRODUCTOS[[#This Row],[PPTO]]),"")</f>
        <v>69762.452307701111</v>
      </c>
      <c r="AB160" s="3">
        <f>+_xlfn.XLOOKUP(PRODUCTOS[[#This Row],[CODIGO]],DETALLE_GD_1[CODIGO],DETALLE_GD_1[VALOR PPTO],"",0)</f>
        <v>29779</v>
      </c>
      <c r="AC160" s="3">
        <f>+AB160-PRODUCTOS[[#This Row],[PPTO_ACTUALIZADO]]</f>
        <v>0</v>
      </c>
    </row>
    <row r="161" spans="1:29" x14ac:dyDescent="0.25">
      <c r="A161">
        <v>2505058</v>
      </c>
      <c r="B161" s="81" t="s">
        <v>142</v>
      </c>
      <c r="C161" t="s">
        <v>633</v>
      </c>
      <c r="D161" t="s">
        <v>244</v>
      </c>
      <c r="E161" t="s">
        <v>410</v>
      </c>
      <c r="F161" s="2">
        <v>17870.144068000001</v>
      </c>
      <c r="G161" s="6" t="s">
        <v>31</v>
      </c>
      <c r="H161" s="2">
        <v>17870.144068000001</v>
      </c>
      <c r="I161" t="b">
        <v>1</v>
      </c>
      <c r="J161" s="81" t="str">
        <f>+_xlfn.XLOOKUP(PRODUCTOS[[#This Row],[CODIGO]],P_CRITICOS[CODIGO],P_CRITICOS[DESC CORTA],"",0)</f>
        <v/>
      </c>
      <c r="K161" s="8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2.1000000000000005</v>
      </c>
      <c r="M161" s="2">
        <f>+IFERROR(PRODUCTOS[[#This Row],[PPTO]]*PRODUCTOS[[#This Row],[CANT X MODULO]],"")</f>
        <v>37527.302542800011</v>
      </c>
      <c r="N161" s="2">
        <f>+IFERROR(PRODUCTOS[[#This Row],[PPTO X MODULO]]*32,"")</f>
        <v>1200873.6813696004</v>
      </c>
      <c r="O161" s="2">
        <f>+IFERROR(PRODUCTOS[[#This Row],[PPTO X TORRE]]*22,"")</f>
        <v>26419220.990131207</v>
      </c>
      <c r="P161" s="3">
        <f>+IFERROR(PRODUCTOS[[#This Row],[CANT X MODULO]]*702,"")</f>
        <v>1474.2000000000003</v>
      </c>
      <c r="Q161" s="3">
        <f>+SUMIFS(DETALLE_GD_1[CANTIDAD SOLICITADA],DETALLE_GD_1[CODIGO],PRODUCTOS[[#This Row],[CODIGO]])</f>
        <v>197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197</v>
      </c>
      <c r="T161" s="3">
        <f>+IFERROR(PRODUCTOS[[#This Row],[CANTIDAD RECIBIDA]]/PRODUCTOS[[#This Row],[CANT X MODULO]],"")</f>
        <v>93.809523809523782</v>
      </c>
      <c r="U161" s="3">
        <f>+SUMIFS(DETALLE_GD_1[VALOR TOTAL POR ITEM GD],DETALLE_GD_1[CODIGO],PRODUCTOS[[#This Row],[CODIGO]])</f>
        <v>3277496</v>
      </c>
      <c r="V161" s="3">
        <f>+IFERROR(PRODUCTOS[[#This Row],[PRECIO DE COMPRA]]/PRODUCTOS[[#This Row],[CANT. COMPRADA]],"")</f>
        <v>16637.035532994923</v>
      </c>
      <c r="W161" s="3">
        <f>+IFERROR(PRODUCTOS[[#This Row],[PRECIO COMPRA UNITARIO]]*PRODUCTOS[[#This Row],[PPTO FALTANTE]],"")</f>
        <v>21318697.331979699</v>
      </c>
      <c r="X161" s="7">
        <f>+IFERROR(PRODUCTOS[[#This Row],[PROYECCION COMPRA]]/PRODUCTOS[[#This Row],[PPTO TOTAL]]-1,"")</f>
        <v>-0.1930610921516871</v>
      </c>
      <c r="Y161" s="3">
        <f>+IFERROR((PRODUCTOS[[#This Row],[CANT X MODULO]]*704)-PRODUCTOS[[#This Row],[CANT. COMPRADA]],"")</f>
        <v>1281.4000000000003</v>
      </c>
      <c r="Z161" s="17">
        <f>+IFERROR(PRODUCTOS[[#This Row],[CANT. COMPRADA]]/PRODUCTOS[[#This Row],[PPTO FALTANTE]],"")</f>
        <v>0.15373809895426874</v>
      </c>
      <c r="AA161" s="3">
        <f>+IFERROR(PRODUCTOS[[#This Row],[PROYECCION COMPRA]]-(PRODUCTOS[[#This Row],[PPTO FALTANTE]]*PRODUCTOS[[#This Row],[PPTO]]),"")</f>
        <v>-1580105.276755508</v>
      </c>
      <c r="AB161" s="3">
        <f>+_xlfn.XLOOKUP(PRODUCTOS[[#This Row],[CODIGO]],DETALLE_GD_1[CODIGO],DETALLE_GD_1[VALOR PPTO],"",0)</f>
        <v>17870.144100000001</v>
      </c>
      <c r="AC161" s="3">
        <f>+AB161-PRODUCTOS[[#This Row],[PPTO_ACTUALIZADO]]</f>
        <v>3.1999999919207767E-5</v>
      </c>
    </row>
    <row r="162" spans="1:29" x14ac:dyDescent="0.25">
      <c r="A162">
        <v>701096</v>
      </c>
      <c r="B162" s="81" t="s">
        <v>204</v>
      </c>
      <c r="C162" t="s">
        <v>541</v>
      </c>
      <c r="D162" t="s">
        <v>240</v>
      </c>
      <c r="E162" t="s">
        <v>402</v>
      </c>
      <c r="F162" s="2">
        <v>16019.885684999999</v>
      </c>
      <c r="G162" s="6" t="s">
        <v>18</v>
      </c>
      <c r="H162" s="2">
        <v>16019.885685000005</v>
      </c>
      <c r="I162" t="b">
        <v>1</v>
      </c>
      <c r="J162" s="81" t="str">
        <f>+_xlfn.XLOOKUP(PRODUCTOS[[#This Row],[CODIGO]],P_CRITICOS[CODIGO],P_CRITICOS[DESC CORTA],"",0)</f>
        <v>VOCANITA EMPAPELADA MURO</v>
      </c>
      <c r="K162" s="81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31.237499999999997</v>
      </c>
      <c r="M162" s="2">
        <f>+IFERROR(PRODUCTOS[[#This Row],[PPTO]]*PRODUCTOS[[#This Row],[CANT X MODULO]],"")</f>
        <v>500421.17908518744</v>
      </c>
      <c r="N162" s="2">
        <f>+IFERROR(PRODUCTOS[[#This Row],[PPTO X MODULO]]*32,"")</f>
        <v>16013477.730725998</v>
      </c>
      <c r="O162" s="2">
        <f>+IFERROR(PRODUCTOS[[#This Row],[PPTO X TORRE]]*22,"")</f>
        <v>352296510.07597196</v>
      </c>
      <c r="P162" s="3">
        <f>+IFERROR(PRODUCTOS[[#This Row],[CANT X MODULO]]*702,"")</f>
        <v>21928.724999999999</v>
      </c>
      <c r="Q162" s="3">
        <f>+SUMIFS(DETALLE_GD_1[CANTIDAD SOLICITADA],DETALLE_GD_1[CODIGO],PRODUCTOS[[#This Row],[CODIGO]])</f>
        <v>2854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2854</v>
      </c>
      <c r="T162" s="3">
        <f>+IFERROR(PRODUCTOS[[#This Row],[CANTIDAD RECIBIDA]]/PRODUCTOS[[#This Row],[CANT X MODULO]],"")</f>
        <v>91.364545818327343</v>
      </c>
      <c r="U162" s="3">
        <f>+SUMIFS(DETALLE_GD_1[VALOR TOTAL POR ITEM GD],DETALLE_GD_1[CODIGO],PRODUCTOS[[#This Row],[CODIGO]])</f>
        <v>46315905</v>
      </c>
      <c r="V162" s="3">
        <f>+IFERROR(PRODUCTOS[[#This Row],[PRECIO DE COMPRA]]/PRODUCTOS[[#This Row],[CANT. COMPRADA]],"")</f>
        <v>16228.418009810792</v>
      </c>
      <c r="W162" s="3">
        <f>+IFERROR(PRODUCTOS[[#This Row],[PRECIO COMPRA UNITARIO]]*PRODUCTOS[[#This Row],[PPTO FALTANTE]],"")</f>
        <v>310566481.13735104</v>
      </c>
      <c r="X162" s="7">
        <f>+IFERROR(PRODUCTOS[[#This Row],[PROYECCION COMPRA]]/PRODUCTOS[[#This Row],[PPTO TOTAL]]-1,"")</f>
        <v>-0.11845144003731956</v>
      </c>
      <c r="Y162" s="3">
        <f>+IFERROR((PRODUCTOS[[#This Row],[CANT X MODULO]]*704)-PRODUCTOS[[#This Row],[CANT. COMPRADA]],"")</f>
        <v>19137.199999999997</v>
      </c>
      <c r="Z162" s="17">
        <f>+IFERROR(PRODUCTOS[[#This Row],[CANT. COMPRADA]]/PRODUCTOS[[#This Row],[PPTO FALTANTE]],"")</f>
        <v>0.14913362456367704</v>
      </c>
      <c r="AA162" s="3">
        <f>+IFERROR(PRODUCTOS[[#This Row],[PROYECCION COMPRA]]-(PRODUCTOS[[#This Row],[PPTO FALTANTE]]*PRODUCTOS[[#This Row],[PPTO]]),"")</f>
        <v>3990724.8063691258</v>
      </c>
      <c r="AB162" s="3">
        <f>+_xlfn.XLOOKUP(PRODUCTOS[[#This Row],[CODIGO]],DETALLE_GD_1[CODIGO],DETALLE_GD_1[VALOR PPTO],"",0)</f>
        <v>16019.885700000001</v>
      </c>
      <c r="AC162" s="3">
        <f>+AB162-PRODUCTOS[[#This Row],[PPTO_ACTUALIZADO]]</f>
        <v>1.499999598308932E-5</v>
      </c>
    </row>
    <row r="163" spans="1:29" x14ac:dyDescent="0.25">
      <c r="A163">
        <v>1802517</v>
      </c>
      <c r="B163" s="81" t="s">
        <v>141</v>
      </c>
      <c r="C163" t="s">
        <v>632</v>
      </c>
      <c r="D163" t="s">
        <v>244</v>
      </c>
      <c r="E163" t="s">
        <v>410</v>
      </c>
      <c r="F163" s="2">
        <v>2312.5</v>
      </c>
      <c r="G163" s="6" t="s">
        <v>31</v>
      </c>
      <c r="H163" s="2">
        <v>2312</v>
      </c>
      <c r="I163" t="b">
        <v>0</v>
      </c>
      <c r="J163" s="81" t="str">
        <f>+_xlfn.XLOOKUP(PRODUCTOS[[#This Row],[CODIGO]],P_CRITICOS[CODIGO],P_CRITICOS[DESC CORTA],"",0)</f>
        <v/>
      </c>
      <c r="K163" s="81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1214.0625</v>
      </c>
      <c r="N163" s="2">
        <f>+IFERROR(PRODUCTOS[[#This Row],[PPTO X MODULO]]*32,"")</f>
        <v>38850</v>
      </c>
      <c r="O163" s="2">
        <f>+IFERROR(PRODUCTOS[[#This Row],[PPTO X TORRE]]*22,"")</f>
        <v>854700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47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47</v>
      </c>
      <c r="T163" s="3">
        <f>+IFERROR(PRODUCTOS[[#This Row],[CANTIDAD RECIBIDA]]/PRODUCTOS[[#This Row],[CANT X MODULO]],"")</f>
        <v>89.523809523809518</v>
      </c>
      <c r="U163" s="3">
        <f>+SUMIFS(DETALLE_GD_1[VALOR TOTAL POR ITEM GD],DETALLE_GD_1[CODIGO],PRODUCTOS[[#This Row],[CODIGO]])</f>
        <v>108687</v>
      </c>
      <c r="V163" s="3">
        <f>+IFERROR(PRODUCTOS[[#This Row],[PRECIO DE COMPRA]]/PRODUCTOS[[#This Row],[CANT. COMPRADA]],"")</f>
        <v>2312.4893617021276</v>
      </c>
      <c r="W163" s="3">
        <f>+IFERROR(PRODUCTOS[[#This Row],[PRECIO COMPRA UNITARIO]]*PRODUCTOS[[#This Row],[PPTO FALTANTE]],"")</f>
        <v>746009.06808510644</v>
      </c>
      <c r="X163" s="7">
        <f>+IFERROR(PRODUCTOS[[#This Row],[PROYECCION COMPRA]]/PRODUCTOS[[#This Row],[PPTO TOTAL]]-1,"")</f>
        <v>-0.12716851750894298</v>
      </c>
      <c r="Y163" s="3">
        <f>+IFERROR((PRODUCTOS[[#This Row],[CANT X MODULO]]*704)-PRODUCTOS[[#This Row],[CANT. COMPRADA]],"")</f>
        <v>322.60000000000002</v>
      </c>
      <c r="Z163" s="17">
        <f>+IFERROR(PRODUCTOS[[#This Row],[CANT. COMPRADA]]/PRODUCTOS[[#This Row],[PPTO FALTANTE]],"")</f>
        <v>0.14569125852448853</v>
      </c>
      <c r="AA163" s="3">
        <f>+IFERROR(PRODUCTOS[[#This Row],[PROYECCION COMPRA]]-(PRODUCTOS[[#This Row],[PPTO FALTANTE]]*PRODUCTOS[[#This Row],[PPTO]]),"")</f>
        <v>-3.4319148935610428</v>
      </c>
      <c r="AB163" s="3">
        <f>+_xlfn.XLOOKUP(PRODUCTOS[[#This Row],[CODIGO]],DETALLE_GD_1[CODIGO],DETALLE_GD_1[VALOR PPTO],"",0)</f>
        <v>2312</v>
      </c>
      <c r="AC163" s="3">
        <f>+AB163-PRODUCTOS[[#This Row],[PPTO_ACTUALIZADO]]</f>
        <v>0</v>
      </c>
    </row>
    <row r="164" spans="1:29" x14ac:dyDescent="0.25">
      <c r="A164">
        <v>412630</v>
      </c>
      <c r="B164" s="81" t="s">
        <v>284</v>
      </c>
      <c r="C164">
        <v>0</v>
      </c>
      <c r="D164" t="s">
        <v>244</v>
      </c>
      <c r="E164" t="s">
        <v>410</v>
      </c>
      <c r="F164" s="2">
        <v>148200</v>
      </c>
      <c r="G164" s="6" t="s">
        <v>31</v>
      </c>
      <c r="H164" s="2">
        <v>148200</v>
      </c>
      <c r="I164" t="b">
        <v>1</v>
      </c>
      <c r="J164" s="81" t="str">
        <f>+_xlfn.XLOOKUP(PRODUCTOS[[#This Row],[CODIGO]],P_CRITICOS[CODIGO],P_CRITICOS[DESC CORTA],"",0)</f>
        <v/>
      </c>
      <c r="K164" s="81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77805</v>
      </c>
      <c r="N164" s="2">
        <f>+IFERROR(PRODUCTOS[[#This Row],[PPTO X MODULO]]*32,"")</f>
        <v>2489760</v>
      </c>
      <c r="O164" s="2">
        <f>+IFERROR(PRODUCTOS[[#This Row],[PPTO X TORRE]]*22,"")</f>
        <v>54774720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57</v>
      </c>
      <c r="R164" s="3">
        <f>+SUMIFS(DETALLE_GD_1[DEVOLUCIÓN],DETALLE_GD_1[CODIGO],PRODUCTOS[[#This Row],[CODIGO]])</f>
        <v>10</v>
      </c>
      <c r="S164" s="3">
        <f>+PRODUCTOS[[#This Row],[CANT. COMPRADA]]-PRODUCTOS[[#This Row],[DEVOLUCIONES]]</f>
        <v>47</v>
      </c>
      <c r="T164" s="3">
        <f>+IFERROR(PRODUCTOS[[#This Row],[CANTIDAD RECIBIDA]]/PRODUCTOS[[#This Row],[CANT X MODULO]],"")</f>
        <v>89.523809523809518</v>
      </c>
      <c r="U164" s="3">
        <f>+SUMIFS(DETALLE_GD_1[VALOR TOTAL POR ITEM GD],DETALLE_GD_1[CODIGO],PRODUCTOS[[#This Row],[CODIGO]])</f>
        <v>7064100</v>
      </c>
      <c r="V164" s="3">
        <f>+IFERROR(PRODUCTOS[[#This Row],[PRECIO DE COMPRA]]/PRODUCTOS[[#This Row],[CANT. COMPRADA]],"")</f>
        <v>123931.57894736843</v>
      </c>
      <c r="W164" s="3">
        <f>+IFERROR(PRODUCTOS[[#This Row],[PRECIO COMPRA UNITARIO]]*PRODUCTOS[[#This Row],[PPTO FALTANTE]],"")</f>
        <v>38741011.578947373</v>
      </c>
      <c r="X164" s="7">
        <f>+IFERROR(PRODUCTOS[[#This Row],[PROYECCION COMPRA]]/PRODUCTOS[[#This Row],[PPTO TOTAL]]-1,"")</f>
        <v>-0.29272095632898953</v>
      </c>
      <c r="Y164" s="3">
        <f>+IFERROR((PRODUCTOS[[#This Row],[CANT X MODULO]]*704)-PRODUCTOS[[#This Row],[CANT. COMPRADA]],"")</f>
        <v>312.60000000000002</v>
      </c>
      <c r="Z164" s="17">
        <f>+IFERROR(PRODUCTOS[[#This Row],[CANT. COMPRADA]]/PRODUCTOS[[#This Row],[PPTO FALTANTE]],"")</f>
        <v>0.18234165067178501</v>
      </c>
      <c r="AA164" s="3">
        <f>+IFERROR(PRODUCTOS[[#This Row],[PROYECCION COMPRA]]-(PRODUCTOS[[#This Row],[PPTO FALTANTE]]*PRODUCTOS[[#This Row],[PPTO]]),"")</f>
        <v>-7586308.4210526273</v>
      </c>
      <c r="AB164" s="3">
        <f>+_xlfn.XLOOKUP(PRODUCTOS[[#This Row],[CODIGO]],DETALLE_GD_1[CODIGO],DETALLE_GD_1[VALOR PPTO],"",0)</f>
        <v>148200</v>
      </c>
      <c r="AC164" s="3">
        <f>+AB164-PRODUCTOS[[#This Row],[PPTO_ACTUALIZADO]]</f>
        <v>0</v>
      </c>
    </row>
    <row r="165" spans="1:29" x14ac:dyDescent="0.25">
      <c r="A165" t="s">
        <v>296</v>
      </c>
      <c r="B165" s="81" t="s">
        <v>297</v>
      </c>
      <c r="C165" t="s">
        <v>528</v>
      </c>
      <c r="D165" t="s">
        <v>244</v>
      </c>
      <c r="E165" t="s">
        <v>408</v>
      </c>
      <c r="F165" s="2">
        <v>205500</v>
      </c>
      <c r="G165" s="6" t="s">
        <v>31</v>
      </c>
      <c r="H165" s="2">
        <v>205500</v>
      </c>
      <c r="I165" t="b">
        <v>1</v>
      </c>
      <c r="J165" s="81" t="str">
        <f>+_xlfn.XLOOKUP(PRODUCTOS[[#This Row],[CODIGO]],P_CRITICOS[CODIGO],P_CRITICOS[DESC CORTA],"",0)</f>
        <v>VENTANA V-01</v>
      </c>
      <c r="K165" s="81" t="str">
        <f>+IFERROR(IF(VLOOKUP(PRODUCTOS[[#This Row],[CODIGO]],P_CRITICOS[],3,0)="*","PRODUCTO CRITICO","NO CRITICO"),"NO CRITICO")</f>
        <v>PRODUCTO CRITICO</v>
      </c>
      <c r="L165" s="15">
        <f>+_xlfn.XLOOKUP(PRODUCTOS[[#This Row],[CODIGO]],BD_MODULO[Artículo],BD_MODULO[CUB_ACTUALIZADA],"",0)</f>
        <v>1.5750000000000002</v>
      </c>
      <c r="M165" s="2">
        <f>+IFERROR(PRODUCTOS[[#This Row],[PPTO]]*PRODUCTOS[[#This Row],[CANT X MODULO]],"")</f>
        <v>323662.50000000006</v>
      </c>
      <c r="N165" s="2">
        <f>+IFERROR(PRODUCTOS[[#This Row],[PPTO X MODULO]]*32,"")</f>
        <v>10357200.000000002</v>
      </c>
      <c r="O165" s="2">
        <f>+IFERROR(PRODUCTOS[[#This Row],[PPTO X TORRE]]*22,"")</f>
        <v>227858400.00000003</v>
      </c>
      <c r="P165" s="3">
        <f>+IFERROR(PRODUCTOS[[#This Row],[CANT X MODULO]]*702,"")</f>
        <v>1105.6500000000001</v>
      </c>
      <c r="Q165" s="3">
        <f>+SUMIFS(DETALLE_GD_1[CANTIDAD SOLICITADA],DETALLE_GD_1[CODIGO],PRODUCTOS[[#This Row],[CODIGO]])</f>
        <v>141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141</v>
      </c>
      <c r="T165" s="3">
        <f>+IFERROR(PRODUCTOS[[#This Row],[CANTIDAD RECIBIDA]]/PRODUCTOS[[#This Row],[CANT X MODULO]],"")</f>
        <v>89.523809523809518</v>
      </c>
      <c r="U165" s="3">
        <f>+SUMIFS(DETALLE_GD_1[VALOR TOTAL POR ITEM GD],DETALLE_GD_1[CODIGO],PRODUCTOS[[#This Row],[CODIGO]])</f>
        <v>28603076</v>
      </c>
      <c r="V165" s="3">
        <f>+IFERROR(PRODUCTOS[[#This Row],[PRECIO DE COMPRA]]/PRODUCTOS[[#This Row],[CANT. COMPRADA]],"")</f>
        <v>202858.69503546099</v>
      </c>
      <c r="W165" s="3">
        <f>+IFERROR(PRODUCTOS[[#This Row],[PRECIO COMPRA UNITARIO]]*PRODUCTOS[[#This Row],[PPTO FALTANTE]],"")</f>
        <v>196326645.05531919</v>
      </c>
      <c r="X165" s="7">
        <f>+IFERROR(PRODUCTOS[[#This Row],[PROYECCION COMPRA]]/PRODUCTOS[[#This Row],[PPTO TOTAL]]-1,"")</f>
        <v>-0.13838311400712389</v>
      </c>
      <c r="Y165" s="3">
        <f>+IFERROR((PRODUCTOS[[#This Row],[CANT X MODULO]]*704)-PRODUCTOS[[#This Row],[CANT. COMPRADA]],"")</f>
        <v>967.80000000000018</v>
      </c>
      <c r="Z165" s="17">
        <f>+IFERROR(PRODUCTOS[[#This Row],[CANT. COMPRADA]]/PRODUCTOS[[#This Row],[PPTO FALTANTE]],"")</f>
        <v>0.1456912585244885</v>
      </c>
      <c r="AA165" s="3">
        <f>+IFERROR(PRODUCTOS[[#This Row],[PROYECCION COMPRA]]-(PRODUCTOS[[#This Row],[PPTO FALTANTE]]*PRODUCTOS[[#This Row],[PPTO]]),"")</f>
        <v>-2556254.9446808398</v>
      </c>
      <c r="AB165" s="3">
        <f>+_xlfn.XLOOKUP(PRODUCTOS[[#This Row],[CODIGO]],DETALLE_GD_1[CODIGO],DETALLE_GD_1[VALOR PPTO],"",0)</f>
        <v>205500</v>
      </c>
      <c r="AC165" s="3">
        <f>+AB165-PRODUCTOS[[#This Row],[PPTO_ACTUALIZADO]]</f>
        <v>0</v>
      </c>
    </row>
    <row r="166" spans="1:29" x14ac:dyDescent="0.25">
      <c r="A166" t="s">
        <v>288</v>
      </c>
      <c r="B166" s="81" t="s">
        <v>289</v>
      </c>
      <c r="C166">
        <v>0</v>
      </c>
      <c r="D166" t="s">
        <v>244</v>
      </c>
      <c r="E166" t="s">
        <v>408</v>
      </c>
      <c r="F166" s="2">
        <v>101229</v>
      </c>
      <c r="G166" s="6" t="s">
        <v>31</v>
      </c>
      <c r="H166" s="2">
        <v>101229</v>
      </c>
      <c r="I166" t="b">
        <v>1</v>
      </c>
      <c r="J166" s="81" t="str">
        <f>+_xlfn.XLOOKUP(PRODUCTOS[[#This Row],[CODIGO]],P_CRITICOS[CODIGO],P_CRITICOS[DESC CORTA],"",0)</f>
        <v>VENTANA BAÑO</v>
      </c>
      <c r="K166" s="81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53145.225000000006</v>
      </c>
      <c r="N166" s="2">
        <f>+IFERROR(PRODUCTOS[[#This Row],[PPTO X MODULO]]*32,"")</f>
        <v>1700647.2000000002</v>
      </c>
      <c r="O166" s="2">
        <f>+IFERROR(PRODUCTOS[[#This Row],[PPTO X TORRE]]*22,"")</f>
        <v>37414238.400000006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47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47</v>
      </c>
      <c r="T166" s="3">
        <f>+IFERROR(PRODUCTOS[[#This Row],[CANTIDAD RECIBIDA]]/PRODUCTOS[[#This Row],[CANT X MODULO]],"")</f>
        <v>89.523809523809518</v>
      </c>
      <c r="U166" s="3">
        <f>+SUMIFS(DETALLE_GD_1[VALOR TOTAL POR ITEM GD],DETALLE_GD_1[CODIGO],PRODUCTOS[[#This Row],[CODIGO]])</f>
        <v>5624894</v>
      </c>
      <c r="V166" s="3">
        <f>+IFERROR(PRODUCTOS[[#This Row],[PRECIO DE COMPRA]]/PRODUCTOS[[#This Row],[CANT. COMPRADA]],"")</f>
        <v>119678.59574468085</v>
      </c>
      <c r="W166" s="3">
        <f>+IFERROR(PRODUCTOS[[#This Row],[PRECIO COMPRA UNITARIO]]*PRODUCTOS[[#This Row],[PPTO FALTANTE]],"")</f>
        <v>38608314.987234041</v>
      </c>
      <c r="X166" s="7">
        <f>+IFERROR(PRODUCTOS[[#This Row],[PROYECCION COMPRA]]/PRODUCTOS[[#This Row],[PPTO TOTAL]]-1,"")</f>
        <v>3.1915031236718461E-2</v>
      </c>
      <c r="Y166" s="3">
        <f>+IFERROR((PRODUCTOS[[#This Row],[CANT X MODULO]]*704)-PRODUCTOS[[#This Row],[CANT. COMPRADA]],"")</f>
        <v>322.60000000000002</v>
      </c>
      <c r="Z166" s="17">
        <f>+IFERROR(PRODUCTOS[[#This Row],[CANT. COMPRADA]]/PRODUCTOS[[#This Row],[PPTO FALTANTE]],"")</f>
        <v>0.14569125852448853</v>
      </c>
      <c r="AA166" s="3">
        <f>+IFERROR(PRODUCTOS[[#This Row],[PROYECCION COMPRA]]-(PRODUCTOS[[#This Row],[PPTO FALTANTE]]*PRODUCTOS[[#This Row],[PPTO]]),"")</f>
        <v>5951839.5872340389</v>
      </c>
      <c r="AB166" s="3">
        <f>+_xlfn.XLOOKUP(PRODUCTOS[[#This Row],[CODIGO]],DETALLE_GD_1[CODIGO],DETALLE_GD_1[VALOR PPTO],"",0)</f>
        <v>101229</v>
      </c>
      <c r="AC166" s="3">
        <f>+AB166-PRODUCTOS[[#This Row],[PPTO_ACTUALIZADO]]</f>
        <v>0</v>
      </c>
    </row>
    <row r="167" spans="1:29" x14ac:dyDescent="0.25">
      <c r="A167" t="s">
        <v>286</v>
      </c>
      <c r="B167" s="81" t="s">
        <v>287</v>
      </c>
      <c r="C167" t="s">
        <v>529</v>
      </c>
      <c r="D167" t="s">
        <v>244</v>
      </c>
      <c r="E167" t="s">
        <v>408</v>
      </c>
      <c r="F167" s="2">
        <v>350139</v>
      </c>
      <c r="G167" s="6" t="s">
        <v>31</v>
      </c>
      <c r="H167" s="2">
        <v>350139</v>
      </c>
      <c r="I167" t="b">
        <v>1</v>
      </c>
      <c r="J167" s="81" t="str">
        <f>+_xlfn.XLOOKUP(PRODUCTOS[[#This Row],[CODIGO]],P_CRITICOS[CODIGO],P_CRITICOS[DESC CORTA],"",0)</f>
        <v>VENTANA V.05</v>
      </c>
      <c r="K167" s="81" t="str">
        <f>+IFERROR(IF(VLOOKUP(PRODUCTOS[[#This Row],[CODIGO]],P_CRITICOS[],3,0)="*","PRODUCTO CRITICO","NO CRITICO"),"NO CRITICO")</f>
        <v>PRODUCTO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183822.97500000001</v>
      </c>
      <c r="N167" s="2">
        <f>+IFERROR(PRODUCTOS[[#This Row],[PPTO X MODULO]]*32,"")</f>
        <v>5882335.2000000002</v>
      </c>
      <c r="O167" s="2">
        <f>+IFERROR(PRODUCTOS[[#This Row],[PPTO X TORRE]]*22,"")</f>
        <v>129411374.40000001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47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47</v>
      </c>
      <c r="T167" s="3">
        <f>+IFERROR(PRODUCTOS[[#This Row],[CANTIDAD RECIBIDA]]/PRODUCTOS[[#This Row],[CANT X MODULO]],"")</f>
        <v>89.523809523809518</v>
      </c>
      <c r="U167" s="3">
        <f>+SUMIFS(DETALLE_GD_1[VALOR TOTAL POR ITEM GD],DETALLE_GD_1[CODIGO],PRODUCTOS[[#This Row],[CODIGO]])</f>
        <v>17936431</v>
      </c>
      <c r="V167" s="3">
        <f>+IFERROR(PRODUCTOS[[#This Row],[PRECIO DE COMPRA]]/PRODUCTOS[[#This Row],[CANT. COMPRADA]],"")</f>
        <v>381626.19148936169</v>
      </c>
      <c r="W167" s="3">
        <f>+IFERROR(PRODUCTOS[[#This Row],[PRECIO COMPRA UNITARIO]]*PRODUCTOS[[#This Row],[PPTO FALTANTE]],"")</f>
        <v>123112609.37446809</v>
      </c>
      <c r="X167" s="7">
        <f>+IFERROR(PRODUCTOS[[#This Row],[PROYECCION COMPRA]]/PRODUCTOS[[#This Row],[PPTO TOTAL]]-1,"")</f>
        <v>-4.8672421993316783E-2</v>
      </c>
      <c r="Y167" s="3">
        <f>+IFERROR((PRODUCTOS[[#This Row],[CANT X MODULO]]*704)-PRODUCTOS[[#This Row],[CANT. COMPRADA]],"")</f>
        <v>322.60000000000002</v>
      </c>
      <c r="Z167" s="17">
        <f>+IFERROR(PRODUCTOS[[#This Row],[CANT. COMPRADA]]/PRODUCTOS[[#This Row],[PPTO FALTANTE]],"")</f>
        <v>0.14569125852448853</v>
      </c>
      <c r="AA167" s="3">
        <f>+IFERROR(PRODUCTOS[[#This Row],[PROYECCION COMPRA]]-(PRODUCTOS[[#This Row],[PPTO FALTANTE]]*PRODUCTOS[[#This Row],[PPTO]]),"")</f>
        <v>10157767.974468082</v>
      </c>
      <c r="AB167" s="3">
        <f>+_xlfn.XLOOKUP(PRODUCTOS[[#This Row],[CODIGO]],DETALLE_GD_1[CODIGO],DETALLE_GD_1[VALOR PPTO],"",0)</f>
        <v>350139</v>
      </c>
      <c r="AC167" s="3">
        <f>+AB167-PRODUCTOS[[#This Row],[PPTO_ACTUALIZADO]]</f>
        <v>0</v>
      </c>
    </row>
    <row r="168" spans="1:29" x14ac:dyDescent="0.25">
      <c r="A168">
        <v>2508992</v>
      </c>
      <c r="B168" s="81" t="s">
        <v>486</v>
      </c>
      <c r="C168" t="s">
        <v>682</v>
      </c>
      <c r="D168" t="s">
        <v>355</v>
      </c>
      <c r="E168" t="s">
        <v>355</v>
      </c>
      <c r="F168" s="2">
        <v>4139.6666670000004</v>
      </c>
      <c r="G168" s="6" t="s">
        <v>355</v>
      </c>
      <c r="H168" s="2">
        <v>5084</v>
      </c>
      <c r="I168" t="b">
        <v>0</v>
      </c>
      <c r="J168" s="81" t="str">
        <f>+_xlfn.XLOOKUP(PRODUCTOS[[#This Row],[CODIGO]],P_CRITICOS[CODIGO],P_CRITICOS[DESC CORTA],"",0)</f>
        <v/>
      </c>
      <c r="K168" s="81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0.7875000000000002</v>
      </c>
      <c r="M168" s="2">
        <f>+IFERROR(PRODUCTOS[[#This Row],[PPTO]]*PRODUCTOS[[#This Row],[CANT X MODULO]],"")</f>
        <v>3259.9875002625013</v>
      </c>
      <c r="N168" s="2">
        <f>+IFERROR(PRODUCTOS[[#This Row],[PPTO X MODULO]]*32,"")</f>
        <v>104319.60000840004</v>
      </c>
      <c r="O168" s="2">
        <f>+IFERROR(PRODUCTOS[[#This Row],[PPTO X TORRE]]*22,"")</f>
        <v>2295031.2001848007</v>
      </c>
      <c r="P168" s="3">
        <f>+IFERROR(PRODUCTOS[[#This Row],[CANT X MODULO]]*702,"")</f>
        <v>552.82500000000016</v>
      </c>
      <c r="Q168" s="3">
        <f>+SUMIFS(DETALLE_GD_1[CANTIDAD SOLICITADA],DETALLE_GD_1[CODIGO],PRODUCTOS[[#This Row],[CODIGO]])</f>
        <v>70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70</v>
      </c>
      <c r="T168" s="3">
        <f>+IFERROR(PRODUCTOS[[#This Row],[CANTIDAD RECIBIDA]]/PRODUCTOS[[#This Row],[CANT X MODULO]],"")</f>
        <v>88.888888888888872</v>
      </c>
      <c r="U168" s="3">
        <f>+SUMIFS(DETALLE_GD_1[VALOR TOTAL POR ITEM GD],DETALLE_GD_1[CODIGO],PRODUCTOS[[#This Row],[CODIGO]])</f>
        <v>354545</v>
      </c>
      <c r="V168" s="3">
        <f>+IFERROR(PRODUCTOS[[#This Row],[PRECIO DE COMPRA]]/PRODUCTOS[[#This Row],[CANT. COMPRADA]],"")</f>
        <v>5064.9285714285716</v>
      </c>
      <c r="W168" s="3">
        <f>+IFERROR(PRODUCTOS[[#This Row],[PRECIO COMPRA UNITARIO]]*PRODUCTOS[[#This Row],[PPTO FALTANTE]],"")</f>
        <v>2453451.4000000004</v>
      </c>
      <c r="X168" s="7">
        <f>+IFERROR(PRODUCTOS[[#This Row],[PROYECCION COMPRA]]/PRODUCTOS[[#This Row],[PPTO TOTAL]]-1,"")</f>
        <v>6.9027471087296455E-2</v>
      </c>
      <c r="Y168" s="3">
        <f>+IFERROR((PRODUCTOS[[#This Row],[CANT X MODULO]]*704)-PRODUCTOS[[#This Row],[CANT. COMPRADA]],"")</f>
        <v>484.40000000000009</v>
      </c>
      <c r="Z168" s="17">
        <f>+IFERROR(PRODUCTOS[[#This Row],[CANT. COMPRADA]]/PRODUCTOS[[#This Row],[PPTO FALTANTE]],"")</f>
        <v>0.1445086705202312</v>
      </c>
      <c r="AA168" s="3">
        <f>+IFERROR(PRODUCTOS[[#This Row],[PROYECCION COMPRA]]-(PRODUCTOS[[#This Row],[PPTO FALTANTE]]*PRODUCTOS[[#This Row],[PPTO]]),"")</f>
        <v>448196.86650519981</v>
      </c>
      <c r="AB168" s="3">
        <f>+_xlfn.XLOOKUP(PRODUCTOS[[#This Row],[CODIGO]],DETALLE_GD_1[CODIGO],DETALLE_GD_1[VALOR PPTO],"",0)</f>
        <v>5084</v>
      </c>
      <c r="AC168" s="3">
        <f>+AB168-PRODUCTOS[[#This Row],[PPTO_ACTUALIZADO]]</f>
        <v>0</v>
      </c>
    </row>
    <row r="169" spans="1:29" x14ac:dyDescent="0.25">
      <c r="A169">
        <v>1802162</v>
      </c>
      <c r="B169" s="81" t="s">
        <v>260</v>
      </c>
      <c r="C169" t="s">
        <v>653</v>
      </c>
      <c r="D169" t="s">
        <v>244</v>
      </c>
      <c r="E169" t="s">
        <v>406</v>
      </c>
      <c r="F169" s="2">
        <v>42840</v>
      </c>
      <c r="G169" s="6" t="s">
        <v>31</v>
      </c>
      <c r="H169" s="2">
        <v>42840</v>
      </c>
      <c r="I169" t="b">
        <v>1</v>
      </c>
      <c r="J169" s="81" t="str">
        <f>+_xlfn.XLOOKUP(PRODUCTOS[[#This Row],[CODIGO]],P_CRITICOS[CODIGO],P_CRITICOS[DESC CORTA],"",0)</f>
        <v/>
      </c>
      <c r="K169" s="81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22491</v>
      </c>
      <c r="N169" s="2">
        <f>+IFERROR(PRODUCTOS[[#This Row],[PPTO X MODULO]]*32,"")</f>
        <v>719712</v>
      </c>
      <c r="O169" s="2">
        <f>+IFERROR(PRODUCTOS[[#This Row],[PPTO X TORRE]]*22,"")</f>
        <v>15833664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46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46</v>
      </c>
      <c r="T169" s="3">
        <f>+IFERROR(PRODUCTOS[[#This Row],[CANTIDAD RECIBIDA]]/PRODUCTOS[[#This Row],[CANT X MODULO]],"")</f>
        <v>87.61904761904762</v>
      </c>
      <c r="U169" s="3">
        <f>+SUMIFS(DETALLE_GD_1[VALOR TOTAL POR ITEM GD],DETALLE_GD_1[CODIGO],PRODUCTOS[[#This Row],[CODIGO]])</f>
        <v>1970640</v>
      </c>
      <c r="V169" s="3">
        <f>+IFERROR(PRODUCTOS[[#This Row],[PRECIO DE COMPRA]]/PRODUCTOS[[#This Row],[CANT. COMPRADA]],"")</f>
        <v>42840</v>
      </c>
      <c r="W169" s="3">
        <f>+IFERROR(PRODUCTOS[[#This Row],[PRECIO COMPRA UNITARIO]]*PRODUCTOS[[#This Row],[PPTO FALTANTE]],"")</f>
        <v>13863024.000000002</v>
      </c>
      <c r="X169" s="7">
        <f>+IFERROR(PRODUCTOS[[#This Row],[PROYECCION COMPRA]]/PRODUCTOS[[#This Row],[PPTO TOTAL]]-1,"")</f>
        <v>-0.12445887445887438</v>
      </c>
      <c r="Y169" s="3">
        <f>+IFERROR((PRODUCTOS[[#This Row],[CANT X MODULO]]*704)-PRODUCTOS[[#This Row],[CANT. COMPRADA]],"")</f>
        <v>323.60000000000002</v>
      </c>
      <c r="Z169" s="17">
        <f>+IFERROR(PRODUCTOS[[#This Row],[CANT. COMPRADA]]/PRODUCTOS[[#This Row],[PPTO FALTANTE]],"")</f>
        <v>0.14215080346106304</v>
      </c>
      <c r="AA169" s="3">
        <f>+IFERROR(PRODUCTOS[[#This Row],[PROYECCION COMPRA]]-(PRODUCTOS[[#This Row],[PPTO FALTANTE]]*PRODUCTOS[[#This Row],[PPTO]]),"")</f>
        <v>0</v>
      </c>
      <c r="AB169" s="3">
        <f>+_xlfn.XLOOKUP(PRODUCTOS[[#This Row],[CODIGO]],DETALLE_GD_1[CODIGO],DETALLE_GD_1[VALOR PPTO],"",0)</f>
        <v>42840</v>
      </c>
      <c r="AC169" s="3">
        <f>+AB169-PRODUCTOS[[#This Row],[PPTO_ACTUALIZADO]]</f>
        <v>0</v>
      </c>
    </row>
    <row r="170" spans="1:29" x14ac:dyDescent="0.25">
      <c r="A170">
        <v>1901086</v>
      </c>
      <c r="B170" s="81" t="s">
        <v>279</v>
      </c>
      <c r="C170" t="s">
        <v>549</v>
      </c>
      <c r="D170" t="s">
        <v>240</v>
      </c>
      <c r="E170" t="s">
        <v>404</v>
      </c>
      <c r="F170" s="2">
        <v>3711.5870410000002</v>
      </c>
      <c r="G170" s="6" t="s">
        <v>26</v>
      </c>
      <c r="H170" s="2">
        <v>3711.5870410000002</v>
      </c>
      <c r="I170" t="b">
        <v>1</v>
      </c>
      <c r="J170" s="81" t="str">
        <f>+_xlfn.XLOOKUP(PRODUCTOS[[#This Row],[CODIGO]],P_CRITICOS[CODIGO],P_CRITICOS[DESC CORTA],"",0)</f>
        <v>AISLAN GLASS 140MM</v>
      </c>
      <c r="K170" s="81" t="str">
        <f>+IFERROR(IF(VLOOKUP(PRODUCTOS[[#This Row],[CODIGO]],P_CRITICOS[],3,0)="*","PRODUCTO CRITICO","NO CRITICO"),"NO CRITICO")</f>
        <v>PRODUCTO CRITICO</v>
      </c>
      <c r="L170" s="15">
        <f>+_xlfn.XLOOKUP(PRODUCTOS[[#This Row],[CODIGO]],BD_MODULO[Artículo],BD_MODULO[CUB_ACTUALIZADA],"",0)</f>
        <v>31.794434700000004</v>
      </c>
      <c r="M170" s="2">
        <f>+IFERROR(PRODUCTOS[[#This Row],[PPTO]]*PRODUCTOS[[#This Row],[CANT X MODULO]],"")</f>
        <v>118007.81180844075</v>
      </c>
      <c r="N170" s="2">
        <f>+IFERROR(PRODUCTOS[[#This Row],[PPTO X MODULO]]*32,"")</f>
        <v>3776249.9778701039</v>
      </c>
      <c r="O170" s="2">
        <f>+IFERROR(PRODUCTOS[[#This Row],[PPTO X TORRE]]*22,"")</f>
        <v>83077499.513142288</v>
      </c>
      <c r="P170" s="3">
        <f>+IFERROR(PRODUCTOS[[#This Row],[CANT X MODULO]]*702,"")</f>
        <v>22319.693159400002</v>
      </c>
      <c r="Q170" s="3">
        <f>+SUMIFS(DETALLE_GD_1[CANTIDAD SOLICITADA],DETALLE_GD_1[CODIGO],PRODUCTOS[[#This Row],[CODIGO]])</f>
        <v>2760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2760</v>
      </c>
      <c r="T170" s="3">
        <f>+IFERROR(PRODUCTOS[[#This Row],[CANTIDAD RECIBIDA]]/PRODUCTOS[[#This Row],[CANT X MODULO]],"")</f>
        <v>86.807644987001439</v>
      </c>
      <c r="U170" s="3">
        <f>+SUMIFS(DETALLE_GD_1[VALOR TOTAL POR ITEM GD],DETALLE_GD_1[CODIGO],PRODUCTOS[[#This Row],[CODIGO]])</f>
        <v>10036586</v>
      </c>
      <c r="V170" s="3">
        <f>+IFERROR(PRODUCTOS[[#This Row],[PRECIO DE COMPRA]]/PRODUCTOS[[#This Row],[CANT. COMPRADA]],"")</f>
        <v>3636.4442028985509</v>
      </c>
      <c r="W170" s="3">
        <f>+IFERROR(PRODUCTOS[[#This Row],[PRECIO COMPRA UNITARIO]]*PRODUCTOS[[#This Row],[PPTO FALTANTE]],"")</f>
        <v>71358970.175473094</v>
      </c>
      <c r="X170" s="7">
        <f>+IFERROR(PRODUCTOS[[#This Row],[PROYECCION COMPRA]]/PRODUCTOS[[#This Row],[PPTO TOTAL]]-1,"")</f>
        <v>-0.14105539293241975</v>
      </c>
      <c r="Y170" s="3">
        <f>+IFERROR((PRODUCTOS[[#This Row],[CANT X MODULO]]*704)-PRODUCTOS[[#This Row],[CANT. COMPRADA]],"")</f>
        <v>19623.282028800004</v>
      </c>
      <c r="Z170" s="17">
        <f>+IFERROR(PRODUCTOS[[#This Row],[CANT. COMPRADA]]/PRODUCTOS[[#This Row],[PPTO FALTANTE]],"")</f>
        <v>0.14064925510163392</v>
      </c>
      <c r="AA170" s="3">
        <f>+IFERROR(PRODUCTOS[[#This Row],[PROYECCION COMPRA]]-(PRODUCTOS[[#This Row],[PPTO FALTANTE]]*PRODUCTOS[[#This Row],[PPTO]]),"")</f>
        <v>-1474549.1045091897</v>
      </c>
      <c r="AB170" s="3">
        <f>+_xlfn.XLOOKUP(PRODUCTOS[[#This Row],[CODIGO]],DETALLE_GD_1[CODIGO],DETALLE_GD_1[VALOR PPTO],"",0)</f>
        <v>3711.587</v>
      </c>
      <c r="AC170" s="3">
        <f>+AB170-PRODUCTOS[[#This Row],[PPTO_ACTUALIZADO]]</f>
        <v>-4.1000000237545464E-5</v>
      </c>
    </row>
    <row r="171" spans="1:29" x14ac:dyDescent="0.25">
      <c r="A171">
        <v>602256</v>
      </c>
      <c r="B171" s="81" t="s">
        <v>495</v>
      </c>
      <c r="C171">
        <v>0</v>
      </c>
      <c r="D171" t="s">
        <v>355</v>
      </c>
      <c r="E171" t="s">
        <v>355</v>
      </c>
      <c r="G171" s="6" t="s">
        <v>355</v>
      </c>
      <c r="H171" s="2">
        <v>59000</v>
      </c>
      <c r="I171" t="b">
        <v>0</v>
      </c>
      <c r="J171" s="81" t="str">
        <f>+_xlfn.XLOOKUP(PRODUCTOS[[#This Row],[CODIGO]],P_CRITICOS[CODIGO],P_CRITICOS[DESC CORTA],"",0)</f>
        <v/>
      </c>
      <c r="K171" s="8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2.3099999999999999E-2</v>
      </c>
      <c r="M171" s="2">
        <f>+IFERROR(PRODUCTOS[[#This Row],[PPTO]]*PRODUCTOS[[#This Row],[CANT X MODULO]],"")</f>
        <v>0</v>
      </c>
      <c r="N171" s="2">
        <f>+IFERROR(PRODUCTOS[[#This Row],[PPTO X MODULO]]*32,"")</f>
        <v>0</v>
      </c>
      <c r="O171" s="2">
        <f>+IFERROR(PRODUCTOS[[#This Row],[PPTO X TORRE]]*22,"")</f>
        <v>0</v>
      </c>
      <c r="P171" s="3">
        <f>+IFERROR(PRODUCTOS[[#This Row],[CANT X MODULO]]*702,"")</f>
        <v>16.216200000000001</v>
      </c>
      <c r="Q171" s="3">
        <f>+SUMIFS(DETALLE_GD_1[CANTIDAD SOLICITADA],DETALLE_GD_1[CODIGO],PRODUCTOS[[#This Row],[CODIGO]])</f>
        <v>2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2</v>
      </c>
      <c r="T171" s="3">
        <f>+IFERROR(PRODUCTOS[[#This Row],[CANTIDAD RECIBIDA]]/PRODUCTOS[[#This Row],[CANT X MODULO]],"")</f>
        <v>86.580086580086586</v>
      </c>
      <c r="U171" s="3">
        <f>+SUMIFS(DETALLE_GD_1[VALOR TOTAL POR ITEM GD],DETALLE_GD_1[CODIGO],PRODUCTOS[[#This Row],[CODIGO]])</f>
        <v>118000</v>
      </c>
      <c r="V171" s="3">
        <f>+IFERROR(PRODUCTOS[[#This Row],[PRECIO DE COMPRA]]/PRODUCTOS[[#This Row],[CANT. COMPRADA]],"")</f>
        <v>59000</v>
      </c>
      <c r="W171" s="3">
        <f>+IFERROR(PRODUCTOS[[#This Row],[PRECIO COMPRA UNITARIO]]*PRODUCTOS[[#This Row],[PPTO FALTANTE]],"")</f>
        <v>841481.6</v>
      </c>
      <c r="X171" s="7" t="str">
        <f>+IFERROR(PRODUCTOS[[#This Row],[PROYECCION COMPRA]]/PRODUCTOS[[#This Row],[PPTO TOTAL]]-1,"")</f>
        <v/>
      </c>
      <c r="Y171" s="3">
        <f>+IFERROR((PRODUCTOS[[#This Row],[CANT X MODULO]]*704)-PRODUCTOS[[#This Row],[CANT. COMPRADA]],"")</f>
        <v>14.2624</v>
      </c>
      <c r="Z171" s="17">
        <f>+IFERROR(PRODUCTOS[[#This Row],[CANT. COMPRADA]]/PRODUCTOS[[#This Row],[PPTO FALTANTE]],"")</f>
        <v>0.14022885348889388</v>
      </c>
      <c r="AA171" s="3">
        <f>+IFERROR(PRODUCTOS[[#This Row],[PROYECCION COMPRA]]-(PRODUCTOS[[#This Row],[PPTO FALTANTE]]*PRODUCTOS[[#This Row],[PPTO]]),"")</f>
        <v>841481.6</v>
      </c>
      <c r="AB171" s="3">
        <f>+_xlfn.XLOOKUP(PRODUCTOS[[#This Row],[CODIGO]],DETALLE_GD_1[CODIGO],DETALLE_GD_1[VALOR PPTO],"",0)</f>
        <v>59000</v>
      </c>
      <c r="AC171" s="3">
        <f>+AB171-PRODUCTOS[[#This Row],[PPTO_ACTUALIZADO]]</f>
        <v>0</v>
      </c>
    </row>
    <row r="172" spans="1:29" x14ac:dyDescent="0.25">
      <c r="A172">
        <v>307032</v>
      </c>
      <c r="B172" s="81" t="s">
        <v>186</v>
      </c>
      <c r="C172">
        <v>0</v>
      </c>
      <c r="D172" t="s">
        <v>244</v>
      </c>
      <c r="E172" t="s">
        <v>402</v>
      </c>
      <c r="F172" s="2">
        <v>2378.3750409999998</v>
      </c>
      <c r="G172" s="6" t="s">
        <v>137</v>
      </c>
      <c r="H172" s="2">
        <v>2378.3750409999998</v>
      </c>
      <c r="I172" t="b">
        <v>1</v>
      </c>
      <c r="J172" s="81" t="str">
        <f>+_xlfn.XLOOKUP(PRODUCTOS[[#This Row],[CODIGO]],P_CRITICOS[CODIGO],P_CRITICOS[DESC CORTA],"",0)</f>
        <v/>
      </c>
      <c r="K172" s="81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8.4</v>
      </c>
      <c r="M172" s="2">
        <f>+IFERROR(PRODUCTOS[[#This Row],[PPTO]]*PRODUCTOS[[#This Row],[CANT X MODULO]],"")</f>
        <v>19978.350344399998</v>
      </c>
      <c r="N172" s="2">
        <f>+IFERROR(PRODUCTOS[[#This Row],[PPTO X MODULO]]*32,"")</f>
        <v>639307.21102079994</v>
      </c>
      <c r="O172" s="2">
        <f>+IFERROR(PRODUCTOS[[#This Row],[PPTO X TORRE]]*22,"")</f>
        <v>14064758.642457599</v>
      </c>
      <c r="P172" s="3">
        <f>+IFERROR(PRODUCTOS[[#This Row],[CANT X MODULO]]*702,"")</f>
        <v>5896.8</v>
      </c>
      <c r="Q172" s="3">
        <f>+SUMIFS(DETALLE_GD_1[CANTIDAD SOLICITADA],DETALLE_GD_1[CODIGO],PRODUCTOS[[#This Row],[CODIGO]])</f>
        <v>726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726</v>
      </c>
      <c r="T172" s="3">
        <f>+IFERROR(PRODUCTOS[[#This Row],[CANTIDAD RECIBIDA]]/PRODUCTOS[[#This Row],[CANT X MODULO]],"")</f>
        <v>86.428571428571431</v>
      </c>
      <c r="U172" s="3">
        <f>+SUMIFS(DETALLE_GD_1[VALOR TOTAL POR ITEM GD],DETALLE_GD_1[CODIGO],PRODUCTOS[[#This Row],[CODIGO]])</f>
        <v>1625763</v>
      </c>
      <c r="V172" s="3">
        <f>+IFERROR(PRODUCTOS[[#This Row],[PRECIO DE COMPRA]]/PRODUCTOS[[#This Row],[CANT. COMPRADA]],"")</f>
        <v>2239.3429752066118</v>
      </c>
      <c r="W172" s="3">
        <f>+IFERROR(PRODUCTOS[[#This Row],[PRECIO COMPRA UNITARIO]]*PRODUCTOS[[#This Row],[PPTO FALTANTE]],"")</f>
        <v>11616815.618181819</v>
      </c>
      <c r="X172" s="7">
        <f>+IFERROR(PRODUCTOS[[#This Row],[PROYECCION COMPRA]]/PRODUCTOS[[#This Row],[PPTO TOTAL]]-1,"")</f>
        <v>-0.17404799374844016</v>
      </c>
      <c r="Y172" s="3">
        <f>+IFERROR((PRODUCTOS[[#This Row],[CANT X MODULO]]*704)-PRODUCTOS[[#This Row],[CANT. COMPRADA]],"")</f>
        <v>5187.6000000000004</v>
      </c>
      <c r="Z172" s="17">
        <f>+IFERROR(PRODUCTOS[[#This Row],[CANT. COMPRADA]]/PRODUCTOS[[#This Row],[PPTO FALTANTE]],"")</f>
        <v>0.13994910941475827</v>
      </c>
      <c r="AA172" s="3">
        <f>+IFERROR(PRODUCTOS[[#This Row],[PROYECCION COMPRA]]-(PRODUCTOS[[#This Row],[PPTO FALTANTE]]*PRODUCTOS[[#This Row],[PPTO]]),"")</f>
        <v>-721242.74450978078</v>
      </c>
      <c r="AB172" s="3">
        <f>+_xlfn.XLOOKUP(PRODUCTOS[[#This Row],[CODIGO]],DETALLE_GD_1[CODIGO],DETALLE_GD_1[VALOR PPTO],"",0)</f>
        <v>2378.375</v>
      </c>
      <c r="AC172" s="3">
        <f>+AB172-PRODUCTOS[[#This Row],[PPTO_ACTUALIZADO]]</f>
        <v>-4.0999999782798113E-5</v>
      </c>
    </row>
    <row r="173" spans="1:29" x14ac:dyDescent="0.25">
      <c r="A173">
        <v>608013</v>
      </c>
      <c r="B173" s="81" t="s">
        <v>328</v>
      </c>
      <c r="C173" t="s">
        <v>666</v>
      </c>
      <c r="D173" t="s">
        <v>244</v>
      </c>
      <c r="E173" t="s">
        <v>399</v>
      </c>
      <c r="F173" s="2">
        <v>8471</v>
      </c>
      <c r="G173" s="6" t="s">
        <v>31</v>
      </c>
      <c r="H173" s="2">
        <v>8471</v>
      </c>
      <c r="I173" t="b">
        <v>1</v>
      </c>
      <c r="J173" s="81" t="str">
        <f>+_xlfn.XLOOKUP(PRODUCTOS[[#This Row],[CODIGO]],P_CRITICOS[CODIGO],P_CRITICOS[DESC CORTA],"",0)</f>
        <v/>
      </c>
      <c r="K173" s="81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0.105</v>
      </c>
      <c r="M173" s="2">
        <f>+IFERROR(PRODUCTOS[[#This Row],[PPTO]]*PRODUCTOS[[#This Row],[CANT X MODULO]],"")</f>
        <v>889.45499999999993</v>
      </c>
      <c r="N173" s="2">
        <f>+IFERROR(PRODUCTOS[[#This Row],[PPTO X MODULO]]*32,"")</f>
        <v>28462.559999999998</v>
      </c>
      <c r="O173" s="2">
        <f>+IFERROR(PRODUCTOS[[#This Row],[PPTO X TORRE]]*22,"")</f>
        <v>626176.31999999995</v>
      </c>
      <c r="P173" s="3">
        <f>+IFERROR(PRODUCTOS[[#This Row],[CANT X MODULO]]*702,"")</f>
        <v>73.709999999999994</v>
      </c>
      <c r="Q173" s="3">
        <f>+SUMIFS(DETALLE_GD_1[CANTIDAD SOLICITADA],DETALLE_GD_1[CODIGO],PRODUCTOS[[#This Row],[CODIGO]])</f>
        <v>9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9</v>
      </c>
      <c r="T173" s="3">
        <f>+IFERROR(PRODUCTOS[[#This Row],[CANTIDAD RECIBIDA]]/PRODUCTOS[[#This Row],[CANT X MODULO]],"")</f>
        <v>85.714285714285722</v>
      </c>
      <c r="U173" s="3">
        <f>+SUMIFS(DETALLE_GD_1[VALOR TOTAL POR ITEM GD],DETALLE_GD_1[CODIGO],PRODUCTOS[[#This Row],[CODIGO]])</f>
        <v>76146</v>
      </c>
      <c r="V173" s="3">
        <f>+IFERROR(PRODUCTOS[[#This Row],[PRECIO DE COMPRA]]/PRODUCTOS[[#This Row],[CANT. COMPRADA]],"")</f>
        <v>8460.6666666666661</v>
      </c>
      <c r="W173" s="3">
        <f>+IFERROR(PRODUCTOS[[#This Row],[PRECIO COMPRA UNITARIO]]*PRODUCTOS[[#This Row],[PPTO FALTANTE]],"")</f>
        <v>549266.48</v>
      </c>
      <c r="X173" s="7">
        <f>+IFERROR(PRODUCTOS[[#This Row],[PROYECCION COMPRA]]/PRODUCTOS[[#This Row],[PPTO TOTAL]]-1,"")</f>
        <v>-0.1228245743946369</v>
      </c>
      <c r="Y173" s="3">
        <f>+IFERROR((PRODUCTOS[[#This Row],[CANT X MODULO]]*704)-PRODUCTOS[[#This Row],[CANT. COMPRADA]],"")</f>
        <v>64.92</v>
      </c>
      <c r="Z173" s="17">
        <f>+IFERROR(PRODUCTOS[[#This Row],[CANT. COMPRADA]]/PRODUCTOS[[#This Row],[PPTO FALTANTE]],"")</f>
        <v>0.13863216266173753</v>
      </c>
      <c r="AA173" s="3">
        <f>+IFERROR(PRODUCTOS[[#This Row],[PROYECCION COMPRA]]-(PRODUCTOS[[#This Row],[PPTO FALTANTE]]*PRODUCTOS[[#This Row],[PPTO]]),"")</f>
        <v>-670.84000000008382</v>
      </c>
      <c r="AB173" s="3">
        <f>+_xlfn.XLOOKUP(PRODUCTOS[[#This Row],[CODIGO]],DETALLE_GD_1[CODIGO],DETALLE_GD_1[VALOR PPTO],"",0)</f>
        <v>8471</v>
      </c>
      <c r="AC173" s="3">
        <f>+AB173-PRODUCTOS[[#This Row],[PPTO_ACTUALIZADO]]</f>
        <v>0</v>
      </c>
    </row>
    <row r="174" spans="1:29" x14ac:dyDescent="0.25">
      <c r="A174">
        <v>907031</v>
      </c>
      <c r="B174" s="81" t="s">
        <v>256</v>
      </c>
      <c r="C174" t="s">
        <v>545</v>
      </c>
      <c r="D174" t="s">
        <v>240</v>
      </c>
      <c r="E174" t="s">
        <v>411</v>
      </c>
      <c r="F174" s="2">
        <v>156269.16666700001</v>
      </c>
      <c r="G174" s="6" t="s">
        <v>47</v>
      </c>
      <c r="H174" s="2">
        <v>156269.16666700004</v>
      </c>
      <c r="I174" t="b">
        <v>1</v>
      </c>
      <c r="J174" s="81" t="str">
        <f>+_xlfn.XLOOKUP(PRODUCTOS[[#This Row],[CODIGO]],P_CRITICOS[CODIGO],P_CRITICOS[DESC CORTA],"",0)</f>
        <v>MEMBRANA PVC</v>
      </c>
      <c r="K174" s="81" t="str">
        <f>+IFERROR(IF(VLOOKUP(PRODUCTOS[[#This Row],[CODIGO]],P_CRITICOS[],3,0)="*","PRODUCTO CRITICO","NO CRITICO"),"NO CRITICO")</f>
        <v>PRODUCTO CRITICO</v>
      </c>
      <c r="L174" s="15">
        <f>+_xlfn.XLOOKUP(PRODUCTOS[[#This Row],[CODIGO]],BD_MODULO[Artículo],BD_MODULO[CUB_ACTUALIZADA],"",0)</f>
        <v>0.7111632270168855</v>
      </c>
      <c r="M174" s="2">
        <f>+IFERROR(PRODUCTOS[[#This Row],[PPTO]]*PRODUCTOS[[#This Row],[CANT X MODULO]],"")</f>
        <v>111132.88485014325</v>
      </c>
      <c r="N174" s="2">
        <f>+IFERROR(PRODUCTOS[[#This Row],[PPTO X MODULO]]*32,"")</f>
        <v>3556252.315204584</v>
      </c>
      <c r="O174" s="2">
        <f>+IFERROR(PRODUCTOS[[#This Row],[PPTO X TORRE]]*22,"")</f>
        <v>78237550.934500843</v>
      </c>
      <c r="P174" s="3">
        <f>+IFERROR(PRODUCTOS[[#This Row],[CANT X MODULO]]*702,"")</f>
        <v>499.23658536585361</v>
      </c>
      <c r="Q174" s="3">
        <f>+SUMIFS(DETALLE_GD_1[CANTIDAD SOLICITADA],DETALLE_GD_1[CODIGO],PRODUCTOS[[#This Row],[CODIGO]])</f>
        <v>60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60</v>
      </c>
      <c r="T174" s="3">
        <f>+IFERROR(PRODUCTOS[[#This Row],[CANTIDAD RECIBIDA]]/PRODUCTOS[[#This Row],[CANT X MODULO]],"")</f>
        <v>84.368816778789082</v>
      </c>
      <c r="U174" s="3">
        <f>+SUMIFS(DETALLE_GD_1[VALOR TOTAL POR ITEM GD],DETALLE_GD_1[CODIGO],PRODUCTOS[[#This Row],[CODIGO]])</f>
        <v>9248277</v>
      </c>
      <c r="V174" s="3">
        <f>+IFERROR(PRODUCTOS[[#This Row],[PRECIO DE COMPRA]]/PRODUCTOS[[#This Row],[CANT. COMPRADA]],"")</f>
        <v>154137.95000000001</v>
      </c>
      <c r="W174" s="3">
        <f>+IFERROR(PRODUCTOS[[#This Row],[PRECIO COMPRA UNITARIO]]*PRODUCTOS[[#This Row],[PPTO FALTANTE]],"")</f>
        <v>67922261.317148224</v>
      </c>
      <c r="X174" s="7">
        <f>+IFERROR(PRODUCTOS[[#This Row],[PROYECCION COMPRA]]/PRODUCTOS[[#This Row],[PPTO TOTAL]]-1,"")</f>
        <v>-0.13184576324466502</v>
      </c>
      <c r="Y174" s="3">
        <f>+IFERROR((PRODUCTOS[[#This Row],[CANT X MODULO]]*704)-PRODUCTOS[[#This Row],[CANT. COMPRADA]],"")</f>
        <v>440.65891181988741</v>
      </c>
      <c r="Z174" s="17">
        <f>+IFERROR(PRODUCTOS[[#This Row],[CANT. COMPRADA]]/PRODUCTOS[[#This Row],[PPTO FALTANTE]],"")</f>
        <v>0.13615973350500191</v>
      </c>
      <c r="AA174" s="3">
        <f>+IFERROR(PRODUCTOS[[#This Row],[PROYECCION COMPRA]]-(PRODUCTOS[[#This Row],[PPTO FALTANTE]]*PRODUCTOS[[#This Row],[PPTO]]),"")</f>
        <v>-939139.61733262241</v>
      </c>
      <c r="AB174" s="3">
        <f>+_xlfn.XLOOKUP(PRODUCTOS[[#This Row],[CODIGO]],DETALLE_GD_1[CODIGO],DETALLE_GD_1[VALOR PPTO],"",0)</f>
        <v>156269.1667</v>
      </c>
      <c r="AC174" s="3">
        <f>+AB174-PRODUCTOS[[#This Row],[PPTO_ACTUALIZADO]]</f>
        <v>3.2999960239976645E-5</v>
      </c>
    </row>
    <row r="175" spans="1:29" x14ac:dyDescent="0.25">
      <c r="A175">
        <v>1802171</v>
      </c>
      <c r="B175" s="81" t="s">
        <v>265</v>
      </c>
      <c r="C175" t="s">
        <v>658</v>
      </c>
      <c r="D175" t="s">
        <v>244</v>
      </c>
      <c r="E175" t="s">
        <v>406</v>
      </c>
      <c r="F175" s="2">
        <v>3167.794425</v>
      </c>
      <c r="G175" s="6" t="s">
        <v>31</v>
      </c>
      <c r="H175" s="2">
        <v>3632</v>
      </c>
      <c r="I175" t="b">
        <v>0</v>
      </c>
      <c r="J175" s="81" t="str">
        <f>+_xlfn.XLOOKUP(PRODUCTOS[[#This Row],[CODIGO]],P_CRITICOS[CODIGO],P_CRITICOS[DESC CORTA],"",0)</f>
        <v/>
      </c>
      <c r="K175" s="81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1663.0920731250001</v>
      </c>
      <c r="N175" s="2">
        <f>+IFERROR(PRODUCTOS[[#This Row],[PPTO X MODULO]]*32,"")</f>
        <v>53218.946340000002</v>
      </c>
      <c r="O175" s="2">
        <f>+IFERROR(PRODUCTOS[[#This Row],[PPTO X TORRE]]*22,"")</f>
        <v>1170816.8194800001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44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44</v>
      </c>
      <c r="T175" s="3">
        <f>+IFERROR(PRODUCTOS[[#This Row],[CANTIDAD RECIBIDA]]/PRODUCTOS[[#This Row],[CANT X MODULO]],"")</f>
        <v>83.80952380952381</v>
      </c>
      <c r="U175" s="3">
        <f>+SUMIFS(DETALLE_GD_1[VALOR TOTAL POR ITEM GD],DETALLE_GD_1[CODIGO],PRODUCTOS[[#This Row],[CODIGO]])</f>
        <v>140228</v>
      </c>
      <c r="V175" s="3">
        <f>+IFERROR(PRODUCTOS[[#This Row],[PRECIO DE COMPRA]]/PRODUCTOS[[#This Row],[CANT. COMPRADA]],"")</f>
        <v>3187</v>
      </c>
      <c r="W175" s="3">
        <f>+IFERROR(PRODUCTOS[[#This Row],[PRECIO COMPRA UNITARIO]]*PRODUCTOS[[#This Row],[PPTO FALTANTE]],"")</f>
        <v>1037687.2000000001</v>
      </c>
      <c r="X175" s="7">
        <f>+IFERROR(PRODUCTOS[[#This Row],[PROYECCION COMPRA]]/PRODUCTOS[[#This Row],[PPTO TOTAL]]-1,"")</f>
        <v>-0.11370661683791616</v>
      </c>
      <c r="Y175" s="3">
        <f>+IFERROR((PRODUCTOS[[#This Row],[CANT X MODULO]]*704)-PRODUCTOS[[#This Row],[CANT. COMPRADA]],"")</f>
        <v>325.60000000000002</v>
      </c>
      <c r="Z175" s="17">
        <f>+IFERROR(PRODUCTOS[[#This Row],[CANT. COMPRADA]]/PRODUCTOS[[#This Row],[PPTO FALTANTE]],"")</f>
        <v>0.13513513513513511</v>
      </c>
      <c r="AA175" s="3">
        <f>+IFERROR(PRODUCTOS[[#This Row],[PROYECCION COMPRA]]-(PRODUCTOS[[#This Row],[PPTO FALTANTE]]*PRODUCTOS[[#This Row],[PPTO]]),"")</f>
        <v>6253.3352200000081</v>
      </c>
      <c r="AB175" s="3">
        <f>+_xlfn.XLOOKUP(PRODUCTOS[[#This Row],[CODIGO]],DETALLE_GD_1[CODIGO],DETALLE_GD_1[VALOR PPTO],"",0)</f>
        <v>3632</v>
      </c>
      <c r="AC175" s="3">
        <f>+AB175-PRODUCTOS[[#This Row],[PPTO_ACTUALIZADO]]</f>
        <v>0</v>
      </c>
    </row>
    <row r="176" spans="1:29" x14ac:dyDescent="0.25">
      <c r="A176">
        <v>307033</v>
      </c>
      <c r="B176" s="81" t="s">
        <v>248</v>
      </c>
      <c r="C176">
        <v>0</v>
      </c>
      <c r="D176" t="s">
        <v>244</v>
      </c>
      <c r="E176" t="s">
        <v>402</v>
      </c>
      <c r="F176" s="2">
        <v>1889.0535440000001</v>
      </c>
      <c r="G176" s="6" t="s">
        <v>31</v>
      </c>
      <c r="H176" s="2">
        <v>1889.0535440000001</v>
      </c>
      <c r="I176" t="b">
        <v>1</v>
      </c>
      <c r="J176" s="81" t="str">
        <f>+_xlfn.XLOOKUP(PRODUCTOS[[#This Row],[CODIGO]],P_CRITICOS[CODIGO],P_CRITICOS[DESC CORTA],"",0)</f>
        <v/>
      </c>
      <c r="K176" s="81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7.8750000000000018</v>
      </c>
      <c r="M176" s="2">
        <f>+IFERROR(PRODUCTOS[[#This Row],[PPTO]]*PRODUCTOS[[#This Row],[CANT X MODULO]],"")</f>
        <v>14876.296659000003</v>
      </c>
      <c r="N176" s="2">
        <f>+IFERROR(PRODUCTOS[[#This Row],[PPTO X MODULO]]*32,"")</f>
        <v>476041.4930880001</v>
      </c>
      <c r="O176" s="2">
        <f>+IFERROR(PRODUCTOS[[#This Row],[PPTO X TORRE]]*22,"")</f>
        <v>10472912.847936003</v>
      </c>
      <c r="P176" s="3">
        <f>+IFERROR(PRODUCTOS[[#This Row],[CANT X MODULO]]*702,"")</f>
        <v>5528.2500000000009</v>
      </c>
      <c r="Q176" s="3">
        <f>+SUMIFS(DETALLE_GD_1[CANTIDAD SOLICITADA],DETALLE_GD_1[CODIGO],PRODUCTOS[[#This Row],[CODIGO]])</f>
        <v>660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660</v>
      </c>
      <c r="T176" s="3">
        <f>+IFERROR(PRODUCTOS[[#This Row],[CANTIDAD RECIBIDA]]/PRODUCTOS[[#This Row],[CANT X MODULO]],"")</f>
        <v>83.809523809523796</v>
      </c>
      <c r="U176" s="3">
        <f>+SUMIFS(DETALLE_GD_1[VALOR TOTAL POR ITEM GD],DETALLE_GD_1[CODIGO],PRODUCTOS[[#This Row],[CODIGO]])</f>
        <v>1247151</v>
      </c>
      <c r="V176" s="3">
        <f>+IFERROR(PRODUCTOS[[#This Row],[PRECIO DE COMPRA]]/PRODUCTOS[[#This Row],[CANT. COMPRADA]],"")</f>
        <v>1889.6227272727272</v>
      </c>
      <c r="W176" s="3">
        <f>+IFERROR(PRODUCTOS[[#This Row],[PRECIO COMPRA UNITARIO]]*PRODUCTOS[[#This Row],[PPTO FALTANTE]],"")</f>
        <v>9228917.4000000004</v>
      </c>
      <c r="X176" s="7">
        <f>+IFERROR(PRODUCTOS[[#This Row],[PROYECCION COMPRA]]/PRODUCTOS[[#This Row],[PPTO TOTAL]]-1,"")</f>
        <v>-0.11878218276027841</v>
      </c>
      <c r="Y176" s="3">
        <f>+IFERROR((PRODUCTOS[[#This Row],[CANT X MODULO]]*704)-PRODUCTOS[[#This Row],[CANT. COMPRADA]],"")</f>
        <v>4884.0000000000009</v>
      </c>
      <c r="Z176" s="17">
        <f>+IFERROR(PRODUCTOS[[#This Row],[CANT. COMPRADA]]/PRODUCTOS[[#This Row],[PPTO FALTANTE]],"")</f>
        <v>0.13513513513513511</v>
      </c>
      <c r="AA176" s="3">
        <f>+IFERROR(PRODUCTOS[[#This Row],[PROYECCION COMPRA]]-(PRODUCTOS[[#This Row],[PPTO FALTANTE]]*PRODUCTOS[[#This Row],[PPTO]]),"")</f>
        <v>2779.8911039978266</v>
      </c>
      <c r="AB176" s="3">
        <f>+_xlfn.XLOOKUP(PRODUCTOS[[#This Row],[CODIGO]],DETALLE_GD_1[CODIGO],DETALLE_GD_1[VALOR PPTO],"",0)</f>
        <v>1889.0535</v>
      </c>
      <c r="AC176" s="3">
        <f>+AB176-PRODUCTOS[[#This Row],[PPTO_ACTUALIZADO]]</f>
        <v>-4.4000000116284355E-5</v>
      </c>
    </row>
    <row r="177" spans="1:29" x14ac:dyDescent="0.25">
      <c r="A177">
        <v>1703006</v>
      </c>
      <c r="B177" s="81" t="s">
        <v>48</v>
      </c>
      <c r="C177" t="s">
        <v>569</v>
      </c>
      <c r="D177" t="s">
        <v>258</v>
      </c>
      <c r="E177" t="s">
        <v>405</v>
      </c>
      <c r="F177" s="2">
        <v>1662</v>
      </c>
      <c r="G177" s="6" t="s">
        <v>31</v>
      </c>
      <c r="H177" s="2">
        <v>1662</v>
      </c>
      <c r="I177" t="b">
        <v>1</v>
      </c>
      <c r="J177" s="81" t="str">
        <f>+_xlfn.XLOOKUP(PRODUCTOS[[#This Row],[CODIGO]],P_CRITICOS[CODIGO],P_CRITICOS[DESC CORTA],"",0)</f>
        <v/>
      </c>
      <c r="K177" s="81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0.52500000000000002</v>
      </c>
      <c r="M177" s="2">
        <f>+IFERROR(PRODUCTOS[[#This Row],[PPTO]]*PRODUCTOS[[#This Row],[CANT X MODULO]],"")</f>
        <v>872.55000000000007</v>
      </c>
      <c r="N177" s="2">
        <f>+IFERROR(PRODUCTOS[[#This Row],[PPTO X MODULO]]*32,"")</f>
        <v>27921.600000000002</v>
      </c>
      <c r="O177" s="2">
        <f>+IFERROR(PRODUCTOS[[#This Row],[PPTO X TORRE]]*22,"")</f>
        <v>614275.20000000007</v>
      </c>
      <c r="P177" s="3">
        <f>+IFERROR(PRODUCTOS[[#This Row],[CANT X MODULO]]*702,"")</f>
        <v>368.55</v>
      </c>
      <c r="Q177" s="3">
        <f>+SUMIFS(DETALLE_GD_1[CANTIDAD SOLICITADA],DETALLE_GD_1[CODIGO],PRODUCTOS[[#This Row],[CODIGO]])</f>
        <v>43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43</v>
      </c>
      <c r="T177" s="3">
        <f>+IFERROR(PRODUCTOS[[#This Row],[CANTIDAD RECIBIDA]]/PRODUCTOS[[#This Row],[CANT X MODULO]],"")</f>
        <v>81.904761904761898</v>
      </c>
      <c r="U177" s="3">
        <f>+SUMIFS(DETALLE_GD_1[VALOR TOTAL POR ITEM GD],DETALLE_GD_1[CODIGO],PRODUCTOS[[#This Row],[CODIGO]])</f>
        <v>71478</v>
      </c>
      <c r="V177" s="3">
        <f>+IFERROR(PRODUCTOS[[#This Row],[PRECIO DE COMPRA]]/PRODUCTOS[[#This Row],[CANT. COMPRADA]],"")</f>
        <v>1662.2790697674418</v>
      </c>
      <c r="W177" s="3">
        <f>+IFERROR(PRODUCTOS[[#This Row],[PRECIO COMPRA UNITARIO]]*PRODUCTOS[[#This Row],[PPTO FALTANTE]],"")</f>
        <v>542900.34418604651</v>
      </c>
      <c r="X177" s="7">
        <f>+IFERROR(PRODUCTOS[[#This Row],[PROYECCION COMPRA]]/PRODUCTOS[[#This Row],[PPTO TOTAL]]-1,"")</f>
        <v>-0.11619361454597799</v>
      </c>
      <c r="Y177" s="3">
        <f>+IFERROR((PRODUCTOS[[#This Row],[CANT X MODULO]]*704)-PRODUCTOS[[#This Row],[CANT. COMPRADA]],"")</f>
        <v>326.60000000000002</v>
      </c>
      <c r="Z177" s="17">
        <f>+IFERROR(PRODUCTOS[[#This Row],[CANT. COMPRADA]]/PRODUCTOS[[#This Row],[PPTO FALTANTE]],"")</f>
        <v>0.1316595223515003</v>
      </c>
      <c r="AA177" s="3">
        <f>+IFERROR(PRODUCTOS[[#This Row],[PROYECCION COMPRA]]-(PRODUCTOS[[#This Row],[PPTO FALTANTE]]*PRODUCTOS[[#This Row],[PPTO]]),"")</f>
        <v>91.144186046440154</v>
      </c>
      <c r="AB177" s="3">
        <f>+_xlfn.XLOOKUP(PRODUCTOS[[#This Row],[CODIGO]],DETALLE_GD_1[CODIGO],DETALLE_GD_1[VALOR PPTO],"",0)</f>
        <v>1662</v>
      </c>
      <c r="AC177" s="3">
        <f>+AB177-PRODUCTOS[[#This Row],[PPTO_ACTUALIZADO]]</f>
        <v>0</v>
      </c>
    </row>
    <row r="178" spans="1:29" x14ac:dyDescent="0.25">
      <c r="A178">
        <v>1206002</v>
      </c>
      <c r="B178" s="81" t="s">
        <v>192</v>
      </c>
      <c r="C178">
        <v>0</v>
      </c>
      <c r="D178" t="s">
        <v>244</v>
      </c>
      <c r="E178" t="s">
        <v>406</v>
      </c>
      <c r="F178" s="2">
        <v>15783.483871</v>
      </c>
      <c r="G178" s="6" t="s">
        <v>31</v>
      </c>
      <c r="H178" s="2">
        <v>15783.483871</v>
      </c>
      <c r="I178" t="b">
        <v>1</v>
      </c>
      <c r="J178" s="81" t="str">
        <f>+_xlfn.XLOOKUP(PRODUCTOS[[#This Row],[CODIGO]],P_CRITICOS[CODIGO],P_CRITICOS[DESC CORTA],"",0)</f>
        <v/>
      </c>
      <c r="K178" s="81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8286.3290322749999</v>
      </c>
      <c r="N178" s="2">
        <f>+IFERROR(PRODUCTOS[[#This Row],[PPTO X MODULO]]*32,"")</f>
        <v>265162.5290328</v>
      </c>
      <c r="O178" s="2">
        <f>+IFERROR(PRODUCTOS[[#This Row],[PPTO X TORRE]]*22,"")</f>
        <v>5833575.6387216002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43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43</v>
      </c>
      <c r="T178" s="3">
        <f>+IFERROR(PRODUCTOS[[#This Row],[CANTIDAD RECIBIDA]]/PRODUCTOS[[#This Row],[CANT X MODULO]],"")</f>
        <v>81.904761904761898</v>
      </c>
      <c r="U178" s="3">
        <f>+SUMIFS(DETALLE_GD_1[VALOR TOTAL POR ITEM GD],DETALLE_GD_1[CODIGO],PRODUCTOS[[#This Row],[CODIGO]])</f>
        <v>865168</v>
      </c>
      <c r="V178" s="3">
        <f>+IFERROR(PRODUCTOS[[#This Row],[PRECIO DE COMPRA]]/PRODUCTOS[[#This Row],[CANT. COMPRADA]],"")</f>
        <v>20120.18604651163</v>
      </c>
      <c r="W178" s="3">
        <f>+IFERROR(PRODUCTOS[[#This Row],[PRECIO COMPRA UNITARIO]]*PRODUCTOS[[#This Row],[PPTO FALTANTE]],"")</f>
        <v>6571252.7627906986</v>
      </c>
      <c r="X178" s="7">
        <f>+IFERROR(PRODUCTOS[[#This Row],[PROYECCION COMPRA]]/PRODUCTOS[[#This Row],[PPTO TOTAL]]-1,"")</f>
        <v>0.12645368291320502</v>
      </c>
      <c r="Y178" s="3">
        <f>+IFERROR((PRODUCTOS[[#This Row],[CANT X MODULO]]*704)-PRODUCTOS[[#This Row],[CANT. COMPRADA]],"")</f>
        <v>326.60000000000002</v>
      </c>
      <c r="Z178" s="17">
        <f>+IFERROR(PRODUCTOS[[#This Row],[CANT. COMPRADA]]/PRODUCTOS[[#This Row],[PPTO FALTANTE]],"")</f>
        <v>0.1316595223515003</v>
      </c>
      <c r="AA178" s="3">
        <f>+IFERROR(PRODUCTOS[[#This Row],[PROYECCION COMPRA]]-(PRODUCTOS[[#This Row],[PPTO FALTANTE]]*PRODUCTOS[[#This Row],[PPTO]]),"")</f>
        <v>1416366.9305220982</v>
      </c>
      <c r="AB178" s="3">
        <f>+_xlfn.XLOOKUP(PRODUCTOS[[#This Row],[CODIGO]],DETALLE_GD_1[CODIGO],DETALLE_GD_1[VALOR PPTO],"",0)</f>
        <v>15783.483899999999</v>
      </c>
      <c r="AC178" s="3">
        <f>+AB178-PRODUCTOS[[#This Row],[PPTO_ACTUALIZADO]]</f>
        <v>2.8999998903600499E-5</v>
      </c>
    </row>
    <row r="179" spans="1:29" x14ac:dyDescent="0.25">
      <c r="A179">
        <v>1808156</v>
      </c>
      <c r="B179" s="81" t="s">
        <v>277</v>
      </c>
      <c r="C179" t="s">
        <v>655</v>
      </c>
      <c r="D179" t="s">
        <v>244</v>
      </c>
      <c r="E179">
        <v>0</v>
      </c>
      <c r="F179" s="2">
        <v>1943.6823529999999</v>
      </c>
      <c r="G179" s="6" t="s">
        <v>31</v>
      </c>
      <c r="H179" s="2">
        <v>1916</v>
      </c>
      <c r="I179" t="b">
        <v>0</v>
      </c>
      <c r="J179" s="81" t="str">
        <f>+_xlfn.XLOOKUP(PRODUCTOS[[#This Row],[CODIGO]],P_CRITICOS[CODIGO],P_CRITICOS[DESC CORTA],"",0)</f>
        <v/>
      </c>
      <c r="K179" s="81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1020.4332353250001</v>
      </c>
      <c r="N179" s="2">
        <f>+IFERROR(PRODUCTOS[[#This Row],[PPTO X MODULO]]*32,"")</f>
        <v>32653.863530400002</v>
      </c>
      <c r="O179" s="2">
        <f>+IFERROR(PRODUCTOS[[#This Row],[PPTO X TORRE]]*22,"")</f>
        <v>718384.99766880006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43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43</v>
      </c>
      <c r="T179" s="3">
        <f>+IFERROR(PRODUCTOS[[#This Row],[CANTIDAD RECIBIDA]]/PRODUCTOS[[#This Row],[CANT X MODULO]],"")</f>
        <v>81.904761904761898</v>
      </c>
      <c r="U179" s="3">
        <f>+SUMIFS(DETALLE_GD_1[VALOR TOTAL POR ITEM GD],DETALLE_GD_1[CODIGO],PRODUCTOS[[#This Row],[CODIGO]])</f>
        <v>83059</v>
      </c>
      <c r="V179" s="3">
        <f>+IFERROR(PRODUCTOS[[#This Row],[PRECIO DE COMPRA]]/PRODUCTOS[[#This Row],[CANT. COMPRADA]],"")</f>
        <v>1931.6046511627908</v>
      </c>
      <c r="W179" s="3">
        <f>+IFERROR(PRODUCTOS[[#This Row],[PRECIO COMPRA UNITARIO]]*PRODUCTOS[[#This Row],[PPTO FALTANTE]],"")</f>
        <v>630862.0790697675</v>
      </c>
      <c r="X179" s="7">
        <f>+IFERROR(PRODUCTOS[[#This Row],[PROYECCION COMPRA]]/PRODUCTOS[[#This Row],[PPTO TOTAL]]-1,"")</f>
        <v>-0.1218328874949357</v>
      </c>
      <c r="Y179" s="3">
        <f>+IFERROR((PRODUCTOS[[#This Row],[CANT X MODULO]]*704)-PRODUCTOS[[#This Row],[CANT. COMPRADA]],"")</f>
        <v>326.60000000000002</v>
      </c>
      <c r="Z179" s="17">
        <f>+IFERROR(PRODUCTOS[[#This Row],[CANT. COMPRADA]]/PRODUCTOS[[#This Row],[PPTO FALTANTE]],"")</f>
        <v>0.1316595223515003</v>
      </c>
      <c r="AA179" s="3">
        <f>+IFERROR(PRODUCTOS[[#This Row],[PROYECCION COMPRA]]-(PRODUCTOS[[#This Row],[PPTO FALTANTE]]*PRODUCTOS[[#This Row],[PPTO]]),"")</f>
        <v>-3944.5774200324668</v>
      </c>
      <c r="AB179" s="3">
        <f>+_xlfn.XLOOKUP(PRODUCTOS[[#This Row],[CODIGO]],DETALLE_GD_1[CODIGO],DETALLE_GD_1[VALOR PPTO],"",0)</f>
        <v>1916</v>
      </c>
      <c r="AC179" s="3">
        <f>+AB179-PRODUCTOS[[#This Row],[PPTO_ACTUALIZADO]]</f>
        <v>0</v>
      </c>
    </row>
    <row r="180" spans="1:29" x14ac:dyDescent="0.25">
      <c r="A180">
        <v>1802172</v>
      </c>
      <c r="B180" s="81" t="s">
        <v>266</v>
      </c>
      <c r="C180" t="s">
        <v>657</v>
      </c>
      <c r="D180" t="s">
        <v>244</v>
      </c>
      <c r="E180" t="s">
        <v>406</v>
      </c>
      <c r="F180" s="2">
        <v>3029.864865</v>
      </c>
      <c r="G180" s="6" t="s">
        <v>31</v>
      </c>
      <c r="H180" s="2">
        <v>3035</v>
      </c>
      <c r="I180" t="b">
        <v>0</v>
      </c>
      <c r="J180" s="81" t="str">
        <f>+_xlfn.XLOOKUP(PRODUCTOS[[#This Row],[CODIGO]],P_CRITICOS[CODIGO],P_CRITICOS[DESC CORTA],"",0)</f>
        <v/>
      </c>
      <c r="K180" s="81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1590.679054125</v>
      </c>
      <c r="N180" s="2">
        <f>+IFERROR(PRODUCTOS[[#This Row],[PPTO X MODULO]]*32,"")</f>
        <v>50901.729732</v>
      </c>
      <c r="O180" s="2">
        <f>+IFERROR(PRODUCTOS[[#This Row],[PPTO X TORRE]]*22,"")</f>
        <v>1119838.0541040001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43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43</v>
      </c>
      <c r="T180" s="3">
        <f>+IFERROR(PRODUCTOS[[#This Row],[CANTIDAD RECIBIDA]]/PRODUCTOS[[#This Row],[CANT X MODULO]],"")</f>
        <v>81.904761904761898</v>
      </c>
      <c r="U180" s="3">
        <f>+SUMIFS(DETALLE_GD_1[VALOR TOTAL POR ITEM GD],DETALLE_GD_1[CODIGO],PRODUCTOS[[#This Row],[CODIGO]])</f>
        <v>130393</v>
      </c>
      <c r="V180" s="3">
        <f>+IFERROR(PRODUCTOS[[#This Row],[PRECIO DE COMPRA]]/PRODUCTOS[[#This Row],[CANT. COMPRADA]],"")</f>
        <v>3032.3953488372094</v>
      </c>
      <c r="W180" s="3">
        <f>+IFERROR(PRODUCTOS[[#This Row],[PRECIO COMPRA UNITARIO]]*PRODUCTOS[[#This Row],[PPTO FALTANTE]],"")</f>
        <v>990380.32093023264</v>
      </c>
      <c r="X180" s="7">
        <f>+IFERROR(PRODUCTOS[[#This Row],[PROYECCION COMPRA]]/PRODUCTOS[[#This Row],[PPTO TOTAL]]-1,"")</f>
        <v>-0.11560397746739248</v>
      </c>
      <c r="Y180" s="3">
        <f>+IFERROR((PRODUCTOS[[#This Row],[CANT X MODULO]]*704)-PRODUCTOS[[#This Row],[CANT. COMPRADA]],"")</f>
        <v>326.60000000000002</v>
      </c>
      <c r="Z180" s="17">
        <f>+IFERROR(PRODUCTOS[[#This Row],[CANT. COMPRADA]]/PRODUCTOS[[#This Row],[PPTO FALTANTE]],"")</f>
        <v>0.1316595223515003</v>
      </c>
      <c r="AA180" s="3">
        <f>+IFERROR(PRODUCTOS[[#This Row],[PROYECCION COMPRA]]-(PRODUCTOS[[#This Row],[PPTO FALTANTE]]*PRODUCTOS[[#This Row],[PPTO]]),"")</f>
        <v>826.45602123253047</v>
      </c>
      <c r="AB180" s="3">
        <f>+_xlfn.XLOOKUP(PRODUCTOS[[#This Row],[CODIGO]],DETALLE_GD_1[CODIGO],DETALLE_GD_1[VALOR PPTO],"",0)</f>
        <v>3035</v>
      </c>
      <c r="AC180" s="3">
        <f>+AB180-PRODUCTOS[[#This Row],[PPTO_ACTUALIZADO]]</f>
        <v>0</v>
      </c>
    </row>
    <row r="181" spans="1:29" x14ac:dyDescent="0.25">
      <c r="A181">
        <v>2508994</v>
      </c>
      <c r="B181" s="81" t="s">
        <v>488</v>
      </c>
      <c r="C181" t="s">
        <v>684</v>
      </c>
      <c r="D181" t="s">
        <v>355</v>
      </c>
      <c r="E181" t="s">
        <v>355</v>
      </c>
      <c r="F181" s="2">
        <v>4139.7142860000004</v>
      </c>
      <c r="G181" s="6" t="s">
        <v>355</v>
      </c>
      <c r="H181" s="2">
        <v>1598</v>
      </c>
      <c r="I181" t="b">
        <v>0</v>
      </c>
      <c r="J181" s="81" t="str">
        <f>+_xlfn.XLOOKUP(PRODUCTOS[[#This Row],[CODIGO]],P_CRITICOS[CODIGO],P_CRITICOS[DESC CORTA],"",0)</f>
        <v/>
      </c>
      <c r="K181" s="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2173.3500001500001</v>
      </c>
      <c r="N181" s="2">
        <f>+IFERROR(PRODUCTOS[[#This Row],[PPTO X MODULO]]*32,"")</f>
        <v>69547.200004800005</v>
      </c>
      <c r="O181" s="2">
        <f>+IFERROR(PRODUCTOS[[#This Row],[PPTO X TORRE]]*22,"")</f>
        <v>1530038.4001056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74137</v>
      </c>
      <c r="V181" s="3">
        <f>+IFERROR(PRODUCTOS[[#This Row],[PRECIO DE COMPRA]]/PRODUCTOS[[#This Row],[CANT. COMPRADA]],"")</f>
        <v>1724.1162790697674</v>
      </c>
      <c r="W181" s="3">
        <f>+IFERROR(PRODUCTOS[[#This Row],[PRECIO COMPRA UNITARIO]]*PRODUCTOS[[#This Row],[PPTO FALTANTE]],"")</f>
        <v>563096.37674418604</v>
      </c>
      <c r="X181" s="7">
        <f>+IFERROR(PRODUCTOS[[#This Row],[PROYECCION COMPRA]]/PRODUCTOS[[#This Row],[PPTO TOTAL]]-1,"")</f>
        <v>-0.6319723892515885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-788934.30906341411</v>
      </c>
      <c r="AB181" s="3">
        <f>+_xlfn.XLOOKUP(PRODUCTOS[[#This Row],[CODIGO]],DETALLE_GD_1[CODIGO],DETALLE_GD_1[VALOR PPTO],"",0)</f>
        <v>1598</v>
      </c>
      <c r="AC181" s="3">
        <f>+AB181-PRODUCTOS[[#This Row],[PPTO_ACTUALIZADO]]</f>
        <v>0</v>
      </c>
    </row>
    <row r="182" spans="1:29" x14ac:dyDescent="0.25">
      <c r="A182">
        <v>302048</v>
      </c>
      <c r="B182" s="81" t="s">
        <v>126</v>
      </c>
      <c r="C182" t="s">
        <v>535</v>
      </c>
      <c r="D182" t="s">
        <v>240</v>
      </c>
      <c r="E182" t="s">
        <v>403</v>
      </c>
      <c r="F182" s="2">
        <v>13710.694960999999</v>
      </c>
      <c r="G182" s="6" t="s">
        <v>20</v>
      </c>
      <c r="H182" s="2">
        <v>0</v>
      </c>
      <c r="I182" t="b">
        <v>0</v>
      </c>
      <c r="J182" s="81" t="str">
        <f>+_xlfn.XLOOKUP(PRODUCTOS[[#This Row],[CODIGO]],P_CRITICOS[CODIGO],P_CRITICOS[DESC CORTA],"",0)</f>
        <v>PINO 2X8X4</v>
      </c>
      <c r="K182" s="81" t="str">
        <f>+IFERROR(IF(VLOOKUP(PRODUCTOS[[#This Row],[CODIGO]],P_CRITICOS[],3,0)="*","PRODUCTO CRITICO","NO CRITICO"),"NO CRITICO")</f>
        <v>PRODUCTO CRITICO</v>
      </c>
      <c r="L182" s="15">
        <f>+_xlfn.XLOOKUP(PRODUCTOS[[#This Row],[CODIGO]],BD_MODULO[Artículo],BD_MODULO[CUB_ACTUALIZADA],"",0)</f>
        <v>35.174999999999997</v>
      </c>
      <c r="M182" s="2">
        <f>+IFERROR(PRODUCTOS[[#This Row],[PPTO]]*PRODUCTOS[[#This Row],[CANT X MODULO]],"")</f>
        <v>482273.69525317493</v>
      </c>
      <c r="N182" s="2">
        <f>+IFERROR(PRODUCTOS[[#This Row],[PPTO X MODULO]]*32,"")</f>
        <v>15432758.248101598</v>
      </c>
      <c r="O182" s="2">
        <f>+IFERROR(PRODUCTOS[[#This Row],[PPTO X TORRE]]*22,"")</f>
        <v>339520681.45823514</v>
      </c>
      <c r="P182" s="3">
        <f>+IFERROR(PRODUCTOS[[#This Row],[CANT X MODULO]]*702,"")</f>
        <v>24692.85</v>
      </c>
      <c r="Q182" s="3">
        <f>+SUMIFS(DETALLE_GD_1[CANTIDAD SOLICITADA],DETALLE_GD_1[CODIGO],PRODUCTOS[[#This Row],[CODIGO]])</f>
        <v>2814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2814</v>
      </c>
      <c r="T182" s="3">
        <f>+IFERROR(PRODUCTOS[[#This Row],[CANTIDAD RECIBIDA]]/PRODUCTOS[[#This Row],[CANT X MODULO]],"")</f>
        <v>80</v>
      </c>
      <c r="U182" s="3">
        <f>+SUMIFS(DETALLE_GD_1[VALOR TOTAL POR ITEM GD],DETALLE_GD_1[CODIGO],PRODUCTOS[[#This Row],[CODIGO]])</f>
        <v>38704130</v>
      </c>
      <c r="V182" s="3">
        <f>+IFERROR(PRODUCTOS[[#This Row],[PRECIO DE COMPRA]]/PRODUCTOS[[#This Row],[CANT. COMPRADA]],"")</f>
        <v>13754.132906894101</v>
      </c>
      <c r="W182" s="3">
        <f>+IFERROR(PRODUCTOS[[#This Row],[PRECIO COMPRA UNITARIO]]*PRODUCTOS[[#This Row],[PPTO FALTANTE]],"")</f>
        <v>301892213.99999994</v>
      </c>
      <c r="X182" s="7">
        <f>+IFERROR(PRODUCTOS[[#This Row],[PROYECCION COMPRA]]/PRODUCTOS[[#This Row],[PPTO TOTAL]]-1,"")</f>
        <v>-0.11082820432800033</v>
      </c>
      <c r="Y182" s="3">
        <f>+IFERROR((PRODUCTOS[[#This Row],[CANT X MODULO]]*704)-PRODUCTOS[[#This Row],[CANT. COMPRADA]],"")</f>
        <v>21949.199999999997</v>
      </c>
      <c r="Z182" s="17">
        <f>+IFERROR(PRODUCTOS[[#This Row],[CANT. COMPRADA]]/PRODUCTOS[[#This Row],[PPTO FALTANTE]],"")</f>
        <v>0.12820512820512822</v>
      </c>
      <c r="AA182" s="3">
        <f>+IFERROR(PRODUCTOS[[#This Row],[PROYECCION COMPRA]]-(PRODUCTOS[[#This Row],[PPTO FALTANTE]]*PRODUCTOS[[#This Row],[PPTO]]),"")</f>
        <v>953428.16201877594</v>
      </c>
      <c r="AB182" s="3">
        <f>+_xlfn.XLOOKUP(PRODUCTOS[[#This Row],[CODIGO]],DETALLE_GD_1[CODIGO],DETALLE_GD_1[VALOR PPTO],"",0)</f>
        <v>13710.695</v>
      </c>
      <c r="AC182" s="3">
        <f>+AB182-PRODUCTOS[[#This Row],[PPTO_ACTUALIZADO]]</f>
        <v>13710.695</v>
      </c>
    </row>
    <row r="183" spans="1:29" x14ac:dyDescent="0.25">
      <c r="A183">
        <v>1405025</v>
      </c>
      <c r="B183" s="81" t="s">
        <v>189</v>
      </c>
      <c r="C183">
        <v>0</v>
      </c>
      <c r="D183" t="s">
        <v>244</v>
      </c>
      <c r="E183" t="s">
        <v>408</v>
      </c>
      <c r="F183" s="2">
        <v>6758.5333330000003</v>
      </c>
      <c r="G183" s="6" t="s">
        <v>31</v>
      </c>
      <c r="H183" s="2">
        <v>6758.5333330000003</v>
      </c>
      <c r="I183" t="b">
        <v>1</v>
      </c>
      <c r="J183" s="81" t="str">
        <f>+_xlfn.XLOOKUP(PRODUCTOS[[#This Row],[CODIGO]],P_CRITICOS[CODIGO],P_CRITICOS[DESC CORTA],"",0)</f>
        <v/>
      </c>
      <c r="K183" s="81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3548.2299998250005</v>
      </c>
      <c r="N183" s="2">
        <f>+IFERROR(PRODUCTOS[[#This Row],[PPTO X MODULO]]*32,"")</f>
        <v>113543.35999440002</v>
      </c>
      <c r="O183" s="2">
        <f>+IFERROR(PRODUCTOS[[#This Row],[PPTO X TORRE]]*22,"")</f>
        <v>2497953.9198768004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41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41</v>
      </c>
      <c r="T183" s="3">
        <f>+IFERROR(PRODUCTOS[[#This Row],[CANTIDAD RECIBIDA]]/PRODUCTOS[[#This Row],[CANT X MODULO]],"")</f>
        <v>78.095238095238088</v>
      </c>
      <c r="U183" s="3">
        <f>+SUMIFS(DETALLE_GD_1[VALOR TOTAL POR ITEM GD],DETALLE_GD_1[CODIGO],PRODUCTOS[[#This Row],[CODIGO]])</f>
        <v>286166</v>
      </c>
      <c r="V183" s="3">
        <f>+IFERROR(PRODUCTOS[[#This Row],[PRECIO DE COMPRA]]/PRODUCTOS[[#This Row],[CANT. COMPRADA]],"")</f>
        <v>6979.6585365853662</v>
      </c>
      <c r="W183" s="3">
        <f>+IFERROR(PRODUCTOS[[#This Row],[PRECIO COMPRA UNITARIO]]*PRODUCTOS[[#This Row],[PPTO FALTANTE]],"")</f>
        <v>2293515.7951219515</v>
      </c>
      <c r="X183" s="7">
        <f>+IFERROR(PRODUCTOS[[#This Row],[PROYECCION COMPRA]]/PRODUCTOS[[#This Row],[PPTO TOTAL]]-1,"")</f>
        <v>-8.1842232207762988E-2</v>
      </c>
      <c r="Y183" s="3">
        <f>+IFERROR((PRODUCTOS[[#This Row],[CANT X MODULO]]*704)-PRODUCTOS[[#This Row],[CANT. COMPRADA]],"")</f>
        <v>328.6</v>
      </c>
      <c r="Z183" s="17">
        <f>+IFERROR(PRODUCTOS[[#This Row],[CANT. COMPRADA]]/PRODUCTOS[[#This Row],[PPTO FALTANTE]],"")</f>
        <v>0.1247717589774802</v>
      </c>
      <c r="AA183" s="3">
        <f>+IFERROR(PRODUCTOS[[#This Row],[PROYECCION COMPRA]]-(PRODUCTOS[[#This Row],[PPTO FALTANTE]]*PRODUCTOS[[#This Row],[PPTO]]),"")</f>
        <v>72661.741898151115</v>
      </c>
      <c r="AB183" s="3">
        <f>+_xlfn.XLOOKUP(PRODUCTOS[[#This Row],[CODIGO]],DETALLE_GD_1[CODIGO],DETALLE_GD_1[VALOR PPTO],"",0)</f>
        <v>6758.5333000000001</v>
      </c>
      <c r="AC183" s="3">
        <f>+AB183-PRODUCTOS[[#This Row],[PPTO_ACTUALIZADO]]</f>
        <v>-3.3000000257743523E-5</v>
      </c>
    </row>
    <row r="184" spans="1:29" x14ac:dyDescent="0.25">
      <c r="A184">
        <v>2508991</v>
      </c>
      <c r="B184" s="81" t="s">
        <v>485</v>
      </c>
      <c r="C184" t="s">
        <v>681</v>
      </c>
      <c r="D184" t="s">
        <v>355</v>
      </c>
      <c r="E184" t="s">
        <v>355</v>
      </c>
      <c r="F184" s="2">
        <v>4139.7142860000004</v>
      </c>
      <c r="G184" s="6" t="s">
        <v>355</v>
      </c>
      <c r="H184" s="2">
        <v>4798</v>
      </c>
      <c r="I184" t="b">
        <v>0</v>
      </c>
      <c r="J184" s="81" t="str">
        <f>+_xlfn.XLOOKUP(PRODUCTOS[[#This Row],[CODIGO]],P_CRITICOS[CODIGO],P_CRITICOS[DESC CORTA],"",0)</f>
        <v/>
      </c>
      <c r="K184" s="81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1.05</v>
      </c>
      <c r="M184" s="2">
        <f>+IFERROR(PRODUCTOS[[#This Row],[PPTO]]*PRODUCTOS[[#This Row],[CANT X MODULO]],"")</f>
        <v>4346.7000003000003</v>
      </c>
      <c r="N184" s="2">
        <f>+IFERROR(PRODUCTOS[[#This Row],[PPTO X MODULO]]*32,"")</f>
        <v>139094.40000960001</v>
      </c>
      <c r="O184" s="2">
        <f>+IFERROR(PRODUCTOS[[#This Row],[PPTO X TORRE]]*22,"")</f>
        <v>3060076.8002112</v>
      </c>
      <c r="P184" s="3">
        <f>+IFERROR(PRODUCTOS[[#This Row],[CANT X MODULO]]*702,"")</f>
        <v>737.1</v>
      </c>
      <c r="Q184" s="3">
        <f>+SUMIFS(DETALLE_GD_1[CANTIDAD SOLICITADA],DETALLE_GD_1[CODIGO],PRODUCTOS[[#This Row],[CODIGO]])</f>
        <v>82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82</v>
      </c>
      <c r="T184" s="3">
        <f>+IFERROR(PRODUCTOS[[#This Row],[CANTIDAD RECIBIDA]]/PRODUCTOS[[#This Row],[CANT X MODULO]],"")</f>
        <v>78.095238095238088</v>
      </c>
      <c r="U184" s="3">
        <f>+SUMIFS(DETALLE_GD_1[VALOR TOTAL POR ITEM GD],DETALLE_GD_1[CODIGO],PRODUCTOS[[#This Row],[CODIGO]])</f>
        <v>392172</v>
      </c>
      <c r="V184" s="3">
        <f>+IFERROR(PRODUCTOS[[#This Row],[PRECIO DE COMPRA]]/PRODUCTOS[[#This Row],[CANT. COMPRADA]],"")</f>
        <v>4782.5853658536589</v>
      </c>
      <c r="W184" s="3">
        <f>+IFERROR(PRODUCTOS[[#This Row],[PRECIO COMPRA UNITARIO]]*PRODUCTOS[[#This Row],[PPTO FALTANTE]],"")</f>
        <v>3143115.102439025</v>
      </c>
      <c r="X184" s="7">
        <f>+IFERROR(PRODUCTOS[[#This Row],[PROYECCION COMPRA]]/PRODUCTOS[[#This Row],[PPTO TOTAL]]-1,"")</f>
        <v>2.7136019011710255E-2</v>
      </c>
      <c r="Y184" s="3">
        <f>+IFERROR((PRODUCTOS[[#This Row],[CANT X MODULO]]*704)-PRODUCTOS[[#This Row],[CANT. COMPRADA]],"")</f>
        <v>657.2</v>
      </c>
      <c r="Z184" s="17">
        <f>+IFERROR(PRODUCTOS[[#This Row],[CANT. COMPRADA]]/PRODUCTOS[[#This Row],[PPTO FALTANTE]],"")</f>
        <v>0.1247717589774802</v>
      </c>
      <c r="AA184" s="3">
        <f>+IFERROR(PRODUCTOS[[#This Row],[PROYECCION COMPRA]]-(PRODUCTOS[[#This Row],[PPTO FALTANTE]]*PRODUCTOS[[#This Row],[PPTO]]),"")</f>
        <v>422494.87367982464</v>
      </c>
      <c r="AB184" s="3">
        <f>+_xlfn.XLOOKUP(PRODUCTOS[[#This Row],[CODIGO]],DETALLE_GD_1[CODIGO],DETALLE_GD_1[VALOR PPTO],"",0)</f>
        <v>4798</v>
      </c>
      <c r="AC184" s="3">
        <f>+AB184-PRODUCTOS[[#This Row],[PPTO_ACTUALIZADO]]</f>
        <v>0</v>
      </c>
    </row>
    <row r="185" spans="1:29" x14ac:dyDescent="0.25">
      <c r="A185">
        <v>2302118</v>
      </c>
      <c r="B185" s="81" t="s">
        <v>228</v>
      </c>
      <c r="C185">
        <v>0</v>
      </c>
      <c r="D185">
        <v>0</v>
      </c>
      <c r="E185">
        <v>0</v>
      </c>
      <c r="F185" s="2">
        <v>0</v>
      </c>
      <c r="G185" s="6" t="s">
        <v>31</v>
      </c>
      <c r="H185" s="2">
        <v>101250</v>
      </c>
      <c r="I185" t="b">
        <v>0</v>
      </c>
      <c r="J185" s="81" t="str">
        <f>+_xlfn.XLOOKUP(PRODUCTOS[[#This Row],[CODIGO]],P_CRITICOS[CODIGO],P_CRITICOS[DESC CORTA],"",0)</f>
        <v/>
      </c>
      <c r="K185" s="81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0.31171874999999999</v>
      </c>
      <c r="M185" s="2">
        <f>+IFERROR(PRODUCTOS[[#This Row],[PPTO]]*PRODUCTOS[[#This Row],[CANT X MODULO]],"")</f>
        <v>0</v>
      </c>
      <c r="N185" s="2">
        <f>+IFERROR(PRODUCTOS[[#This Row],[PPTO X MODULO]]*32,"")</f>
        <v>0</v>
      </c>
      <c r="O185" s="2">
        <f>+IFERROR(PRODUCTOS[[#This Row],[PPTO X TORRE]]*22,"")</f>
        <v>0</v>
      </c>
      <c r="P185" s="3">
        <f>+IFERROR(PRODUCTOS[[#This Row],[CANT X MODULO]]*702,"")</f>
        <v>218.82656249999999</v>
      </c>
      <c r="Q185" s="3">
        <f>+SUMIFS(DETALLE_GD_1[CANTIDAD SOLICITADA],DETALLE_GD_1[CODIGO],PRODUCTOS[[#This Row],[CODIGO]])</f>
        <v>24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24</v>
      </c>
      <c r="T185" s="3">
        <f>+IFERROR(PRODUCTOS[[#This Row],[CANTIDAD RECIBIDA]]/PRODUCTOS[[#This Row],[CANT X MODULO]],"")</f>
        <v>76.992481203007515</v>
      </c>
      <c r="U185" s="3">
        <f>+SUMIFS(DETALLE_GD_1[VALOR TOTAL POR ITEM GD],DETALLE_GD_1[CODIGO],PRODUCTOS[[#This Row],[CODIGO]])</f>
        <v>1992878</v>
      </c>
      <c r="V185" s="3">
        <f>+IFERROR(PRODUCTOS[[#This Row],[PRECIO DE COMPRA]]/PRODUCTOS[[#This Row],[CANT. COMPRADA]],"")</f>
        <v>83036.583333333328</v>
      </c>
      <c r="W185" s="3">
        <f>+IFERROR(PRODUCTOS[[#This Row],[PRECIO COMPRA UNITARIO]]*PRODUCTOS[[#This Row],[PPTO FALTANTE]],"")</f>
        <v>16229500.212499999</v>
      </c>
      <c r="X185" s="7" t="str">
        <f>+IFERROR(PRODUCTOS[[#This Row],[PROYECCION COMPRA]]/PRODUCTOS[[#This Row],[PPTO TOTAL]]-1,"")</f>
        <v/>
      </c>
      <c r="Y185" s="3">
        <f>+IFERROR((PRODUCTOS[[#This Row],[CANT X MODULO]]*704)-PRODUCTOS[[#This Row],[CANT. COMPRADA]],"")</f>
        <v>195.45</v>
      </c>
      <c r="Z185" s="17">
        <f>+IFERROR(PRODUCTOS[[#This Row],[CANT. COMPRADA]]/PRODUCTOS[[#This Row],[PPTO FALTANTE]],"")</f>
        <v>0.12279355333844974</v>
      </c>
      <c r="AA185" s="3">
        <f>+IFERROR(PRODUCTOS[[#This Row],[PROYECCION COMPRA]]-(PRODUCTOS[[#This Row],[PPTO FALTANTE]]*PRODUCTOS[[#This Row],[PPTO]]),"")</f>
        <v>16229500.212499999</v>
      </c>
      <c r="AB185" s="3">
        <f>+_xlfn.XLOOKUP(PRODUCTOS[[#This Row],[CODIGO]],DETALLE_GD_1[CODIGO],DETALLE_GD_1[VALOR PPTO],"",0)</f>
        <v>101250</v>
      </c>
      <c r="AC185" s="3">
        <f>+AB185-PRODUCTOS[[#This Row],[PPTO_ACTUALIZADO]]</f>
        <v>0</v>
      </c>
    </row>
    <row r="186" spans="1:29" x14ac:dyDescent="0.25">
      <c r="A186">
        <v>2508993</v>
      </c>
      <c r="B186" s="81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s="81" t="str">
        <f>+_xlfn.XLOOKUP(PRODUCTOS[[#This Row],[CODIGO]],P_CRITICOS[CODIGO],P_CRITICOS[DESC CORTA],"",0)</f>
        <v/>
      </c>
      <c r="K186" s="81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80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80</v>
      </c>
      <c r="T186" s="3">
        <f>+IFERROR(PRODUCTOS[[#This Row],[CANTIDAD RECIBIDA]]/PRODUCTOS[[#This Row],[CANT X MODULO]],"")</f>
        <v>76.19047619047619</v>
      </c>
      <c r="U186" s="3">
        <f>+SUMIFS(DETALLE_GD_1[VALOR TOTAL POR ITEM GD],DETALLE_GD_1[CODIGO],PRODUCTOS[[#This Row],[CODIGO]])</f>
        <v>118076</v>
      </c>
      <c r="V186" s="3">
        <f>+IFERROR(PRODUCTOS[[#This Row],[PRECIO DE COMPRA]]/PRODUCTOS[[#This Row],[CANT. COMPRADA]],"")</f>
        <v>1475.95</v>
      </c>
      <c r="W186" s="3">
        <f>+IFERROR(PRODUCTOS[[#This Row],[PRECIO COMPRA UNITARIO]]*PRODUCTOS[[#This Row],[PPTO FALTANTE]],"")</f>
        <v>972946.24000000011</v>
      </c>
      <c r="X186" s="7">
        <f>+IFERROR(PRODUCTOS[[#This Row],[PROYECCION COMPRA]]/PRODUCTOS[[#This Row],[PPTO TOTAL]]-1,"")</f>
        <v>-0.68205169231934004</v>
      </c>
      <c r="Y186" s="3">
        <f>+IFERROR((PRODUCTOS[[#This Row],[CANT X MODULO]]*704)-PRODUCTOS[[#This Row],[CANT. COMPRADA]],"")</f>
        <v>659.2</v>
      </c>
      <c r="Z186" s="17">
        <f>+IFERROR(PRODUCTOS[[#This Row],[CANT. COMPRADA]]/PRODUCTOS[[#This Row],[PPTO FALTANTE]],"")</f>
        <v>0.12135922330097086</v>
      </c>
      <c r="AA186" s="3">
        <f>+IFERROR(PRODUCTOS[[#This Row],[PROYECCION COMPRA]]-(PRODUCTOS[[#This Row],[PPTO FALTANTE]]*PRODUCTOS[[#This Row],[PPTO]]),"")</f>
        <v>-1755953.4173312001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5316507</v>
      </c>
      <c r="B187" s="81" t="s">
        <v>55</v>
      </c>
      <c r="C187" t="s">
        <v>577</v>
      </c>
      <c r="D187" t="s">
        <v>280</v>
      </c>
      <c r="E187" t="s">
        <v>405</v>
      </c>
      <c r="F187" s="2">
        <v>41419.666666999998</v>
      </c>
      <c r="G187" s="6" t="s">
        <v>31</v>
      </c>
      <c r="H187" s="2">
        <v>41419.666666999998</v>
      </c>
      <c r="I187" t="b">
        <v>1</v>
      </c>
      <c r="J187" s="81" t="str">
        <f>+_xlfn.XLOOKUP(PRODUCTOS[[#This Row],[CODIGO]],P_CRITICOS[CODIGO],P_CRITICOS[DESC CORTA],"",0)</f>
        <v/>
      </c>
      <c r="K187" s="81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0.52500000000000002</v>
      </c>
      <c r="M187" s="2">
        <f>+IFERROR(PRODUCTOS[[#This Row],[PPTO]]*PRODUCTOS[[#This Row],[CANT X MODULO]],"")</f>
        <v>21745.325000174998</v>
      </c>
      <c r="N187" s="2">
        <f>+IFERROR(PRODUCTOS[[#This Row],[PPTO X MODULO]]*32,"")</f>
        <v>695850.40000559995</v>
      </c>
      <c r="O187" s="2">
        <f>+IFERROR(PRODUCTOS[[#This Row],[PPTO X TORRE]]*22,"")</f>
        <v>15308708.8001232</v>
      </c>
      <c r="P187" s="3">
        <f>+IFERROR(PRODUCTOS[[#This Row],[CANT X MODULO]]*702,"")</f>
        <v>368.55</v>
      </c>
      <c r="Q187" s="3">
        <f>+SUMIFS(DETALLE_GD_1[CANTIDAD SOLICITADA],DETALLE_GD_1[CODIGO],PRODUCTOS[[#This Row],[CODIGO]])</f>
        <v>39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39</v>
      </c>
      <c r="T187" s="3">
        <f>+IFERROR(PRODUCTOS[[#This Row],[CANTIDAD RECIBIDA]]/PRODUCTOS[[#This Row],[CANT X MODULO]],"")</f>
        <v>74.285714285714278</v>
      </c>
      <c r="U187" s="3">
        <f>+SUMIFS(DETALLE_GD_1[VALOR TOTAL POR ITEM GD],DETALLE_GD_1[CODIGO],PRODUCTOS[[#This Row],[CODIGO]])</f>
        <v>1618693</v>
      </c>
      <c r="V187" s="3">
        <f>+IFERROR(PRODUCTOS[[#This Row],[PRECIO DE COMPRA]]/PRODUCTOS[[#This Row],[CANT. COMPRADA]],"")</f>
        <v>41504.948717948719</v>
      </c>
      <c r="W187" s="3">
        <f>+IFERROR(PRODUCTOS[[#This Row],[PRECIO COMPRA UNITARIO]]*PRODUCTOS[[#This Row],[PPTO FALTANTE]],"")</f>
        <v>13721536.046153847</v>
      </c>
      <c r="X187" s="7">
        <f>+IFERROR(PRODUCTOS[[#This Row],[PROYECCION COMPRA]]/PRODUCTOS[[#This Row],[PPTO TOTAL]]-1,"")</f>
        <v>-0.10367776764795344</v>
      </c>
      <c r="Y187" s="3">
        <f>+IFERROR((PRODUCTOS[[#This Row],[CANT X MODULO]]*704)-PRODUCTOS[[#This Row],[CANT. COMPRADA]],"")</f>
        <v>330.6</v>
      </c>
      <c r="Z187" s="17">
        <f>+IFERROR(PRODUCTOS[[#This Row],[CANT. COMPRADA]]/PRODUCTOS[[#This Row],[PPTO FALTANTE]],"")</f>
        <v>0.11796733212341197</v>
      </c>
      <c r="AA187" s="3">
        <f>+IFERROR(PRODUCTOS[[#This Row],[PROYECCION COMPRA]]-(PRODUCTOS[[#This Row],[PPTO FALTANTE]]*PRODUCTOS[[#This Row],[PPTO]]),"")</f>
        <v>28194.246043646708</v>
      </c>
      <c r="AB187" s="3">
        <f>+_xlfn.XLOOKUP(PRODUCTOS[[#This Row],[CODIGO]],DETALLE_GD_1[CODIGO],DETALLE_GD_1[VALOR PPTO],"",0)</f>
        <v>41419.666700000002</v>
      </c>
      <c r="AC187" s="3">
        <f>+AB187-PRODUCTOS[[#This Row],[PPTO_ACTUALIZADO]]</f>
        <v>3.300000389572233E-5</v>
      </c>
    </row>
    <row r="188" spans="1:29" x14ac:dyDescent="0.25">
      <c r="A188">
        <v>2508990</v>
      </c>
      <c r="B188" s="81" t="s">
        <v>484</v>
      </c>
      <c r="C188" t="s">
        <v>680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6738</v>
      </c>
      <c r="I188" t="b">
        <v>0</v>
      </c>
      <c r="J188" s="81" t="str">
        <f>+_xlfn.XLOOKUP(PRODUCTOS[[#This Row],[CODIGO]],P_CRITICOS[CODIGO],P_CRITICOS[DESC CORTA],"",0)</f>
        <v/>
      </c>
      <c r="K188" s="81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78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78</v>
      </c>
      <c r="T188" s="3">
        <f>+IFERROR(PRODUCTOS[[#This Row],[CANTIDAD RECIBIDA]]/PRODUCTOS[[#This Row],[CANT X MODULO]],"")</f>
        <v>74.285714285714278</v>
      </c>
      <c r="U188" s="3">
        <f>+SUMIFS(DETALLE_GD_1[VALOR TOTAL POR ITEM GD],DETALLE_GD_1[CODIGO],PRODUCTOS[[#This Row],[CODIGO]])</f>
        <v>520734</v>
      </c>
      <c r="V188" s="3">
        <f>+IFERROR(PRODUCTOS[[#This Row],[PRECIO DE COMPRA]]/PRODUCTOS[[#This Row],[CANT. COMPRADA]],"")</f>
        <v>6676.0769230769229</v>
      </c>
      <c r="W188" s="3">
        <f>+IFERROR(PRODUCTOS[[#This Row],[PRECIO COMPRA UNITARIO]]*PRODUCTOS[[#This Row],[PPTO FALTANTE]],"")</f>
        <v>4414222.0615384616</v>
      </c>
      <c r="X188" s="7">
        <f>+IFERROR(PRODUCTOS[[#This Row],[PROYECCION COMPRA]]/PRODUCTOS[[#This Row],[PPTO TOTAL]]-1,"")</f>
        <v>0.44252002473722274</v>
      </c>
      <c r="Y188" s="3">
        <f>+IFERROR((PRODUCTOS[[#This Row],[CANT X MODULO]]*704)-PRODUCTOS[[#This Row],[CANT. COMPRADA]],"")</f>
        <v>661.2</v>
      </c>
      <c r="Z188" s="17">
        <f>+IFERROR(PRODUCTOS[[#This Row],[CANT. COMPRADA]]/PRODUCTOS[[#This Row],[PPTO FALTANTE]],"")</f>
        <v>0.11796733212341197</v>
      </c>
      <c r="AA188" s="3">
        <f>+IFERROR(PRODUCTOS[[#This Row],[PROYECCION COMPRA]]-(PRODUCTOS[[#This Row],[PPTO FALTANTE]]*PRODUCTOS[[#This Row],[PPTO]]),"")</f>
        <v>1677042.9756352613</v>
      </c>
      <c r="AB188" s="3">
        <f>+_xlfn.XLOOKUP(PRODUCTOS[[#This Row],[CODIGO]],DETALLE_GD_1[CODIGO],DETALLE_GD_1[VALOR PPTO],"",0)</f>
        <v>6738</v>
      </c>
      <c r="AC188" s="3">
        <f>+AB188-PRODUCTOS[[#This Row],[PPTO_ACTUALIZADO]]</f>
        <v>0</v>
      </c>
    </row>
    <row r="189" spans="1:29" x14ac:dyDescent="0.25">
      <c r="A189">
        <v>4212234</v>
      </c>
      <c r="B189" s="81" t="s">
        <v>54</v>
      </c>
      <c r="C189" t="s">
        <v>576</v>
      </c>
      <c r="D189" t="s">
        <v>244</v>
      </c>
      <c r="E189">
        <v>0</v>
      </c>
      <c r="F189" s="2">
        <v>124909</v>
      </c>
      <c r="G189" s="6" t="s">
        <v>31</v>
      </c>
      <c r="H189" s="2">
        <v>124909</v>
      </c>
      <c r="I189" t="b">
        <v>1</v>
      </c>
      <c r="J189" s="81" t="str">
        <f>+_xlfn.XLOOKUP(PRODUCTOS[[#This Row],[CODIGO]],P_CRITICOS[CODIGO],P_CRITICOS[DESC CORTA],"",0)</f>
        <v/>
      </c>
      <c r="K189" s="81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65577.225000000006</v>
      </c>
      <c r="N189" s="2">
        <f>+IFERROR(PRODUCTOS[[#This Row],[PPTO X MODULO]]*32,"")</f>
        <v>2098471.2000000002</v>
      </c>
      <c r="O189" s="2">
        <f>+IFERROR(PRODUCTOS[[#This Row],[PPTO X TORRE]]*22,"")</f>
        <v>46166366.400000006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38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38</v>
      </c>
      <c r="T189" s="3">
        <f>+IFERROR(PRODUCTOS[[#This Row],[CANTIDAD RECIBIDA]]/PRODUCTOS[[#This Row],[CANT X MODULO]],"")</f>
        <v>72.38095238095238</v>
      </c>
      <c r="U189" s="3">
        <f>+SUMIFS(DETALLE_GD_1[VALOR TOTAL POR ITEM GD],DETALLE_GD_1[CODIGO],PRODUCTOS[[#This Row],[CODIGO]])</f>
        <v>4825633</v>
      </c>
      <c r="V189" s="3">
        <f>+IFERROR(PRODUCTOS[[#This Row],[PRECIO DE COMPRA]]/PRODUCTOS[[#This Row],[CANT. COMPRADA]],"")</f>
        <v>126990.34210526316</v>
      </c>
      <c r="W189" s="3">
        <f>+IFERROR(PRODUCTOS[[#This Row],[PRECIO COMPRA UNITARIO]]*PRODUCTOS[[#This Row],[PPTO FALTANTE]],"")</f>
        <v>42109997.442105263</v>
      </c>
      <c r="X189" s="7">
        <f>+IFERROR(PRODUCTOS[[#This Row],[PROYECCION COMPRA]]/PRODUCTOS[[#This Row],[PPTO TOTAL]]-1,"")</f>
        <v>-8.7864159001578734E-2</v>
      </c>
      <c r="Y189" s="3">
        <f>+IFERROR((PRODUCTOS[[#This Row],[CANT X MODULO]]*704)-PRODUCTOS[[#This Row],[CANT. COMPRADA]],"")</f>
        <v>331.6</v>
      </c>
      <c r="Z189" s="17">
        <f>+IFERROR(PRODUCTOS[[#This Row],[CANT. COMPRADA]]/PRODUCTOS[[#This Row],[PPTO FALTANTE]],"")</f>
        <v>0.11459589867310012</v>
      </c>
      <c r="AA189" s="3">
        <f>+IFERROR(PRODUCTOS[[#This Row],[PROYECCION COMPRA]]-(PRODUCTOS[[#This Row],[PPTO FALTANTE]]*PRODUCTOS[[#This Row],[PPTO]]),"")</f>
        <v>690173.04210525751</v>
      </c>
      <c r="AB189" s="3">
        <f>+_xlfn.XLOOKUP(PRODUCTOS[[#This Row],[CODIGO]],DETALLE_GD_1[CODIGO],DETALLE_GD_1[VALOR PPTO],"",0)</f>
        <v>124909</v>
      </c>
      <c r="AC189" s="3">
        <f>+AB189-PRODUCTOS[[#This Row],[PPTO_ACTUALIZADO]]</f>
        <v>0</v>
      </c>
    </row>
    <row r="190" spans="1:29" x14ac:dyDescent="0.25">
      <c r="A190">
        <v>701015</v>
      </c>
      <c r="B190" s="81" t="s">
        <v>254</v>
      </c>
      <c r="C190" t="s">
        <v>592</v>
      </c>
      <c r="D190" t="s">
        <v>240</v>
      </c>
      <c r="E190" t="s">
        <v>402</v>
      </c>
      <c r="F190" s="2">
        <v>9151.2974680000007</v>
      </c>
      <c r="G190" s="6" t="s">
        <v>18</v>
      </c>
      <c r="H190" s="2">
        <v>9151.2974680000007</v>
      </c>
      <c r="I190" t="b">
        <v>1</v>
      </c>
      <c r="J190" s="81" t="str">
        <f>+_xlfn.XLOOKUP(PRODUCTOS[[#This Row],[CODIGO]],P_CRITICOS[CODIGO],P_CRITICOS[DESC CORTA],"",0)</f>
        <v/>
      </c>
      <c r="K190" s="81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4.7250000000000005</v>
      </c>
      <c r="M190" s="2">
        <f>+IFERROR(PRODUCTOS[[#This Row],[PPTO]]*PRODUCTOS[[#This Row],[CANT X MODULO]],"")</f>
        <v>43239.880536300006</v>
      </c>
      <c r="N190" s="2">
        <f>+IFERROR(PRODUCTOS[[#This Row],[PPTO X MODULO]]*32,"")</f>
        <v>1383676.1771616002</v>
      </c>
      <c r="O190" s="2">
        <f>+IFERROR(PRODUCTOS[[#This Row],[PPTO X TORRE]]*22,"")</f>
        <v>30440875.897555206</v>
      </c>
      <c r="P190" s="3">
        <f>+IFERROR(PRODUCTOS[[#This Row],[CANT X MODULO]]*702,"")</f>
        <v>3316.9500000000003</v>
      </c>
      <c r="Q190" s="3">
        <f>+SUMIFS(DETALLE_GD_1[CANTIDAD SOLICITADA],DETALLE_GD_1[CODIGO],PRODUCTOS[[#This Row],[CODIGO]])</f>
        <v>336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336</v>
      </c>
      <c r="T190" s="3">
        <f>+IFERROR(PRODUCTOS[[#This Row],[CANTIDAD RECIBIDA]]/PRODUCTOS[[#This Row],[CANT X MODULO]],"")</f>
        <v>71.1111111111111</v>
      </c>
      <c r="U190" s="3">
        <f>+SUMIFS(DETALLE_GD_1[VALOR TOTAL POR ITEM GD],DETALLE_GD_1[CODIGO],PRODUCTOS[[#This Row],[CODIGO]])</f>
        <v>3104236</v>
      </c>
      <c r="V190" s="3">
        <f>+IFERROR(PRODUCTOS[[#This Row],[PRECIO DE COMPRA]]/PRODUCTOS[[#This Row],[CANT. COMPRADA]],"")</f>
        <v>9238.7976190476184</v>
      </c>
      <c r="W190" s="3">
        <f>+IFERROR(PRODUCTOS[[#This Row],[PRECIO COMPRA UNITARIO]]*PRODUCTOS[[#This Row],[PPTO FALTANTE]],"")</f>
        <v>27627700.400000002</v>
      </c>
      <c r="X190" s="7">
        <f>+IFERROR(PRODUCTOS[[#This Row],[PROYECCION COMPRA]]/PRODUCTOS[[#This Row],[PPTO TOTAL]]-1,"")</f>
        <v>-9.2414407095990914E-2</v>
      </c>
      <c r="Y190" s="3">
        <f>+IFERROR((PRODUCTOS[[#This Row],[CANT X MODULO]]*704)-PRODUCTOS[[#This Row],[CANT. COMPRADA]],"")</f>
        <v>2990.4000000000005</v>
      </c>
      <c r="Z190" s="17">
        <f>+IFERROR(PRODUCTOS[[#This Row],[CANT. COMPRADA]]/PRODUCTOS[[#This Row],[PPTO FALTANTE]],"")</f>
        <v>0.11235955056179774</v>
      </c>
      <c r="AA190" s="3">
        <f>+IFERROR(PRODUCTOS[[#This Row],[PROYECCION COMPRA]]-(PRODUCTOS[[#This Row],[PPTO FALTANTE]]*PRODUCTOS[[#This Row],[PPTO]]),"")</f>
        <v>261660.45169279352</v>
      </c>
      <c r="AB190" s="3">
        <f>+_xlfn.XLOOKUP(PRODUCTOS[[#This Row],[CODIGO]],DETALLE_GD_1[CODIGO],DETALLE_GD_1[VALOR PPTO],"",0)</f>
        <v>9151.2975000000006</v>
      </c>
      <c r="AC190" s="3">
        <f>+AB190-PRODUCTOS[[#This Row],[PPTO_ACTUALIZADO]]</f>
        <v>3.1999999919207767E-5</v>
      </c>
    </row>
    <row r="191" spans="1:29" x14ac:dyDescent="0.25">
      <c r="A191">
        <v>617055</v>
      </c>
      <c r="B191" s="81" t="s">
        <v>182</v>
      </c>
      <c r="C191">
        <v>0</v>
      </c>
      <c r="D191">
        <v>0</v>
      </c>
      <c r="E191">
        <v>0</v>
      </c>
      <c r="F191" s="2">
        <v>920.35378100000003</v>
      </c>
      <c r="G191" s="6" t="s">
        <v>31</v>
      </c>
      <c r="H191" s="2">
        <v>0</v>
      </c>
      <c r="I191" t="b">
        <v>0</v>
      </c>
      <c r="J191" s="81" t="str">
        <f>+_xlfn.XLOOKUP(PRODUCTOS[[#This Row],[CODIGO]],P_CRITICOS[CODIGO],P_CRITICOS[DESC CORTA],"",0)</f>
        <v/>
      </c>
      <c r="K191" s="8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2.1</v>
      </c>
      <c r="M191" s="2">
        <f>+IFERROR(PRODUCTOS[[#This Row],[PPTO]]*PRODUCTOS[[#This Row],[CANT X MODULO]],"")</f>
        <v>1932.7429401000002</v>
      </c>
      <c r="N191" s="2">
        <f>+IFERROR(PRODUCTOS[[#This Row],[PPTO X MODULO]]*32,"")</f>
        <v>61847.774083200005</v>
      </c>
      <c r="O191" s="2">
        <f>+IFERROR(PRODUCTOS[[#This Row],[PPTO X TORRE]]*22,"")</f>
        <v>1360651.0298304001</v>
      </c>
      <c r="P191" s="3">
        <f>+IFERROR(PRODUCTOS[[#This Row],[CANT X MODULO]]*702,"")</f>
        <v>1474.2</v>
      </c>
      <c r="Q191" s="3">
        <f>+SUMIFS(DETALLE_GD_1[CANTIDAD SOLICITADA],DETALLE_GD_1[CODIGO],PRODUCTOS[[#This Row],[CODIGO]])</f>
        <v>149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149</v>
      </c>
      <c r="T191" s="3">
        <f>+IFERROR(PRODUCTOS[[#This Row],[CANTIDAD RECIBIDA]]/PRODUCTOS[[#This Row],[CANT X MODULO]],"")</f>
        <v>70.952380952380949</v>
      </c>
      <c r="U191" s="3">
        <f>+SUMIFS(DETALLE_GD_1[VALOR TOTAL POR ITEM GD],DETALLE_GD_1[CODIGO],PRODUCTOS[[#This Row],[CODIGO]])</f>
        <v>113746</v>
      </c>
      <c r="V191" s="3">
        <f>+IFERROR(PRODUCTOS[[#This Row],[PRECIO DE COMPRA]]/PRODUCTOS[[#This Row],[CANT. COMPRADA]],"")</f>
        <v>763.39597315436242</v>
      </c>
      <c r="W191" s="3">
        <f>+IFERROR(PRODUCTOS[[#This Row],[PRECIO COMPRA UNITARIO]]*PRODUCTOS[[#This Row],[PPTO FALTANTE]],"")</f>
        <v>1014858.6067114095</v>
      </c>
      <c r="X191" s="7">
        <f>+IFERROR(PRODUCTOS[[#This Row],[PROYECCION COMPRA]]/PRODUCTOS[[#This Row],[PPTO TOTAL]]-1,"")</f>
        <v>-0.25413747944033249</v>
      </c>
      <c r="Y191" s="3">
        <f>+IFERROR((PRODUCTOS[[#This Row],[CANT X MODULO]]*704)-PRODUCTOS[[#This Row],[CANT. COMPRADA]],"")</f>
        <v>1329.4</v>
      </c>
      <c r="Z191" s="17">
        <f>+IFERROR(PRODUCTOS[[#This Row],[CANT. COMPRADA]]/PRODUCTOS[[#This Row],[PPTO FALTANTE]],"")</f>
        <v>0.11208063788175116</v>
      </c>
      <c r="AA191" s="3">
        <f>+IFERROR(PRODUCTOS[[#This Row],[PROYECCION COMPRA]]-(PRODUCTOS[[#This Row],[PPTO FALTANTE]]*PRODUCTOS[[#This Row],[PPTO]]),"")</f>
        <v>-208659.70974999061</v>
      </c>
      <c r="AB191" s="3">
        <f>+_xlfn.XLOOKUP(PRODUCTOS[[#This Row],[CODIGO]],DETALLE_GD_1[CODIGO],DETALLE_GD_1[VALOR PPTO],"",0)</f>
        <v>920.35379999999998</v>
      </c>
      <c r="AC191" s="3">
        <f>+AB191-PRODUCTOS[[#This Row],[PPTO_ACTUALIZADO]]</f>
        <v>920.35379999999998</v>
      </c>
    </row>
    <row r="192" spans="1:29" x14ac:dyDescent="0.25">
      <c r="A192">
        <v>1801229</v>
      </c>
      <c r="B192" s="81" t="s">
        <v>259</v>
      </c>
      <c r="C192" t="s">
        <v>572</v>
      </c>
      <c r="D192" t="s">
        <v>258</v>
      </c>
      <c r="E192" t="s">
        <v>406</v>
      </c>
      <c r="F192" s="2">
        <v>4675.5185190000002</v>
      </c>
      <c r="G192" s="6" t="s">
        <v>31</v>
      </c>
      <c r="H192" s="2">
        <v>4675.5185190000002</v>
      </c>
      <c r="I192" t="b">
        <v>1</v>
      </c>
      <c r="J192" s="81" t="str">
        <f>+_xlfn.XLOOKUP(PRODUCTOS[[#This Row],[CODIGO]],P_CRITICOS[CODIGO],P_CRITICOS[DESC CORTA],"",0)</f>
        <v/>
      </c>
      <c r="K192" s="81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2454.647222475</v>
      </c>
      <c r="N192" s="2">
        <f>+IFERROR(PRODUCTOS[[#This Row],[PPTO X MODULO]]*32,"")</f>
        <v>78548.711119200001</v>
      </c>
      <c r="O192" s="2">
        <f>+IFERROR(PRODUCTOS[[#This Row],[PPTO X TORRE]]*22,"")</f>
        <v>1728071.6446223999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36</v>
      </c>
      <c r="T192" s="3">
        <f>+IFERROR(PRODUCTOS[[#This Row],[CANTIDAD RECIBIDA]]/PRODUCTOS[[#This Row],[CANT X MODULO]],"")</f>
        <v>68.571428571428569</v>
      </c>
      <c r="U192" s="3">
        <f>+SUMIFS(DETALLE_GD_1[VALOR TOTAL POR ITEM GD],DETALLE_GD_1[CODIGO],PRODUCTOS[[#This Row],[CODIGO]])</f>
        <v>183773</v>
      </c>
      <c r="V192" s="3">
        <f>+IFERROR(PRODUCTOS[[#This Row],[PRECIO DE COMPRA]]/PRODUCTOS[[#This Row],[CANT. COMPRADA]],"")</f>
        <v>5104.8055555555557</v>
      </c>
      <c r="W192" s="3">
        <f>+IFERROR(PRODUCTOS[[#This Row],[PRECIO COMPRA UNITARIO]]*PRODUCTOS[[#This Row],[PPTO FALTANTE]],"")</f>
        <v>1702963.1333333335</v>
      </c>
      <c r="X192" s="7">
        <f>+IFERROR(PRODUCTOS[[#This Row],[PROYECCION COMPRA]]/PRODUCTOS[[#This Row],[PPTO TOTAL]]-1,"")</f>
        <v>-1.4529786057888128E-2</v>
      </c>
      <c r="Y192" s="3">
        <f>+IFERROR((PRODUCTOS[[#This Row],[CANT X MODULO]]*704)-PRODUCTOS[[#This Row],[CANT. COMPRADA]],"")</f>
        <v>333.6</v>
      </c>
      <c r="Z192" s="17">
        <f>+IFERROR(PRODUCTOS[[#This Row],[CANT. COMPRADA]]/PRODUCTOS[[#This Row],[PPTO FALTANTE]],"")</f>
        <v>0.1079136690647482</v>
      </c>
      <c r="AA192" s="3">
        <f>+IFERROR(PRODUCTOS[[#This Row],[PROYECCION COMPRA]]-(PRODUCTOS[[#This Row],[PPTO FALTANTE]]*PRODUCTOS[[#This Row],[PPTO]]),"")</f>
        <v>143210.15539493342</v>
      </c>
      <c r="AB192" s="3">
        <f>+_xlfn.XLOOKUP(PRODUCTOS[[#This Row],[CODIGO]],DETALLE_GD_1[CODIGO],DETALLE_GD_1[VALOR PPTO],"",0)</f>
        <v>4675.5185000000001</v>
      </c>
      <c r="AC192" s="3">
        <f>+AB192-PRODUCTOS[[#This Row],[PPTO_ACTUALIZADO]]</f>
        <v>-1.9000000065716449E-5</v>
      </c>
    </row>
    <row r="193" spans="1:29" x14ac:dyDescent="0.25">
      <c r="A193">
        <v>404252</v>
      </c>
      <c r="B193" s="81" t="s">
        <v>181</v>
      </c>
      <c r="C193">
        <v>0</v>
      </c>
      <c r="D193" t="s">
        <v>355</v>
      </c>
      <c r="E193" t="s">
        <v>355</v>
      </c>
      <c r="F193" s="2">
        <v>1110.043876</v>
      </c>
      <c r="G193" s="6" t="s">
        <v>355</v>
      </c>
      <c r="H193" s="2">
        <v>0</v>
      </c>
      <c r="I193" t="b">
        <v>0</v>
      </c>
      <c r="J193" s="81" t="str">
        <f>+_xlfn.XLOOKUP(PRODUCTOS[[#This Row],[CODIGO]],P_CRITICOS[CODIGO],P_CRITICOS[DESC CORTA],"",0)</f>
        <v/>
      </c>
      <c r="K193" s="81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3.6749999999999998</v>
      </c>
      <c r="M193" s="2">
        <f>+IFERROR(PRODUCTOS[[#This Row],[PPTO]]*PRODUCTOS[[#This Row],[CANT X MODULO]],"")</f>
        <v>4079.4112442999995</v>
      </c>
      <c r="N193" s="2">
        <f>+IFERROR(PRODUCTOS[[#This Row],[PPTO X MODULO]]*32,"")</f>
        <v>130541.15981759998</v>
      </c>
      <c r="O193" s="2">
        <f>+IFERROR(PRODUCTOS[[#This Row],[PPTO X TORRE]]*22,"")</f>
        <v>2871905.5159871997</v>
      </c>
      <c r="P193" s="3">
        <f>+IFERROR(PRODUCTOS[[#This Row],[CANT X MODULO]]*702,"")</f>
        <v>2579.85</v>
      </c>
      <c r="Q193" s="3">
        <f>+SUMIFS(DETALLE_GD_1[CANTIDAD SOLICITADA],DETALLE_GD_1[CODIGO],PRODUCTOS[[#This Row],[CODIGO]])</f>
        <v>247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247</v>
      </c>
      <c r="T193" s="3">
        <f>+IFERROR(PRODUCTOS[[#This Row],[CANTIDAD RECIBIDA]]/PRODUCTOS[[#This Row],[CANT X MODULO]],"")</f>
        <v>67.210884353741505</v>
      </c>
      <c r="U193" s="3">
        <f>+SUMIFS(DETALLE_GD_1[VALOR TOTAL POR ITEM GD],DETALLE_GD_1[CODIGO],PRODUCTOS[[#This Row],[CODIGO]])</f>
        <v>363526</v>
      </c>
      <c r="V193" s="3">
        <f>+IFERROR(PRODUCTOS[[#This Row],[PRECIO DE COMPRA]]/PRODUCTOS[[#This Row],[CANT. COMPRADA]],"")</f>
        <v>1471.7651821862348</v>
      </c>
      <c r="W193" s="3">
        <f>+IFERROR(PRODUCTOS[[#This Row],[PRECIO COMPRA UNITARIO]]*PRODUCTOS[[#This Row],[PPTO FALTANTE]],"")</f>
        <v>3444224.8793522264</v>
      </c>
      <c r="X193" s="7">
        <f>+IFERROR(PRODUCTOS[[#This Row],[PROYECCION COMPRA]]/PRODUCTOS[[#This Row],[PPTO TOTAL]]-1,"")</f>
        <v>0.19928210039608341</v>
      </c>
      <c r="Y193" s="3">
        <f>+IFERROR((PRODUCTOS[[#This Row],[CANT X MODULO]]*704)-PRODUCTOS[[#This Row],[CANT. COMPRADA]],"")</f>
        <v>2340.1999999999998</v>
      </c>
      <c r="Z193" s="17">
        <f>+IFERROR(PRODUCTOS[[#This Row],[CANT. COMPRADA]]/PRODUCTOS[[#This Row],[PPTO FALTANTE]],"")</f>
        <v>0.10554653448423212</v>
      </c>
      <c r="AA193" s="3">
        <f>+IFERROR(PRODUCTOS[[#This Row],[PROYECCION COMPRA]]-(PRODUCTOS[[#This Row],[PPTO FALTANTE]]*PRODUCTOS[[#This Row],[PPTO]]),"")</f>
        <v>846500.20073702652</v>
      </c>
      <c r="AB193" s="3">
        <f>+_xlfn.XLOOKUP(PRODUCTOS[[#This Row],[CODIGO]],DETALLE_GD_1[CODIGO],DETALLE_GD_1[VALOR PPTO],"",0)</f>
        <v>1110.0438999999999</v>
      </c>
      <c r="AC193" s="3">
        <f>+AB193-PRODUCTOS[[#This Row],[PPTO_ACTUALIZADO]]</f>
        <v>1110.0438999999999</v>
      </c>
    </row>
    <row r="194" spans="1:29" x14ac:dyDescent="0.25">
      <c r="A194">
        <v>1808006</v>
      </c>
      <c r="B194" s="81" t="s">
        <v>194</v>
      </c>
      <c r="C194">
        <v>0</v>
      </c>
      <c r="D194" t="s">
        <v>244</v>
      </c>
      <c r="E194" t="s">
        <v>406</v>
      </c>
      <c r="F194" s="2">
        <v>2906.671096</v>
      </c>
      <c r="G194" s="6" t="s">
        <v>31</v>
      </c>
      <c r="H194" s="2">
        <v>2906.671096</v>
      </c>
      <c r="I194" t="b">
        <v>1</v>
      </c>
      <c r="J194" s="81" t="str">
        <f>+_xlfn.XLOOKUP(PRODUCTOS[[#This Row],[CODIGO]],P_CRITICOS[CODIGO],P_CRITICOS[DESC CORTA],"",0)</f>
        <v/>
      </c>
      <c r="K194" s="81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0.65625</v>
      </c>
      <c r="M194" s="2">
        <f>+IFERROR(PRODUCTOS[[#This Row],[PPTO]]*PRODUCTOS[[#This Row],[CANT X MODULO]],"")</f>
        <v>1907.50290675</v>
      </c>
      <c r="N194" s="2">
        <f>+IFERROR(PRODUCTOS[[#This Row],[PPTO X MODULO]]*32,"")</f>
        <v>61040.093015999999</v>
      </c>
      <c r="O194" s="2">
        <f>+IFERROR(PRODUCTOS[[#This Row],[PPTO X TORRE]]*22,"")</f>
        <v>1342882.046352</v>
      </c>
      <c r="P194" s="3">
        <f>+IFERROR(PRODUCTOS[[#This Row],[CANT X MODULO]]*702,"")</f>
        <v>460.6875</v>
      </c>
      <c r="Q194" s="3">
        <f>+SUMIFS(DETALLE_GD_1[CANTIDAD SOLICITADA],DETALLE_GD_1[CODIGO],PRODUCTOS[[#This Row],[CODIGO]])</f>
        <v>44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44</v>
      </c>
      <c r="T194" s="3">
        <f>+IFERROR(PRODUCTOS[[#This Row],[CANTIDAD RECIBIDA]]/PRODUCTOS[[#This Row],[CANT X MODULO]],"")</f>
        <v>67.047619047619051</v>
      </c>
      <c r="U194" s="3">
        <f>+SUMIFS(DETALLE_GD_1[VALOR TOTAL POR ITEM GD],DETALLE_GD_1[CODIGO],PRODUCTOS[[#This Row],[CODIGO]])</f>
        <v>127894</v>
      </c>
      <c r="V194" s="3">
        <f>+IFERROR(PRODUCTOS[[#This Row],[PRECIO DE COMPRA]]/PRODUCTOS[[#This Row],[CANT. COMPRADA]],"")</f>
        <v>2906.681818181818</v>
      </c>
      <c r="W194" s="3">
        <f>+IFERROR(PRODUCTOS[[#This Row],[PRECIO COMPRA UNITARIO]]*PRODUCTOS[[#This Row],[PPTO FALTANTE]],"")</f>
        <v>1214993</v>
      </c>
      <c r="X194" s="7">
        <f>+IFERROR(PRODUCTOS[[#This Row],[PROYECCION COMPRA]]/PRODUCTOS[[#This Row],[PPTO TOTAL]]-1,"")</f>
        <v>-9.5234757735734421E-2</v>
      </c>
      <c r="Y194" s="3">
        <f>+IFERROR((PRODUCTOS[[#This Row],[CANT X MODULO]]*704)-PRODUCTOS[[#This Row],[CANT. COMPRADA]],"")</f>
        <v>418</v>
      </c>
      <c r="Z194" s="17">
        <f>+IFERROR(PRODUCTOS[[#This Row],[CANT. COMPRADA]]/PRODUCTOS[[#This Row],[PPTO FALTANTE]],"")</f>
        <v>0.10526315789473684</v>
      </c>
      <c r="AA194" s="3">
        <f>+IFERROR(PRODUCTOS[[#This Row],[PROYECCION COMPRA]]-(PRODUCTOS[[#This Row],[PPTO FALTANTE]]*PRODUCTOS[[#This Row],[PPTO]]),"")</f>
        <v>4.4818720000330359</v>
      </c>
      <c r="AB194" s="3">
        <f>+_xlfn.XLOOKUP(PRODUCTOS[[#This Row],[CODIGO]],DETALLE_GD_1[CODIGO],DETALLE_GD_1[VALOR PPTO],"",0)</f>
        <v>2906.6711</v>
      </c>
      <c r="AC194" s="3">
        <f>+AB194-PRODUCTOS[[#This Row],[PPTO_ACTUALIZADO]]</f>
        <v>3.9999999899009708E-6</v>
      </c>
    </row>
    <row r="195" spans="1:29" x14ac:dyDescent="0.25">
      <c r="A195">
        <v>1802176</v>
      </c>
      <c r="B195" s="81" t="s">
        <v>196</v>
      </c>
      <c r="C195">
        <v>0</v>
      </c>
      <c r="D195" t="s">
        <v>258</v>
      </c>
      <c r="E195" t="s">
        <v>406</v>
      </c>
      <c r="F195" s="2">
        <v>2199</v>
      </c>
      <c r="G195" s="6" t="s">
        <v>31</v>
      </c>
      <c r="H195" s="2">
        <v>2199</v>
      </c>
      <c r="I195" t="b">
        <v>1</v>
      </c>
      <c r="J195" s="81" t="str">
        <f>+_xlfn.XLOOKUP(PRODUCTOS[[#This Row],[CODIGO]],P_CRITICOS[CODIGO],P_CRITICOS[DESC CORTA],"",0)</f>
        <v/>
      </c>
      <c r="K195" s="81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1154.4750000000001</v>
      </c>
      <c r="N195" s="2">
        <f>+IFERROR(PRODUCTOS[[#This Row],[PPTO X MODULO]]*32,"")</f>
        <v>36943.200000000004</v>
      </c>
      <c r="O195" s="2">
        <f>+IFERROR(PRODUCTOS[[#This Row],[PPTO X TORRE]]*22,"")</f>
        <v>812750.40000000014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35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35</v>
      </c>
      <c r="T195" s="3">
        <f>+IFERROR(PRODUCTOS[[#This Row],[CANTIDAD RECIBIDA]]/PRODUCTOS[[#This Row],[CANT X MODULO]],"")</f>
        <v>66.666666666666657</v>
      </c>
      <c r="U195" s="3">
        <f>+SUMIFS(DETALLE_GD_1[VALOR TOTAL POR ITEM GD],DETALLE_GD_1[CODIGO],PRODUCTOS[[#This Row],[CODIGO]])</f>
        <v>76965</v>
      </c>
      <c r="V195" s="3">
        <f>+IFERROR(PRODUCTOS[[#This Row],[PRECIO DE COMPRA]]/PRODUCTOS[[#This Row],[CANT. COMPRADA]],"")</f>
        <v>2199</v>
      </c>
      <c r="W195" s="3">
        <f>+IFERROR(PRODUCTOS[[#This Row],[PRECIO COMPRA UNITARIO]]*PRODUCTOS[[#This Row],[PPTO FALTANTE]],"")</f>
        <v>735785.4</v>
      </c>
      <c r="X195" s="7">
        <f>+IFERROR(PRODUCTOS[[#This Row],[PROYECCION COMPRA]]/PRODUCTOS[[#This Row],[PPTO TOTAL]]-1,"")</f>
        <v>-9.4696969696969835E-2</v>
      </c>
      <c r="Y195" s="3">
        <f>+IFERROR((PRODUCTOS[[#This Row],[CANT X MODULO]]*704)-PRODUCTOS[[#This Row],[CANT. COMPRADA]],"")</f>
        <v>334.6</v>
      </c>
      <c r="Z195" s="17">
        <f>+IFERROR(PRODUCTOS[[#This Row],[CANT. COMPRADA]]/PRODUCTOS[[#This Row],[PPTO FALTANTE]],"")</f>
        <v>0.10460251046025104</v>
      </c>
      <c r="AA195" s="3">
        <f>+IFERROR(PRODUCTOS[[#This Row],[PROYECCION COMPRA]]-(PRODUCTOS[[#This Row],[PPTO FALTANTE]]*PRODUCTOS[[#This Row],[PPTO]]),"")</f>
        <v>0</v>
      </c>
      <c r="AB195" s="3">
        <f>+_xlfn.XLOOKUP(PRODUCTOS[[#This Row],[CODIGO]],DETALLE_GD_1[CODIGO],DETALLE_GD_1[VALOR PPTO],"",0)</f>
        <v>2199</v>
      </c>
      <c r="AC195" s="3">
        <f>+AB195-PRODUCTOS[[#This Row],[PPTO_ACTUALIZADO]]</f>
        <v>0</v>
      </c>
    </row>
    <row r="196" spans="1:29" x14ac:dyDescent="0.25">
      <c r="A196">
        <v>1802173</v>
      </c>
      <c r="B196" s="81" t="s">
        <v>267</v>
      </c>
      <c r="C196" t="s">
        <v>644</v>
      </c>
      <c r="D196" t="s">
        <v>258</v>
      </c>
      <c r="E196" t="s">
        <v>406</v>
      </c>
      <c r="F196" s="2">
        <v>11972.2</v>
      </c>
      <c r="G196" s="6" t="s">
        <v>31</v>
      </c>
      <c r="H196" s="2">
        <v>11996</v>
      </c>
      <c r="I196" t="b">
        <v>0</v>
      </c>
      <c r="J196" s="81" t="str">
        <f>+_xlfn.XLOOKUP(PRODUCTOS[[#This Row],[CODIGO]],P_CRITICOS[CODIGO],P_CRITICOS[DESC CORTA],"",0)</f>
        <v/>
      </c>
      <c r="K196" s="81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6285.4050000000007</v>
      </c>
      <c r="N196" s="2">
        <f>+IFERROR(PRODUCTOS[[#This Row],[PPTO X MODULO]]*32,"")</f>
        <v>201132.96000000002</v>
      </c>
      <c r="O196" s="2">
        <f>+IFERROR(PRODUCTOS[[#This Row],[PPTO X TORRE]]*22,"")</f>
        <v>4424925.12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35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35</v>
      </c>
      <c r="T196" s="3">
        <f>+IFERROR(PRODUCTOS[[#This Row],[CANTIDAD RECIBIDA]]/PRODUCTOS[[#This Row],[CANT X MODULO]],"")</f>
        <v>66.666666666666657</v>
      </c>
      <c r="U196" s="3">
        <f>+SUMIFS(DETALLE_GD_1[VALOR TOTAL POR ITEM GD],DETALLE_GD_1[CODIGO],PRODUCTOS[[#This Row],[CODIGO]])</f>
        <v>419463</v>
      </c>
      <c r="V196" s="3">
        <f>+IFERROR(PRODUCTOS[[#This Row],[PRECIO DE COMPRA]]/PRODUCTOS[[#This Row],[CANT. COMPRADA]],"")</f>
        <v>11984.657142857142</v>
      </c>
      <c r="W196" s="3">
        <f>+IFERROR(PRODUCTOS[[#This Row],[PRECIO COMPRA UNITARIO]]*PRODUCTOS[[#This Row],[PPTO FALTANTE]],"")</f>
        <v>4010066.2800000003</v>
      </c>
      <c r="X196" s="7">
        <f>+IFERROR(PRODUCTOS[[#This Row],[PROYECCION COMPRA]]/PRODUCTOS[[#This Row],[PPTO TOTAL]]-1,"")</f>
        <v>-9.3754996694723647E-2</v>
      </c>
      <c r="Y196" s="3">
        <f>+IFERROR((PRODUCTOS[[#This Row],[CANT X MODULO]]*704)-PRODUCTOS[[#This Row],[CANT. COMPRADA]],"")</f>
        <v>334.6</v>
      </c>
      <c r="Z196" s="17">
        <f>+IFERROR(PRODUCTOS[[#This Row],[CANT. COMPRADA]]/PRODUCTOS[[#This Row],[PPTO FALTANTE]],"")</f>
        <v>0.10460251046025104</v>
      </c>
      <c r="AA196" s="3">
        <f>+IFERROR(PRODUCTOS[[#This Row],[PROYECCION COMPRA]]-(PRODUCTOS[[#This Row],[PPTO FALTANTE]]*PRODUCTOS[[#This Row],[PPTO]]),"")</f>
        <v>4168.1599999996834</v>
      </c>
      <c r="AB196" s="3">
        <f>+_xlfn.XLOOKUP(PRODUCTOS[[#This Row],[CODIGO]],DETALLE_GD_1[CODIGO],DETALLE_GD_1[VALOR PPTO],"",0)</f>
        <v>11996</v>
      </c>
      <c r="AC196" s="3">
        <f>+AB196-PRODUCTOS[[#This Row],[PPTO_ACTUALIZADO]]</f>
        <v>0</v>
      </c>
    </row>
    <row r="197" spans="1:29" x14ac:dyDescent="0.25">
      <c r="A197">
        <v>1802166</v>
      </c>
      <c r="B197" s="81" t="s">
        <v>283</v>
      </c>
      <c r="C197" t="s">
        <v>661</v>
      </c>
      <c r="D197">
        <v>0</v>
      </c>
      <c r="E197">
        <v>0</v>
      </c>
      <c r="F197" s="2">
        <v>13869</v>
      </c>
      <c r="G197" s="6" t="s">
        <v>31</v>
      </c>
      <c r="H197" s="2">
        <v>13869</v>
      </c>
      <c r="I197" t="b">
        <v>1</v>
      </c>
      <c r="J197" s="81" t="str">
        <f>+_xlfn.XLOOKUP(PRODUCTOS[[#This Row],[CODIGO]],P_CRITICOS[CODIGO],P_CRITICOS[DESC CORTA],"",0)</f>
        <v/>
      </c>
      <c r="K197" s="81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7281.2250000000004</v>
      </c>
      <c r="N197" s="2">
        <f>+IFERROR(PRODUCTOS[[#This Row],[PPTO X MODULO]]*32,"")</f>
        <v>232999.2</v>
      </c>
      <c r="O197" s="2">
        <f>+IFERROR(PRODUCTOS[[#This Row],[PPTO X TORRE]]*22,"")</f>
        <v>5125982.4000000004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485415</v>
      </c>
      <c r="V197" s="3">
        <f>+IFERROR(PRODUCTOS[[#This Row],[PRECIO DE COMPRA]]/PRODUCTOS[[#This Row],[CANT. COMPRADA]],"")</f>
        <v>13869</v>
      </c>
      <c r="W197" s="3">
        <f>+IFERROR(PRODUCTOS[[#This Row],[PRECIO COMPRA UNITARIO]]*PRODUCTOS[[#This Row],[PPTO FALTANTE]],"")</f>
        <v>4640567.4000000004</v>
      </c>
      <c r="X197" s="7">
        <f>+IFERROR(PRODUCTOS[[#This Row],[PROYECCION COMPRA]]/PRODUCTOS[[#This Row],[PPTO TOTAL]]-1,"")</f>
        <v>-9.4696969696969724E-2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13869</v>
      </c>
      <c r="AC197" s="3">
        <f>+AB197-PRODUCTOS[[#This Row],[PPTO_ACTUALIZADO]]</f>
        <v>0</v>
      </c>
    </row>
    <row r="198" spans="1:29" x14ac:dyDescent="0.25">
      <c r="A198">
        <v>408014</v>
      </c>
      <c r="B198" s="81" t="s">
        <v>108</v>
      </c>
      <c r="C198" t="s">
        <v>612</v>
      </c>
      <c r="D198" t="s">
        <v>240</v>
      </c>
      <c r="E198" t="s">
        <v>399</v>
      </c>
      <c r="F198" s="2">
        <v>16182.106761999999</v>
      </c>
      <c r="G198" s="6" t="s">
        <v>36</v>
      </c>
      <c r="H198" s="2">
        <v>16182.106762000009</v>
      </c>
      <c r="I198" t="b">
        <v>1</v>
      </c>
      <c r="J198" s="81" t="str">
        <f>+_xlfn.XLOOKUP(PRODUCTOS[[#This Row],[CODIGO]],P_CRITICOS[CODIGO],P_CRITICOS[DESC CORTA],"",0)</f>
        <v/>
      </c>
      <c r="K198" s="81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0.51449999999999996</v>
      </c>
      <c r="M198" s="2">
        <f>+IFERROR(PRODUCTOS[[#This Row],[PPTO]]*PRODUCTOS[[#This Row],[CANT X MODULO]],"")</f>
        <v>8325.6939290489991</v>
      </c>
      <c r="N198" s="2">
        <f>+IFERROR(PRODUCTOS[[#This Row],[PPTO X MODULO]]*32,"")</f>
        <v>266422.20572956797</v>
      </c>
      <c r="O198" s="2">
        <f>+IFERROR(PRODUCTOS[[#This Row],[PPTO X TORRE]]*22,"")</f>
        <v>5861288.526050495</v>
      </c>
      <c r="P198" s="3">
        <f>+IFERROR(PRODUCTOS[[#This Row],[CANT X MODULO]]*702,"")</f>
        <v>361.17899999999997</v>
      </c>
      <c r="Q198" s="3">
        <f>+SUMIFS(DETALLE_GD_1[CANTIDAD SOLICITADA],DETALLE_GD_1[CODIGO],PRODUCTOS[[#This Row],[CODIGO]])</f>
        <v>34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34</v>
      </c>
      <c r="T198" s="3">
        <f>+IFERROR(PRODUCTOS[[#This Row],[CANTIDAD RECIBIDA]]/PRODUCTOS[[#This Row],[CANT X MODULO]],"")</f>
        <v>66.08357628765792</v>
      </c>
      <c r="U198" s="3">
        <f>+SUMIFS(DETALLE_GD_1[VALOR TOTAL POR ITEM GD],DETALLE_GD_1[CODIGO],PRODUCTOS[[#This Row],[CODIGO]])</f>
        <v>548607</v>
      </c>
      <c r="V198" s="3">
        <f>+IFERROR(PRODUCTOS[[#This Row],[PRECIO DE COMPRA]]/PRODUCTOS[[#This Row],[CANT. COMPRADA]],"")</f>
        <v>16135.5</v>
      </c>
      <c r="W198" s="3">
        <f>+IFERROR(PRODUCTOS[[#This Row],[PRECIO COMPRA UNITARIO]]*PRODUCTOS[[#This Row],[PPTO FALTANTE]],"")</f>
        <v>5295800.1839999994</v>
      </c>
      <c r="X198" s="7">
        <f>+IFERROR(PRODUCTOS[[#This Row],[PROYECCION COMPRA]]/PRODUCTOS[[#This Row],[PPTO TOTAL]]-1,"")</f>
        <v>-9.647850289866855E-2</v>
      </c>
      <c r="Y198" s="3">
        <f>+IFERROR((PRODUCTOS[[#This Row],[CANT X MODULO]]*704)-PRODUCTOS[[#This Row],[CANT. COMPRADA]],"")</f>
        <v>328.20799999999997</v>
      </c>
      <c r="Z198" s="17">
        <f>+IFERROR(PRODUCTOS[[#This Row],[CANT. COMPRADA]]/PRODUCTOS[[#This Row],[PPTO FALTANTE]],"")</f>
        <v>0.10359284356261883</v>
      </c>
      <c r="AA198" s="3">
        <f>+IFERROR(PRODUCTOS[[#This Row],[PROYECCION COMPRA]]-(PRODUCTOS[[#This Row],[PPTO FALTANTE]]*PRODUCTOS[[#This Row],[PPTO]]),"")</f>
        <v>-15296.712142495438</v>
      </c>
      <c r="AB198" s="3">
        <f>+_xlfn.XLOOKUP(PRODUCTOS[[#This Row],[CODIGO]],DETALLE_GD_1[CODIGO],DETALLE_GD_1[VALOR PPTO],"",0)</f>
        <v>16182.1068</v>
      </c>
      <c r="AC198" s="3">
        <f>+AB198-PRODUCTOS[[#This Row],[PPTO_ACTUALIZADO]]</f>
        <v>3.7999991036485881E-5</v>
      </c>
    </row>
    <row r="199" spans="1:29" x14ac:dyDescent="0.25">
      <c r="A199">
        <v>1802174</v>
      </c>
      <c r="B199" s="81" t="s">
        <v>268</v>
      </c>
      <c r="C199" t="s">
        <v>645</v>
      </c>
      <c r="D199">
        <v>0</v>
      </c>
      <c r="E199">
        <v>0</v>
      </c>
      <c r="F199" s="2">
        <v>7694.5405410000003</v>
      </c>
      <c r="G199" s="6" t="s">
        <v>31</v>
      </c>
      <c r="H199" s="2">
        <v>7709</v>
      </c>
      <c r="I199" t="b">
        <v>0</v>
      </c>
      <c r="J199" s="81" t="str">
        <f>+_xlfn.XLOOKUP(PRODUCTOS[[#This Row],[CODIGO]],P_CRITICOS[CODIGO],P_CRITICOS[DESC CORTA],"",0)</f>
        <v/>
      </c>
      <c r="K199" s="81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4039.6337840250003</v>
      </c>
      <c r="N199" s="2">
        <f>+IFERROR(PRODUCTOS[[#This Row],[PPTO X MODULO]]*32,"")</f>
        <v>129268.28108880001</v>
      </c>
      <c r="O199" s="2">
        <f>+IFERROR(PRODUCTOS[[#This Row],[PPTO X TORRE]]*22,"")</f>
        <v>2843902.1839536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34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34</v>
      </c>
      <c r="T199" s="3">
        <f>+IFERROR(PRODUCTOS[[#This Row],[CANTIDAD RECIBIDA]]/PRODUCTOS[[#This Row],[CANT X MODULO]],"")</f>
        <v>64.761904761904759</v>
      </c>
      <c r="U199" s="3">
        <f>+SUMIFS(DETALLE_GD_1[VALOR TOTAL POR ITEM GD],DETALLE_GD_1[CODIGO],PRODUCTOS[[#This Row],[CODIGO]])</f>
        <v>261858</v>
      </c>
      <c r="V199" s="3">
        <f>+IFERROR(PRODUCTOS[[#This Row],[PRECIO DE COMPRA]]/PRODUCTOS[[#This Row],[CANT. COMPRADA]],"")</f>
        <v>7701.7058823529414</v>
      </c>
      <c r="W199" s="3">
        <f>+IFERROR(PRODUCTOS[[#This Row],[PRECIO COMPRA UNITARIO]]*PRODUCTOS[[#This Row],[PPTO FALTANTE]],"")</f>
        <v>2584692.4941176474</v>
      </c>
      <c r="X199" s="7">
        <f>+IFERROR(PRODUCTOS[[#This Row],[PROYECCION COMPRA]]/PRODUCTOS[[#This Row],[PPTO TOTAL]]-1,"")</f>
        <v>-9.1145782473994408E-2</v>
      </c>
      <c r="Y199" s="3">
        <f>+IFERROR((PRODUCTOS[[#This Row],[CANT X MODULO]]*704)-PRODUCTOS[[#This Row],[CANT. COMPRADA]],"")</f>
        <v>335.6</v>
      </c>
      <c r="Z199" s="17">
        <f>+IFERROR(PRODUCTOS[[#This Row],[CANT. COMPRADA]]/PRODUCTOS[[#This Row],[PPTO FALTANTE]],"")</f>
        <v>0.10131108462455303</v>
      </c>
      <c r="AA199" s="3">
        <f>+IFERROR(PRODUCTOS[[#This Row],[PROYECCION COMPRA]]-(PRODUCTOS[[#This Row],[PPTO FALTANTE]]*PRODUCTOS[[#This Row],[PPTO]]),"")</f>
        <v>2404.6885580471717</v>
      </c>
      <c r="AB199" s="3">
        <f>+_xlfn.XLOOKUP(PRODUCTOS[[#This Row],[CODIGO]],DETALLE_GD_1[CODIGO],DETALLE_GD_1[VALOR PPTO],"",0)</f>
        <v>7709</v>
      </c>
      <c r="AC199" s="3">
        <f>+AB199-PRODUCTOS[[#This Row],[PPTO_ACTUALIZADO]]</f>
        <v>0</v>
      </c>
    </row>
    <row r="200" spans="1:29" x14ac:dyDescent="0.25">
      <c r="A200">
        <v>1802175</v>
      </c>
      <c r="B200" s="81" t="s">
        <v>269</v>
      </c>
      <c r="C200" t="s">
        <v>646</v>
      </c>
      <c r="D200" t="s">
        <v>258</v>
      </c>
      <c r="E200" t="s">
        <v>406</v>
      </c>
      <c r="F200" s="2">
        <v>1079</v>
      </c>
      <c r="G200" s="6" t="s">
        <v>31</v>
      </c>
      <c r="H200" s="2">
        <v>1079</v>
      </c>
      <c r="I200" t="b">
        <v>1</v>
      </c>
      <c r="J200" s="81" t="str">
        <f>+_xlfn.XLOOKUP(PRODUCTOS[[#This Row],[CODIGO]],P_CRITICOS[CODIGO],P_CRITICOS[DESC CORTA],"",0)</f>
        <v/>
      </c>
      <c r="K200" s="81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566.47500000000002</v>
      </c>
      <c r="N200" s="2">
        <f>+IFERROR(PRODUCTOS[[#This Row],[PPTO X MODULO]]*32,"")</f>
        <v>18127.2</v>
      </c>
      <c r="O200" s="2">
        <f>+IFERROR(PRODUCTOS[[#This Row],[PPTO X TORRE]]*22,"")</f>
        <v>398798.4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64.761904761904759</v>
      </c>
      <c r="U200" s="3">
        <f>+SUMIFS(DETALLE_GD_1[VALOR TOTAL POR ITEM GD],DETALLE_GD_1[CODIGO],PRODUCTOS[[#This Row],[CODIGO]])</f>
        <v>36686</v>
      </c>
      <c r="V200" s="3">
        <f>+IFERROR(PRODUCTOS[[#This Row],[PRECIO DE COMPRA]]/PRODUCTOS[[#This Row],[CANT. COMPRADA]],"")</f>
        <v>1079</v>
      </c>
      <c r="W200" s="3">
        <f>+IFERROR(PRODUCTOS[[#This Row],[PRECIO COMPRA UNITARIO]]*PRODUCTOS[[#This Row],[PPTO FALTANTE]],"")</f>
        <v>362112.4</v>
      </c>
      <c r="X200" s="7">
        <f>+IFERROR(PRODUCTOS[[#This Row],[PROYECCION COMPRA]]/PRODUCTOS[[#This Row],[PPTO TOTAL]]-1,"")</f>
        <v>-9.1991341991341957E-2</v>
      </c>
      <c r="Y200" s="3">
        <f>+IFERROR((PRODUCTOS[[#This Row],[CANT X MODULO]]*704)-PRODUCTOS[[#This Row],[CANT. COMPRADA]],"")</f>
        <v>335.6</v>
      </c>
      <c r="Z200" s="17">
        <f>+IFERROR(PRODUCTOS[[#This Row],[CANT. COMPRADA]]/PRODUCTOS[[#This Row],[PPTO FALTANTE]],"")</f>
        <v>0.10131108462455303</v>
      </c>
      <c r="AA200" s="3">
        <f>+IFERROR(PRODUCTOS[[#This Row],[PROYECCION COMPRA]]-(PRODUCTOS[[#This Row],[PPTO FALTANTE]]*PRODUCTOS[[#This Row],[PPTO]]),"")</f>
        <v>0</v>
      </c>
      <c r="AB200" s="3">
        <f>+_xlfn.XLOOKUP(PRODUCTOS[[#This Row],[CODIGO]],DETALLE_GD_1[CODIGO],DETALLE_GD_1[VALOR PPTO],"",0)</f>
        <v>1079</v>
      </c>
      <c r="AC200" s="3">
        <f>+AB200-PRODUCTOS[[#This Row],[PPTO_ACTUALIZADO]]</f>
        <v>0</v>
      </c>
    </row>
    <row r="201" spans="1:29" x14ac:dyDescent="0.25">
      <c r="A201">
        <v>1802165</v>
      </c>
      <c r="B201" s="81" t="s">
        <v>261</v>
      </c>
      <c r="C201" t="s">
        <v>647</v>
      </c>
      <c r="D201" t="s">
        <v>244</v>
      </c>
      <c r="E201" t="s">
        <v>406</v>
      </c>
      <c r="F201" s="2">
        <v>9122</v>
      </c>
      <c r="G201" s="6" t="s">
        <v>31</v>
      </c>
      <c r="H201" s="2">
        <v>9122</v>
      </c>
      <c r="I201" t="b">
        <v>1</v>
      </c>
      <c r="J201" s="81" t="str">
        <f>+_xlfn.XLOOKUP(PRODUCTOS[[#This Row],[CODIGO]],P_CRITICOS[CODIGO],P_CRITICOS[DESC CORTA],"",0)</f>
        <v/>
      </c>
      <c r="K201" s="8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4789.05</v>
      </c>
      <c r="N201" s="2">
        <f>+IFERROR(PRODUCTOS[[#This Row],[PPTO X MODULO]]*32,"")</f>
        <v>153249.60000000001</v>
      </c>
      <c r="O201" s="2">
        <f>+IFERROR(PRODUCTOS[[#This Row],[PPTO X TORRE]]*22,"")</f>
        <v>3371491.2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34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34</v>
      </c>
      <c r="T201" s="3">
        <f>+IFERROR(PRODUCTOS[[#This Row],[CANTIDAD RECIBIDA]]/PRODUCTOS[[#This Row],[CANT X MODULO]],"")</f>
        <v>64.761904761904759</v>
      </c>
      <c r="U201" s="3">
        <f>+SUMIFS(DETALLE_GD_1[VALOR TOTAL POR ITEM GD],DETALLE_GD_1[CODIGO],PRODUCTOS[[#This Row],[CODIGO]])</f>
        <v>310148</v>
      </c>
      <c r="V201" s="3">
        <f>+IFERROR(PRODUCTOS[[#This Row],[PRECIO DE COMPRA]]/PRODUCTOS[[#This Row],[CANT. COMPRADA]],"")</f>
        <v>9122</v>
      </c>
      <c r="W201" s="3">
        <f>+IFERROR(PRODUCTOS[[#This Row],[PRECIO COMPRA UNITARIO]]*PRODUCTOS[[#This Row],[PPTO FALTANTE]],"")</f>
        <v>3061343.2</v>
      </c>
      <c r="X201" s="7">
        <f>+IFERROR(PRODUCTOS[[#This Row],[PROYECCION COMPRA]]/PRODUCTOS[[#This Row],[PPTO TOTAL]]-1,"")</f>
        <v>-9.1991341991341957E-2</v>
      </c>
      <c r="Y201" s="3">
        <f>+IFERROR((PRODUCTOS[[#This Row],[CANT X MODULO]]*704)-PRODUCTOS[[#This Row],[CANT. COMPRADA]],"")</f>
        <v>335.6</v>
      </c>
      <c r="Z201" s="17">
        <f>+IFERROR(PRODUCTOS[[#This Row],[CANT. COMPRADA]]/PRODUCTOS[[#This Row],[PPTO FALTANTE]],"")</f>
        <v>0.10131108462455303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9122</v>
      </c>
      <c r="AC201" s="3">
        <f>+AB201-PRODUCTOS[[#This Row],[PPTO_ACTUALIZADO]]</f>
        <v>0</v>
      </c>
    </row>
    <row r="202" spans="1:29" x14ac:dyDescent="0.25">
      <c r="A202">
        <v>1808144</v>
      </c>
      <c r="B202" s="81" t="s">
        <v>272</v>
      </c>
      <c r="C202" t="s">
        <v>649</v>
      </c>
      <c r="D202" t="s">
        <v>258</v>
      </c>
      <c r="E202" t="s">
        <v>406</v>
      </c>
      <c r="F202" s="2">
        <v>23397.569619999998</v>
      </c>
      <c r="G202" s="6" t="s">
        <v>31</v>
      </c>
      <c r="H202" s="2">
        <v>23228</v>
      </c>
      <c r="I202" t="b">
        <v>0</v>
      </c>
      <c r="J202" s="81" t="str">
        <f>+_xlfn.XLOOKUP(PRODUCTOS[[#This Row],[CODIGO]],P_CRITICOS[CODIGO],P_CRITICOS[DESC CORTA],"",0)</f>
        <v/>
      </c>
      <c r="K202" s="81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12283.724050499999</v>
      </c>
      <c r="N202" s="2">
        <f>+IFERROR(PRODUCTOS[[#This Row],[PPTO X MODULO]]*32,"")</f>
        <v>393079.16961599997</v>
      </c>
      <c r="O202" s="2">
        <f>+IFERROR(PRODUCTOS[[#This Row],[PPTO X TORRE]]*22,"")</f>
        <v>8647741.7315519992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792769</v>
      </c>
      <c r="V202" s="3">
        <f>+IFERROR(PRODUCTOS[[#This Row],[PRECIO DE COMPRA]]/PRODUCTOS[[#This Row],[CANT. COMPRADA]],"")</f>
        <v>23316.735294117647</v>
      </c>
      <c r="W202" s="3">
        <f>+IFERROR(PRODUCTOS[[#This Row],[PRECIO COMPRA UNITARIO]]*PRODUCTOS[[#This Row],[PPTO FALTANTE]],"")</f>
        <v>7825096.364705883</v>
      </c>
      <c r="X202" s="7">
        <f>+IFERROR(PRODUCTOS[[#This Row],[PROYECCION COMPRA]]/PRODUCTOS[[#This Row],[PPTO TOTAL]]-1,"")</f>
        <v>-9.5128345917712465E-2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-27127.999766116962</v>
      </c>
      <c r="AB202" s="3">
        <f>+_xlfn.XLOOKUP(PRODUCTOS[[#This Row],[CODIGO]],DETALLE_GD_1[CODIGO],DETALLE_GD_1[VALOR PPTO],"",0)</f>
        <v>23228</v>
      </c>
      <c r="AC202" s="3">
        <f>+AB202-PRODUCTOS[[#This Row],[PPTO_ACTUALIZADO]]</f>
        <v>0</v>
      </c>
    </row>
    <row r="203" spans="1:29" x14ac:dyDescent="0.25">
      <c r="A203">
        <v>1808145</v>
      </c>
      <c r="B203" s="81" t="s">
        <v>273</v>
      </c>
      <c r="C203" t="s">
        <v>650</v>
      </c>
      <c r="D203" t="s">
        <v>258</v>
      </c>
      <c r="E203" t="s">
        <v>406</v>
      </c>
      <c r="F203" s="2">
        <v>16189.712963</v>
      </c>
      <c r="G203" s="6" t="s">
        <v>31</v>
      </c>
      <c r="H203" s="2">
        <v>17145</v>
      </c>
      <c r="I203" t="b">
        <v>0</v>
      </c>
      <c r="J203" s="81" t="str">
        <f>+_xlfn.XLOOKUP(PRODUCTOS[[#This Row],[CODIGO]],P_CRITICOS[CODIGO],P_CRITICOS[DESC CORTA],"",0)</f>
        <v/>
      </c>
      <c r="K203" s="81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8499.5993055750005</v>
      </c>
      <c r="N203" s="2">
        <f>+IFERROR(PRODUCTOS[[#This Row],[PPTO X MODULO]]*32,"")</f>
        <v>271987.17777840002</v>
      </c>
      <c r="O203" s="2">
        <f>+IFERROR(PRODUCTOS[[#This Row],[PPTO X TORRE]]*22,"")</f>
        <v>5983717.9111248003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551614</v>
      </c>
      <c r="V203" s="3">
        <f>+IFERROR(PRODUCTOS[[#This Row],[PRECIO DE COMPRA]]/PRODUCTOS[[#This Row],[CANT. COMPRADA]],"")</f>
        <v>16223.941176470587</v>
      </c>
      <c r="W203" s="3">
        <f>+IFERROR(PRODUCTOS[[#This Row],[PRECIO COMPRA UNITARIO]]*PRODUCTOS[[#This Row],[PPTO FALTANTE]],"")</f>
        <v>5444754.6588235293</v>
      </c>
      <c r="X203" s="7">
        <f>+IFERROR(PRODUCTOS[[#This Row],[PROYECCION COMPRA]]/PRODUCTOS[[#This Row],[PPTO TOTAL]]-1,"")</f>
        <v>-9.0071634443067983E-2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11486.988440728746</v>
      </c>
      <c r="AB203" s="3">
        <f>+_xlfn.XLOOKUP(PRODUCTOS[[#This Row],[CODIGO]],DETALLE_GD_1[CODIGO],DETALLE_GD_1[VALOR PPTO],"",0)</f>
        <v>17145</v>
      </c>
      <c r="AC203" s="3">
        <f>+AB203-PRODUCTOS[[#This Row],[PPTO_ACTUALIZADO]]</f>
        <v>0</v>
      </c>
    </row>
    <row r="204" spans="1:29" x14ac:dyDescent="0.25">
      <c r="A204">
        <v>1808147</v>
      </c>
      <c r="B204" s="81" t="s">
        <v>275</v>
      </c>
      <c r="C204" t="s">
        <v>651</v>
      </c>
      <c r="D204" t="s">
        <v>258</v>
      </c>
      <c r="E204" t="s">
        <v>406</v>
      </c>
      <c r="F204" s="2">
        <v>2215.224044</v>
      </c>
      <c r="G204" s="6" t="s">
        <v>31</v>
      </c>
      <c r="H204" s="2">
        <v>2293</v>
      </c>
      <c r="I204" t="b">
        <v>0</v>
      </c>
      <c r="J204" s="81" t="str">
        <f>+_xlfn.XLOOKUP(PRODUCTOS[[#This Row],[CODIGO]],P_CRITICOS[CODIGO],P_CRITICOS[DESC CORTA],"",0)</f>
        <v/>
      </c>
      <c r="K204" s="81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1162.9926231000002</v>
      </c>
      <c r="N204" s="2">
        <f>+IFERROR(PRODUCTOS[[#This Row],[PPTO X MODULO]]*32,"")</f>
        <v>37215.763939200006</v>
      </c>
      <c r="O204" s="2">
        <f>+IFERROR(PRODUCTOS[[#This Row],[PPTO X TORRE]]*22,"")</f>
        <v>818746.80666240014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75397</v>
      </c>
      <c r="V204" s="3">
        <f>+IFERROR(PRODUCTOS[[#This Row],[PRECIO DE COMPRA]]/PRODUCTOS[[#This Row],[CANT. COMPRADA]],"")</f>
        <v>2217.5588235294117</v>
      </c>
      <c r="W204" s="3">
        <f>+IFERROR(PRODUCTOS[[#This Row],[PRECIO COMPRA UNITARIO]]*PRODUCTOS[[#This Row],[PPTO FALTANTE]],"")</f>
        <v>744212.74117647065</v>
      </c>
      <c r="X204" s="7">
        <f>+IFERROR(PRODUCTOS[[#This Row],[PROYECCION COMPRA]]/PRODUCTOS[[#This Row],[PPTO TOTAL]]-1,"")</f>
        <v>-9.1034328170103818E-2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783.55201007053256</v>
      </c>
      <c r="AB204" s="3">
        <f>+_xlfn.XLOOKUP(PRODUCTOS[[#This Row],[CODIGO]],DETALLE_GD_1[CODIGO],DETALLE_GD_1[VALOR PPTO],"",0)</f>
        <v>2293</v>
      </c>
      <c r="AC204" s="3">
        <f>+AB204-PRODUCTOS[[#This Row],[PPTO_ACTUALIZADO]]</f>
        <v>0</v>
      </c>
    </row>
    <row r="205" spans="1:29" x14ac:dyDescent="0.25">
      <c r="A205">
        <v>1802167</v>
      </c>
      <c r="B205" s="81" t="s">
        <v>262</v>
      </c>
      <c r="C205" t="s">
        <v>654</v>
      </c>
      <c r="D205" t="s">
        <v>244</v>
      </c>
      <c r="E205" t="s">
        <v>406</v>
      </c>
      <c r="F205" s="2">
        <v>14972</v>
      </c>
      <c r="G205" s="6" t="s">
        <v>31</v>
      </c>
      <c r="H205" s="2">
        <v>14972</v>
      </c>
      <c r="I205" t="b">
        <v>1</v>
      </c>
      <c r="J205" s="81" t="str">
        <f>+_xlfn.XLOOKUP(PRODUCTOS[[#This Row],[CODIGO]],P_CRITICOS[CODIGO],P_CRITICOS[DESC CORTA],"",0)</f>
        <v/>
      </c>
      <c r="K205" s="81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7860.3</v>
      </c>
      <c r="N205" s="2">
        <f>+IFERROR(PRODUCTOS[[#This Row],[PPTO X MODULO]]*32,"")</f>
        <v>251529.60000000001</v>
      </c>
      <c r="O205" s="2">
        <f>+IFERROR(PRODUCTOS[[#This Row],[PPTO X TORRE]]*22,"")</f>
        <v>5533651.2000000002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509048</v>
      </c>
      <c r="V205" s="3">
        <f>+IFERROR(PRODUCTOS[[#This Row],[PRECIO DE COMPRA]]/PRODUCTOS[[#This Row],[CANT. COMPRADA]],"")</f>
        <v>14972</v>
      </c>
      <c r="W205" s="3">
        <f>+IFERROR(PRODUCTOS[[#This Row],[PRECIO COMPRA UNITARIO]]*PRODUCTOS[[#This Row],[PPTO FALTANTE]],"")</f>
        <v>5024603.2</v>
      </c>
      <c r="X205" s="7">
        <f>+IFERROR(PRODUCTOS[[#This Row],[PROYECCION COMPRA]]/PRODUCTOS[[#This Row],[PPTO TOTAL]]-1,"")</f>
        <v>-9.1991341991341957E-2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0</v>
      </c>
      <c r="AB205" s="3">
        <f>+_xlfn.XLOOKUP(PRODUCTOS[[#This Row],[CODIGO]],DETALLE_GD_1[CODIGO],DETALLE_GD_1[VALOR PPTO],"",0)</f>
        <v>14972</v>
      </c>
      <c r="AC205" s="3">
        <f>+AB205-PRODUCTOS[[#This Row],[PPTO_ACTUALIZADO]]</f>
        <v>0</v>
      </c>
    </row>
    <row r="206" spans="1:29" x14ac:dyDescent="0.25">
      <c r="A206">
        <v>1802169</v>
      </c>
      <c r="B206" s="81" t="s">
        <v>263</v>
      </c>
      <c r="C206" t="s">
        <v>659</v>
      </c>
      <c r="D206" t="s">
        <v>258</v>
      </c>
      <c r="E206" t="s">
        <v>405</v>
      </c>
      <c r="F206" s="2">
        <v>10719.324323999999</v>
      </c>
      <c r="G206" s="6" t="s">
        <v>31</v>
      </c>
      <c r="H206" s="2">
        <v>10741</v>
      </c>
      <c r="I206" t="b">
        <v>0</v>
      </c>
      <c r="J206" s="81" t="str">
        <f>+_xlfn.XLOOKUP(PRODUCTOS[[#This Row],[CODIGO]],P_CRITICOS[CODIGO],P_CRITICOS[DESC CORTA],"",0)</f>
        <v/>
      </c>
      <c r="K206" s="81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5627.6452700999998</v>
      </c>
      <c r="N206" s="2">
        <f>+IFERROR(PRODUCTOS[[#This Row],[PPTO X MODULO]]*32,"")</f>
        <v>180084.64864319999</v>
      </c>
      <c r="O206" s="2">
        <f>+IFERROR(PRODUCTOS[[#This Row],[PPTO X TORRE]]*22,"")</f>
        <v>3961862.2701503998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364820</v>
      </c>
      <c r="V206" s="3">
        <f>+IFERROR(PRODUCTOS[[#This Row],[PRECIO DE COMPRA]]/PRODUCTOS[[#This Row],[CANT. COMPRADA]],"")</f>
        <v>10730</v>
      </c>
      <c r="W206" s="3">
        <f>+IFERROR(PRODUCTOS[[#This Row],[PRECIO COMPRA UNITARIO]]*PRODUCTOS[[#This Row],[PPTO FALTANTE]],"")</f>
        <v>3600988.0000000005</v>
      </c>
      <c r="X206" s="7">
        <f>+IFERROR(PRODUCTOS[[#This Row],[PROYECCION COMPRA]]/PRODUCTOS[[#This Row],[PPTO TOTAL]]-1,"")</f>
        <v>-9.1087030679817049E-2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3582.7568656005897</v>
      </c>
      <c r="AB206" s="3">
        <f>+_xlfn.XLOOKUP(PRODUCTOS[[#This Row],[CODIGO]],DETALLE_GD_1[CODIGO],DETALLE_GD_1[VALOR PPTO],"",0)</f>
        <v>10741</v>
      </c>
      <c r="AC206" s="3">
        <f>+AB206-PRODUCTOS[[#This Row],[PPTO_ACTUALIZADO]]</f>
        <v>0</v>
      </c>
    </row>
    <row r="207" spans="1:29" x14ac:dyDescent="0.25">
      <c r="A207">
        <v>1802170</v>
      </c>
      <c r="B207" s="81" t="s">
        <v>264</v>
      </c>
      <c r="C207">
        <v>0</v>
      </c>
      <c r="D207" t="s">
        <v>258</v>
      </c>
      <c r="E207" t="s">
        <v>405</v>
      </c>
      <c r="F207" s="2">
        <v>2043</v>
      </c>
      <c r="G207" s="6" t="s">
        <v>31</v>
      </c>
      <c r="H207" s="2">
        <v>2043</v>
      </c>
      <c r="I207" t="b">
        <v>1</v>
      </c>
      <c r="J207" s="81" t="str">
        <f>+_xlfn.XLOOKUP(PRODUCTOS[[#This Row],[CODIGO]],P_CRITICOS[CODIGO],P_CRITICOS[DESC CORTA],"",0)</f>
        <v/>
      </c>
      <c r="K207" s="81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1072.575</v>
      </c>
      <c r="N207" s="2">
        <f>+IFERROR(PRODUCTOS[[#This Row],[PPTO X MODULO]]*32,"")</f>
        <v>34322.400000000001</v>
      </c>
      <c r="O207" s="2">
        <f>+IFERROR(PRODUCTOS[[#This Row],[PPTO X TORRE]]*22,"")</f>
        <v>755092.8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69462</v>
      </c>
      <c r="V207" s="3">
        <f>+IFERROR(PRODUCTOS[[#This Row],[PRECIO DE COMPRA]]/PRODUCTOS[[#This Row],[CANT. COMPRADA]],"")</f>
        <v>2043</v>
      </c>
      <c r="W207" s="3">
        <f>+IFERROR(PRODUCTOS[[#This Row],[PRECIO COMPRA UNITARIO]]*PRODUCTOS[[#This Row],[PPTO FALTANTE]],"")</f>
        <v>685630.8</v>
      </c>
      <c r="X207" s="7">
        <f>+IFERROR(PRODUCTOS[[#This Row],[PROYECCION COMPRA]]/PRODUCTOS[[#This Row],[PPTO TOTAL]]-1,"")</f>
        <v>-9.1991341991341957E-2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0</v>
      </c>
      <c r="AB207" s="3">
        <f>+_xlfn.XLOOKUP(PRODUCTOS[[#This Row],[CODIGO]],DETALLE_GD_1[CODIGO],DETALLE_GD_1[VALOR PPTO],"",0)</f>
        <v>2043</v>
      </c>
      <c r="AC207" s="3">
        <f>+AB207-PRODUCTOS[[#This Row],[PPTO_ACTUALIZADO]]</f>
        <v>0</v>
      </c>
    </row>
    <row r="208" spans="1:29" x14ac:dyDescent="0.25">
      <c r="A208">
        <v>1901466</v>
      </c>
      <c r="B208" s="81" t="s">
        <v>498</v>
      </c>
      <c r="C208" t="s">
        <v>689</v>
      </c>
      <c r="D208" t="s">
        <v>355</v>
      </c>
      <c r="E208" t="s">
        <v>355</v>
      </c>
      <c r="G208" s="6" t="s">
        <v>26</v>
      </c>
      <c r="H208" s="2">
        <v>2112.795779</v>
      </c>
      <c r="I208" t="b">
        <v>0</v>
      </c>
      <c r="J208" s="81" t="str">
        <f>+_xlfn.XLOOKUP(PRODUCTOS[[#This Row],[CODIGO]],P_CRITICOS[CODIGO],P_CRITICOS[DESC CORTA],"",0)</f>
        <v/>
      </c>
      <c r="K208" s="81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29.529275999999999</v>
      </c>
      <c r="M208" s="2">
        <f>+IFERROR(PRODUCTOS[[#This Row],[PPTO]]*PRODUCTOS[[#This Row],[CANT X MODULO]],"")</f>
        <v>0</v>
      </c>
      <c r="N208" s="2">
        <f>+IFERROR(PRODUCTOS[[#This Row],[PPTO X MODULO]]*32,"")</f>
        <v>0</v>
      </c>
      <c r="O208" s="2">
        <f>+IFERROR(PRODUCTOS[[#This Row],[PPTO X TORRE]]*22,"")</f>
        <v>0</v>
      </c>
      <c r="P208" s="3">
        <f>+IFERROR(PRODUCTOS[[#This Row],[CANT X MODULO]]*702,"")</f>
        <v>20729.551751999999</v>
      </c>
      <c r="Q208" s="3">
        <f>+SUMIFS(DETALLE_GD_1[CANTIDAD SOLICITADA],DETALLE_GD_1[CODIGO],PRODUCTOS[[#This Row],[CODIGO]])</f>
        <v>1889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1889</v>
      </c>
      <c r="T208" s="3">
        <f>+IFERROR(PRODUCTOS[[#This Row],[CANTIDAD RECIBIDA]]/PRODUCTOS[[#This Row],[CANT X MODULO]],"")</f>
        <v>63.970413632897738</v>
      </c>
      <c r="U208" s="3">
        <f>+SUMIFS(DETALLE_GD_1[VALOR TOTAL POR ITEM GD],DETALLE_GD_1[CODIGO],PRODUCTOS[[#This Row],[CODIGO]])</f>
        <v>3723300</v>
      </c>
      <c r="V208" s="3">
        <f>+IFERROR(PRODUCTOS[[#This Row],[PRECIO DE COMPRA]]/PRODUCTOS[[#This Row],[CANT. COMPRADA]],"")</f>
        <v>1971.0428798305982</v>
      </c>
      <c r="W208" s="3">
        <f>+IFERROR(PRODUCTOS[[#This Row],[PRECIO COMPRA UNITARIO]]*PRODUCTOS[[#This Row],[PPTO FALTANTE]],"")</f>
        <v>37251942.321272202</v>
      </c>
      <c r="X208" s="7" t="str">
        <f>+IFERROR(PRODUCTOS[[#This Row],[PROYECCION COMPRA]]/PRODUCTOS[[#This Row],[PPTO TOTAL]]-1,"")</f>
        <v/>
      </c>
      <c r="Y208" s="3">
        <f>+IFERROR((PRODUCTOS[[#This Row],[CANT X MODULO]]*704)-PRODUCTOS[[#This Row],[CANT. COMPRADA]],"")</f>
        <v>18899.610303999998</v>
      </c>
      <c r="Z208" s="17">
        <f>+IFERROR(PRODUCTOS[[#This Row],[CANT. COMPRADA]]/PRODUCTOS[[#This Row],[PPTO FALTANTE]],"")</f>
        <v>9.9949150782236165E-2</v>
      </c>
      <c r="AA208" s="3">
        <f>+IFERROR(PRODUCTOS[[#This Row],[PROYECCION COMPRA]]-(PRODUCTOS[[#This Row],[PPTO FALTANTE]]*PRODUCTOS[[#This Row],[PPTO]]),"")</f>
        <v>37251942.321272202</v>
      </c>
      <c r="AB208" s="3">
        <f>+_xlfn.XLOOKUP(PRODUCTOS[[#This Row],[CODIGO]],DETALLE_GD_1[CODIGO],DETALLE_GD_1[VALOR PPTO],"",0)</f>
        <v>2112.7957999999999</v>
      </c>
      <c r="AC208" s="3">
        <f>+AB208-PRODUCTOS[[#This Row],[PPTO_ACTUALIZADO]]</f>
        <v>2.0999999833293259E-5</v>
      </c>
    </row>
    <row r="209" spans="1:29" x14ac:dyDescent="0.25">
      <c r="A209">
        <v>407795</v>
      </c>
      <c r="B209" s="81" t="s">
        <v>325</v>
      </c>
      <c r="C209" t="s">
        <v>675</v>
      </c>
      <c r="D209" t="s">
        <v>258</v>
      </c>
      <c r="E209" t="s">
        <v>406</v>
      </c>
      <c r="F209" s="2">
        <v>1610.93361</v>
      </c>
      <c r="G209" s="6" t="s">
        <v>31</v>
      </c>
      <c r="H209" s="2">
        <v>0</v>
      </c>
      <c r="I209" t="b">
        <v>0</v>
      </c>
      <c r="J209" s="81" t="str">
        <f>+_xlfn.XLOOKUP(PRODUCTOS[[#This Row],[CODIGO]],P_CRITICOS[CODIGO],P_CRITICOS[DESC CORTA],"",0)</f>
        <v/>
      </c>
      <c r="K209" s="81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845.74014525000007</v>
      </c>
      <c r="N209" s="2">
        <f>+IFERROR(PRODUCTOS[[#This Row],[PPTO X MODULO]]*32,"")</f>
        <v>27063.684648000002</v>
      </c>
      <c r="O209" s="2">
        <f>+IFERROR(PRODUCTOS[[#This Row],[PPTO X TORRE]]*22,"")</f>
        <v>595401.062256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33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33</v>
      </c>
      <c r="T209" s="3">
        <f>+IFERROR(PRODUCTOS[[#This Row],[CANTIDAD RECIBIDA]]/PRODUCTOS[[#This Row],[CANT X MODULO]],"")</f>
        <v>62.857142857142854</v>
      </c>
      <c r="U209" s="3">
        <f>+SUMIFS(DETALLE_GD_1[VALOR TOTAL POR ITEM GD],DETALLE_GD_1[CODIGO],PRODUCTOS[[#This Row],[CODIGO]])</f>
        <v>49587</v>
      </c>
      <c r="V209" s="3">
        <f>+IFERROR(PRODUCTOS[[#This Row],[PRECIO DE COMPRA]]/PRODUCTOS[[#This Row],[CANT. COMPRADA]],"")</f>
        <v>1502.6363636363637</v>
      </c>
      <c r="W209" s="3">
        <f>+IFERROR(PRODUCTOS[[#This Row],[PRECIO COMPRA UNITARIO]]*PRODUCTOS[[#This Row],[PPTO FALTANTE]],"")</f>
        <v>505787.40000000008</v>
      </c>
      <c r="X209" s="7">
        <f>+IFERROR(PRODUCTOS[[#This Row],[PROYECCION COMPRA]]/PRODUCTOS[[#This Row],[PPTO TOTAL]]-1,"")</f>
        <v>-0.15050974534114858</v>
      </c>
      <c r="Y209" s="3">
        <f>+IFERROR((PRODUCTOS[[#This Row],[CANT X MODULO]]*704)-PRODUCTOS[[#This Row],[CANT. COMPRADA]],"")</f>
        <v>336.6</v>
      </c>
      <c r="Z209" s="17">
        <f>+IFERROR(PRODUCTOS[[#This Row],[CANT. COMPRADA]]/PRODUCTOS[[#This Row],[PPTO FALTANTE]],"")</f>
        <v>9.8039215686274508E-2</v>
      </c>
      <c r="AA209" s="3">
        <f>+IFERROR(PRODUCTOS[[#This Row],[PROYECCION COMPRA]]-(PRODUCTOS[[#This Row],[PPTO FALTANTE]]*PRODUCTOS[[#This Row],[PPTO]]),"")</f>
        <v>-36452.853125999973</v>
      </c>
      <c r="AB209" s="3">
        <f>+_xlfn.XLOOKUP(PRODUCTOS[[#This Row],[CODIGO]],DETALLE_GD_1[CODIGO],DETALLE_GD_1[VALOR PPTO],"",0)</f>
        <v>1610.9336000000001</v>
      </c>
      <c r="AC209" s="3">
        <f>+AB209-PRODUCTOS[[#This Row],[PPTO_ACTUALIZADO]]</f>
        <v>1610.9336000000001</v>
      </c>
    </row>
    <row r="210" spans="1:29" x14ac:dyDescent="0.25">
      <c r="A210">
        <v>704021</v>
      </c>
      <c r="B210" s="81" t="s">
        <v>329</v>
      </c>
      <c r="C210" t="s">
        <v>667</v>
      </c>
      <c r="D210" t="s">
        <v>240</v>
      </c>
      <c r="E210" t="s">
        <v>402</v>
      </c>
      <c r="F210" s="2">
        <v>487</v>
      </c>
      <c r="G210" s="6" t="s">
        <v>31</v>
      </c>
      <c r="H210" s="2">
        <v>487</v>
      </c>
      <c r="I210" t="b">
        <v>1</v>
      </c>
      <c r="J210" s="81" t="str">
        <f>+_xlfn.XLOOKUP(PRODUCTOS[[#This Row],[CODIGO]],P_CRITICOS[CODIGO],P_CRITICOS[DESC CORTA],"",0)</f>
        <v/>
      </c>
      <c r="K210" s="81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21</v>
      </c>
      <c r="M210" s="2">
        <f>+IFERROR(PRODUCTOS[[#This Row],[PPTO]]*PRODUCTOS[[#This Row],[CANT X MODULO]],"")</f>
        <v>10227</v>
      </c>
      <c r="N210" s="2">
        <f>+IFERROR(PRODUCTOS[[#This Row],[PPTO X MODULO]]*32,"")</f>
        <v>327264</v>
      </c>
      <c r="O210" s="2">
        <f>+IFERROR(PRODUCTOS[[#This Row],[PPTO X TORRE]]*22,"")</f>
        <v>7199808</v>
      </c>
      <c r="P210" s="3">
        <f>+IFERROR(PRODUCTOS[[#This Row],[CANT X MODULO]]*702,"")</f>
        <v>14742</v>
      </c>
      <c r="Q210" s="3">
        <f>+SUMIFS(DETALLE_GD_1[CANTIDAD SOLICITADA],DETALLE_GD_1[CODIGO],PRODUCTOS[[#This Row],[CODIGO]])</f>
        <v>1318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1318</v>
      </c>
      <c r="T210" s="3">
        <f>+IFERROR(PRODUCTOS[[#This Row],[CANTIDAD RECIBIDA]]/PRODUCTOS[[#This Row],[CANT X MODULO]],"")</f>
        <v>62.761904761904759</v>
      </c>
      <c r="U210" s="3">
        <f>+SUMIFS(DETALLE_GD_1[VALOR TOTAL POR ITEM GD],DETALLE_GD_1[CODIGO],PRODUCTOS[[#This Row],[CODIGO]])</f>
        <v>641866</v>
      </c>
      <c r="V210" s="3">
        <f>+IFERROR(PRODUCTOS[[#This Row],[PRECIO DE COMPRA]]/PRODUCTOS[[#This Row],[CANT. COMPRADA]],"")</f>
        <v>487</v>
      </c>
      <c r="W210" s="3">
        <f>+IFERROR(PRODUCTOS[[#This Row],[PRECIO COMPRA UNITARIO]]*PRODUCTOS[[#This Row],[PPTO FALTANTE]],"")</f>
        <v>6557942</v>
      </c>
      <c r="X210" s="7">
        <f>+IFERROR(PRODUCTOS[[#This Row],[PROYECCION COMPRA]]/PRODUCTOS[[#This Row],[PPTO TOTAL]]-1,"")</f>
        <v>-8.9150432900432897E-2</v>
      </c>
      <c r="Y210" s="3">
        <f>+IFERROR((PRODUCTOS[[#This Row],[CANT X MODULO]]*704)-PRODUCTOS[[#This Row],[CANT. COMPRADA]],"")</f>
        <v>13466</v>
      </c>
      <c r="Z210" s="17">
        <f>+IFERROR(PRODUCTOS[[#This Row],[CANT. COMPRADA]]/PRODUCTOS[[#This Row],[PPTO FALTANTE]],"")</f>
        <v>9.787613248180603E-2</v>
      </c>
      <c r="AA210" s="3">
        <f>+IFERROR(PRODUCTOS[[#This Row],[PROYECCION COMPRA]]-(PRODUCTOS[[#This Row],[PPTO FALTANTE]]*PRODUCTOS[[#This Row],[PPTO]]),"")</f>
        <v>0</v>
      </c>
      <c r="AB210" s="3">
        <f>+_xlfn.XLOOKUP(PRODUCTOS[[#This Row],[CODIGO]],DETALLE_GD_1[CODIGO],DETALLE_GD_1[VALOR PPTO],"",0)</f>
        <v>487</v>
      </c>
      <c r="AC210" s="3">
        <f>+AB210-PRODUCTOS[[#This Row],[PPTO_ACTUALIZADO]]</f>
        <v>0</v>
      </c>
    </row>
    <row r="211" spans="1:29" x14ac:dyDescent="0.25">
      <c r="A211">
        <v>302028</v>
      </c>
      <c r="B211" s="81" t="s">
        <v>246</v>
      </c>
      <c r="C211" t="s">
        <v>537</v>
      </c>
      <c r="D211" t="s">
        <v>240</v>
      </c>
      <c r="E211" t="s">
        <v>403</v>
      </c>
      <c r="F211" s="2">
        <v>5123.8025269999998</v>
      </c>
      <c r="G211" s="6" t="s">
        <v>20</v>
      </c>
      <c r="H211" s="2">
        <v>5123.8025270000016</v>
      </c>
      <c r="I211" t="b">
        <v>1</v>
      </c>
      <c r="J211" s="81" t="str">
        <f>+_xlfn.XLOOKUP(PRODUCTOS[[#This Row],[CODIGO]],P_CRITICOS[CODIGO],P_CRITICOS[DESC CORTA],"",0)</f>
        <v>PINO 2X4X320</v>
      </c>
      <c r="K211" s="81" t="str">
        <f>+IFERROR(IF(VLOOKUP(PRODUCTOS[[#This Row],[CODIGO]],P_CRITICOS[],3,0)="*","PRODUCTO CRITICO","NO CRITICO"),"NO CRITICO")</f>
        <v>PRODUCTO CRITICO</v>
      </c>
      <c r="L211" s="15">
        <f>+_xlfn.XLOOKUP(PRODUCTOS[[#This Row],[CODIGO]],BD_MODULO[Artículo],BD_MODULO[CUB_ACTUALIZADA],"",0)</f>
        <v>172.72499999999994</v>
      </c>
      <c r="M211" s="2">
        <f>+IFERROR(PRODUCTOS[[#This Row],[PPTO]]*PRODUCTOS[[#This Row],[CANT X MODULO]],"")</f>
        <v>885008.79147607461</v>
      </c>
      <c r="N211" s="2">
        <f>+IFERROR(PRODUCTOS[[#This Row],[PPTO X MODULO]]*32,"")</f>
        <v>28320281.327234387</v>
      </c>
      <c r="O211" s="2">
        <f>+IFERROR(PRODUCTOS[[#This Row],[PPTO X TORRE]]*22,"")</f>
        <v>623046189.19915652</v>
      </c>
      <c r="P211" s="3">
        <f>+IFERROR(PRODUCTOS[[#This Row],[CANT X MODULO]]*702,"")</f>
        <v>121252.94999999995</v>
      </c>
      <c r="Q211" s="3">
        <f>+SUMIFS(DETALLE_GD_1[CANTIDAD SOLICITADA],DETALLE_GD_1[CODIGO],PRODUCTOS[[#This Row],[CODIGO]])</f>
        <v>10801</v>
      </c>
      <c r="R211" s="3">
        <f>+SUMIFS(DETALLE_GD_1[DEVOLUCIÓN],DETALLE_GD_1[CODIGO],PRODUCTOS[[#This Row],[CODIGO]])</f>
        <v>600</v>
      </c>
      <c r="S211" s="3">
        <f>+PRODUCTOS[[#This Row],[CANT. COMPRADA]]-PRODUCTOS[[#This Row],[DEVOLUCIONES]]</f>
        <v>10201</v>
      </c>
      <c r="T211" s="3">
        <f>+IFERROR(PRODUCTOS[[#This Row],[CANTIDAD RECIBIDA]]/PRODUCTOS[[#This Row],[CANT X MODULO]],"")</f>
        <v>59.059198147344063</v>
      </c>
      <c r="U211" s="3">
        <f>+SUMIFS(DETALLE_GD_1[VALOR TOTAL POR ITEM GD],DETALLE_GD_1[CODIGO],PRODUCTOS[[#This Row],[CODIGO]])</f>
        <v>51467953</v>
      </c>
      <c r="V211" s="3">
        <f>+IFERROR(PRODUCTOS[[#This Row],[PRECIO DE COMPRA]]/PRODUCTOS[[#This Row],[CANT. COMPRADA]],"")</f>
        <v>4765.1099898157581</v>
      </c>
      <c r="W211" s="3">
        <f>+IFERROR(PRODUCTOS[[#This Row],[PRECIO COMPRA UNITARIO]]*PRODUCTOS[[#This Row],[PPTO FALTANTE]],"")</f>
        <v>527961797.58561224</v>
      </c>
      <c r="X211" s="7">
        <f>+IFERROR(PRODUCTOS[[#This Row],[PROYECCION COMPRA]]/PRODUCTOS[[#This Row],[PPTO TOTAL]]-1,"")</f>
        <v>-0.1526121068740709</v>
      </c>
      <c r="Y211" s="3">
        <f>+IFERROR((PRODUCTOS[[#This Row],[CANT X MODULO]]*704)-PRODUCTOS[[#This Row],[CANT. COMPRADA]],"")</f>
        <v>110797.39999999995</v>
      </c>
      <c r="Z211" s="17">
        <f>+IFERROR(PRODUCTOS[[#This Row],[CANT. COMPRADA]]/PRODUCTOS[[#This Row],[PPTO FALTANTE]],"")</f>
        <v>9.7484236994730966E-2</v>
      </c>
      <c r="AA211" s="3">
        <f>+IFERROR(PRODUCTOS[[#This Row],[PROYECCION COMPRA]]-(PRODUCTOS[[#This Row],[PPTO FALTANTE]]*PRODUCTOS[[#This Row],[PPTO]]),"")</f>
        <v>-39742200.519417346</v>
      </c>
      <c r="AB211" s="3">
        <f>+_xlfn.XLOOKUP(PRODUCTOS[[#This Row],[CODIGO]],DETALLE_GD_1[CODIGO],DETALLE_GD_1[VALOR PPTO],"",0)</f>
        <v>5123.8024999999998</v>
      </c>
      <c r="AC211" s="3">
        <f>+AB211-PRODUCTOS[[#This Row],[PPTO_ACTUALIZADO]]</f>
        <v>-2.7000001864507794E-5</v>
      </c>
    </row>
    <row r="212" spans="1:29" x14ac:dyDescent="0.25">
      <c r="A212">
        <v>1808148</v>
      </c>
      <c r="B212" s="81" t="s">
        <v>276</v>
      </c>
      <c r="C212" t="s">
        <v>652</v>
      </c>
      <c r="D212" t="s">
        <v>258</v>
      </c>
      <c r="E212" t="s">
        <v>406</v>
      </c>
      <c r="F212" s="2">
        <v>1108.0958900000001</v>
      </c>
      <c r="G212" s="6" t="s">
        <v>31</v>
      </c>
      <c r="H212" s="2">
        <v>1089</v>
      </c>
      <c r="I212" t="b">
        <v>0</v>
      </c>
      <c r="J212" s="81" t="str">
        <f>+_xlfn.XLOOKUP(PRODUCTOS[[#This Row],[CODIGO]],P_CRITICOS[CODIGO],P_CRITICOS[DESC CORTA],"",0)</f>
        <v/>
      </c>
      <c r="K212" s="81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581.75034225000002</v>
      </c>
      <c r="N212" s="2">
        <f>+IFERROR(PRODUCTOS[[#This Row],[PPTO X MODULO]]*32,"")</f>
        <v>18616.010952000001</v>
      </c>
      <c r="O212" s="2">
        <f>+IFERROR(PRODUCTOS[[#This Row],[PPTO X TORRE]]*22,"")</f>
        <v>409552.24094400002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31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31</v>
      </c>
      <c r="T212" s="3">
        <f>+IFERROR(PRODUCTOS[[#This Row],[CANTIDAD RECIBIDA]]/PRODUCTOS[[#This Row],[CANT X MODULO]],"")</f>
        <v>59.047619047619044</v>
      </c>
      <c r="U212" s="3">
        <f>+SUMIFS(DETALLE_GD_1[VALOR TOTAL POR ITEM GD],DETALLE_GD_1[CODIGO],PRODUCTOS[[#This Row],[CODIGO]])</f>
        <v>34057</v>
      </c>
      <c r="V212" s="3">
        <f>+IFERROR(PRODUCTOS[[#This Row],[PRECIO DE COMPRA]]/PRODUCTOS[[#This Row],[CANT. COMPRADA]],"")</f>
        <v>1098.6129032258063</v>
      </c>
      <c r="W212" s="3">
        <f>+IFERROR(PRODUCTOS[[#This Row],[PRECIO COMPRA UNITARIO]]*PRODUCTOS[[#This Row],[PPTO FALTANTE]],"")</f>
        <v>371990.32903225807</v>
      </c>
      <c r="X212" s="7">
        <f>+IFERROR(PRODUCTOS[[#This Row],[PROYECCION COMPRA]]/PRODUCTOS[[#This Row],[PPTO TOTAL]]-1,"")</f>
        <v>-9.1714580355276243E-2</v>
      </c>
      <c r="Y212" s="3">
        <f>+IFERROR((PRODUCTOS[[#This Row],[CANT X MODULO]]*704)-PRODUCTOS[[#This Row],[CANT. COMPRADA]],"")</f>
        <v>338.6</v>
      </c>
      <c r="Z212" s="17">
        <f>+IFERROR(PRODUCTOS[[#This Row],[CANT. COMPRADA]]/PRODUCTOS[[#This Row],[PPTO FALTANTE]],"")</f>
        <v>9.1553455404607201E-2</v>
      </c>
      <c r="AA212" s="3">
        <f>+IFERROR(PRODUCTOS[[#This Row],[PROYECCION COMPRA]]-(PRODUCTOS[[#This Row],[PPTO FALTANTE]]*PRODUCTOS[[#This Row],[PPTO]]),"")</f>
        <v>-3210.9393217419856</v>
      </c>
      <c r="AB212" s="3">
        <f>+_xlfn.XLOOKUP(PRODUCTOS[[#This Row],[CODIGO]],DETALLE_GD_1[CODIGO],DETALLE_GD_1[VALOR PPTO],"",0)</f>
        <v>1089</v>
      </c>
      <c r="AC212" s="3">
        <f>+AB212-PRODUCTOS[[#This Row],[PPTO_ACTUALIZADO]]</f>
        <v>0</v>
      </c>
    </row>
    <row r="213" spans="1:29" x14ac:dyDescent="0.25">
      <c r="A213">
        <v>2302017</v>
      </c>
      <c r="B213" s="81" t="s">
        <v>156</v>
      </c>
      <c r="C213">
        <v>0</v>
      </c>
      <c r="D213" t="s">
        <v>244</v>
      </c>
      <c r="E213" t="s">
        <v>399</v>
      </c>
      <c r="F213" s="2">
        <v>81197.881578999994</v>
      </c>
      <c r="G213" s="6" t="s">
        <v>25</v>
      </c>
      <c r="H213" s="2">
        <v>81197.881578999979</v>
      </c>
      <c r="I213" t="b">
        <v>1</v>
      </c>
      <c r="J213" s="81" t="str">
        <f>+_xlfn.XLOOKUP(PRODUCTOS[[#This Row],[CODIGO]],P_CRITICOS[CODIGO],P_CRITICOS[DESC CORTA],"",0)</f>
        <v/>
      </c>
      <c r="K213" s="81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0.7875000000000002</v>
      </c>
      <c r="M213" s="2">
        <f>+IFERROR(PRODUCTOS[[#This Row],[PPTO]]*PRODUCTOS[[#This Row],[CANT X MODULO]],"")</f>
        <v>63943.331743462513</v>
      </c>
      <c r="N213" s="2">
        <f>+IFERROR(PRODUCTOS[[#This Row],[PPTO X MODULO]]*32,"")</f>
        <v>2046186.6157908004</v>
      </c>
      <c r="O213" s="2">
        <f>+IFERROR(PRODUCTOS[[#This Row],[PPTO X TORRE]]*22,"")</f>
        <v>45016105.547397606</v>
      </c>
      <c r="P213" s="3">
        <f>+IFERROR(PRODUCTOS[[#This Row],[CANT X MODULO]]*702,"")</f>
        <v>552.82500000000016</v>
      </c>
      <c r="Q213" s="3">
        <f>+SUMIFS(DETALLE_GD_1[CANTIDAD SOLICITADA],DETALLE_GD_1[CODIGO],PRODUCTOS[[#This Row],[CODIGO]])</f>
        <v>46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46</v>
      </c>
      <c r="T213" s="3">
        <f>+IFERROR(PRODUCTOS[[#This Row],[CANTIDAD RECIBIDA]]/PRODUCTOS[[#This Row],[CANT X MODULO]],"")</f>
        <v>58.412698412698397</v>
      </c>
      <c r="U213" s="3">
        <f>+SUMIFS(DETALLE_GD_1[VALOR TOTAL POR ITEM GD],DETALLE_GD_1[CODIGO],PRODUCTOS[[#This Row],[CODIGO]])</f>
        <v>3811921</v>
      </c>
      <c r="V213" s="3">
        <f>+IFERROR(PRODUCTOS[[#This Row],[PRECIO DE COMPRA]]/PRODUCTOS[[#This Row],[CANT. COMPRADA]],"")</f>
        <v>82867.84782608696</v>
      </c>
      <c r="W213" s="3">
        <f>+IFERROR(PRODUCTOS[[#This Row],[PRECIO COMPRA UNITARIO]]*PRODUCTOS[[#This Row],[PPTO FALTANTE]],"")</f>
        <v>42130013.834782615</v>
      </c>
      <c r="X213" s="7">
        <f>+IFERROR(PRODUCTOS[[#This Row],[PROYECCION COMPRA]]/PRODUCTOS[[#This Row],[PPTO TOTAL]]-1,"")</f>
        <v>-6.4112425486834157E-2</v>
      </c>
      <c r="Y213" s="3">
        <f>+IFERROR((PRODUCTOS[[#This Row],[CANT X MODULO]]*704)-PRODUCTOS[[#This Row],[CANT. COMPRADA]],"")</f>
        <v>508.40000000000009</v>
      </c>
      <c r="Z213" s="17">
        <f>+IFERROR(PRODUCTOS[[#This Row],[CANT. COMPRADA]]/PRODUCTOS[[#This Row],[PPTO FALTANTE]],"")</f>
        <v>9.0479937057435081E-2</v>
      </c>
      <c r="AA213" s="3">
        <f>+IFERROR(PRODUCTOS[[#This Row],[PROYECCION COMPRA]]-(PRODUCTOS[[#This Row],[PPTO FALTANTE]]*PRODUCTOS[[#This Row],[PPTO]]),"")</f>
        <v>849010.84001901001</v>
      </c>
      <c r="AB213" s="3">
        <f>+_xlfn.XLOOKUP(PRODUCTOS[[#This Row],[CODIGO]],DETALLE_GD_1[CODIGO],DETALLE_GD_1[VALOR PPTO],"",0)</f>
        <v>81197.881599999993</v>
      </c>
      <c r="AC213" s="3">
        <f>+AB213-PRODUCTOS[[#This Row],[PPTO_ACTUALIZADO]]</f>
        <v>2.1000014385208488E-5</v>
      </c>
    </row>
    <row r="214" spans="1:29" x14ac:dyDescent="0.25">
      <c r="A214">
        <v>1805340</v>
      </c>
      <c r="B214" s="81" t="s">
        <v>298</v>
      </c>
      <c r="C214" t="s">
        <v>643</v>
      </c>
      <c r="D214" t="s">
        <v>244</v>
      </c>
      <c r="E214" t="s">
        <v>410</v>
      </c>
      <c r="F214" s="2">
        <v>19400</v>
      </c>
      <c r="G214" s="6" t="s">
        <v>31</v>
      </c>
      <c r="H214" s="2">
        <v>19400</v>
      </c>
      <c r="I214" t="b">
        <v>1</v>
      </c>
      <c r="J214" s="81" t="str">
        <f>+_xlfn.XLOOKUP(PRODUCTOS[[#This Row],[CODIGO]],P_CRITICOS[CODIGO],P_CRITICOS[DESC CORTA],"",0)</f>
        <v/>
      </c>
      <c r="K214" s="81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1.05</v>
      </c>
      <c r="M214" s="2">
        <f>+IFERROR(PRODUCTOS[[#This Row],[PPTO]]*PRODUCTOS[[#This Row],[CANT X MODULO]],"")</f>
        <v>20370</v>
      </c>
      <c r="N214" s="2">
        <f>+IFERROR(PRODUCTOS[[#This Row],[PPTO X MODULO]]*32,"")</f>
        <v>651840</v>
      </c>
      <c r="O214" s="2">
        <f>+IFERROR(PRODUCTOS[[#This Row],[PPTO X TORRE]]*22,"")</f>
        <v>14340480</v>
      </c>
      <c r="P214" s="3">
        <f>+IFERROR(PRODUCTOS[[#This Row],[CANT X MODULO]]*702,"")</f>
        <v>737.1</v>
      </c>
      <c r="Q214" s="3">
        <f>+SUMIFS(DETALLE_GD_1[CANTIDAD SOLICITADA],DETALLE_GD_1[CODIGO],PRODUCTOS[[#This Row],[CODIGO]])</f>
        <v>60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60</v>
      </c>
      <c r="T214" s="3">
        <f>+IFERROR(PRODUCTOS[[#This Row],[CANTIDAD RECIBIDA]]/PRODUCTOS[[#This Row],[CANT X MODULO]],"")</f>
        <v>57.142857142857139</v>
      </c>
      <c r="U214" s="3">
        <f>+SUMIFS(DETALLE_GD_1[VALOR TOTAL POR ITEM GD],DETALLE_GD_1[CODIGO],PRODUCTOS[[#This Row],[CODIGO]])</f>
        <v>1164000</v>
      </c>
      <c r="V214" s="3">
        <f>+IFERROR(PRODUCTOS[[#This Row],[PRECIO DE COMPRA]]/PRODUCTOS[[#This Row],[CANT. COMPRADA]],"")</f>
        <v>19400</v>
      </c>
      <c r="W214" s="3">
        <f>+IFERROR(PRODUCTOS[[#This Row],[PRECIO COMPRA UNITARIO]]*PRODUCTOS[[#This Row],[PPTO FALTANTE]],"")</f>
        <v>13176480</v>
      </c>
      <c r="X214" s="7">
        <f>+IFERROR(PRODUCTOS[[#This Row],[PROYECCION COMPRA]]/PRODUCTOS[[#This Row],[PPTO TOTAL]]-1,"")</f>
        <v>-8.1168831168831224E-2</v>
      </c>
      <c r="Y214" s="3">
        <f>+IFERROR((PRODUCTOS[[#This Row],[CANT X MODULO]]*704)-PRODUCTOS[[#This Row],[CANT. COMPRADA]],"")</f>
        <v>679.2</v>
      </c>
      <c r="Z214" s="17">
        <f>+IFERROR(PRODUCTOS[[#This Row],[CANT. COMPRADA]]/PRODUCTOS[[#This Row],[PPTO FALTANTE]],"")</f>
        <v>8.8339222614840979E-2</v>
      </c>
      <c r="AA214" s="3">
        <f>+IFERROR(PRODUCTOS[[#This Row],[PROYECCION COMPRA]]-(PRODUCTOS[[#This Row],[PPTO FALTANTE]]*PRODUCTOS[[#This Row],[PPTO]]),"")</f>
        <v>0</v>
      </c>
      <c r="AB214" s="3">
        <f>+_xlfn.XLOOKUP(PRODUCTOS[[#This Row],[CODIGO]],DETALLE_GD_1[CODIGO],DETALLE_GD_1[VALOR PPTO],"",0)</f>
        <v>19400</v>
      </c>
      <c r="AC214" s="3">
        <f>+AB214-PRODUCTOS[[#This Row],[PPTO_ACTUALIZADO]]</f>
        <v>0</v>
      </c>
    </row>
    <row r="215" spans="1:29" x14ac:dyDescent="0.25">
      <c r="A215">
        <v>1808146</v>
      </c>
      <c r="B215" s="81" t="s">
        <v>274</v>
      </c>
      <c r="C215" t="s">
        <v>656</v>
      </c>
      <c r="D215" t="s">
        <v>258</v>
      </c>
      <c r="E215" t="s">
        <v>406</v>
      </c>
      <c r="F215" s="2">
        <v>3318.025157</v>
      </c>
      <c r="G215" s="6" t="s">
        <v>31</v>
      </c>
      <c r="H215" s="2">
        <v>3404</v>
      </c>
      <c r="I215" t="b">
        <v>0</v>
      </c>
      <c r="J215" s="81" t="str">
        <f>+_xlfn.XLOOKUP(PRODUCTOS[[#This Row],[CODIGO]],P_CRITICOS[CODIGO],P_CRITICOS[DESC CORTA],"",0)</f>
        <v/>
      </c>
      <c r="K215" s="81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1741.9632074250001</v>
      </c>
      <c r="N215" s="2">
        <f>+IFERROR(PRODUCTOS[[#This Row],[PPTO X MODULO]]*32,"")</f>
        <v>55742.822637600002</v>
      </c>
      <c r="O215" s="2">
        <f>+IFERROR(PRODUCTOS[[#This Row],[PPTO X TORRE]]*22,"")</f>
        <v>1226342.0980272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29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29</v>
      </c>
      <c r="T215" s="3">
        <f>+IFERROR(PRODUCTOS[[#This Row],[CANTIDAD RECIBIDA]]/PRODUCTOS[[#This Row],[CANT X MODULO]],"")</f>
        <v>55.238095238095234</v>
      </c>
      <c r="U215" s="3">
        <f>+SUMIFS(DETALLE_GD_1[VALOR TOTAL POR ITEM GD],DETALLE_GD_1[CODIGO],PRODUCTOS[[#This Row],[CODIGO]])</f>
        <v>96332</v>
      </c>
      <c r="V215" s="3">
        <f>+IFERROR(PRODUCTOS[[#This Row],[PRECIO DE COMPRA]]/PRODUCTOS[[#This Row],[CANT. COMPRADA]],"")</f>
        <v>3321.7931034482758</v>
      </c>
      <c r="W215" s="3">
        <f>+IFERROR(PRODUCTOS[[#This Row],[PRECIO COMPRA UNITARIO]]*PRODUCTOS[[#This Row],[PPTO FALTANTE]],"")</f>
        <v>1131402.7310344828</v>
      </c>
      <c r="X215" s="7">
        <f>+IFERROR(PRODUCTOS[[#This Row],[PROYECCION COMPRA]]/PRODUCTOS[[#This Row],[PPTO TOTAL]]-1,"")</f>
        <v>-7.7416707088050596E-2</v>
      </c>
      <c r="Y215" s="3">
        <f>+IFERROR((PRODUCTOS[[#This Row],[CANT X MODULO]]*704)-PRODUCTOS[[#This Row],[CANT. COMPRADA]],"")</f>
        <v>340.6</v>
      </c>
      <c r="Z215" s="17">
        <f>+IFERROR(PRODUCTOS[[#This Row],[CANT. COMPRADA]]/PRODUCTOS[[#This Row],[PPTO FALTANTE]],"")</f>
        <v>8.514386376981796E-2</v>
      </c>
      <c r="AA215" s="3">
        <f>+IFERROR(PRODUCTOS[[#This Row],[PROYECCION COMPRA]]-(PRODUCTOS[[#This Row],[PPTO FALTANTE]]*PRODUCTOS[[#This Row],[PPTO]]),"")</f>
        <v>1283.3625602826942</v>
      </c>
      <c r="AB215" s="3">
        <f>+_xlfn.XLOOKUP(PRODUCTOS[[#This Row],[CODIGO]],DETALLE_GD_1[CODIGO],DETALLE_GD_1[VALOR PPTO],"",0)</f>
        <v>3404</v>
      </c>
      <c r="AC215" s="3">
        <f>+AB215-PRODUCTOS[[#This Row],[PPTO_ACTUALIZADO]]</f>
        <v>0</v>
      </c>
    </row>
    <row r="216" spans="1:29" x14ac:dyDescent="0.25">
      <c r="A216">
        <v>704092</v>
      </c>
      <c r="B216" s="81" t="s">
        <v>116</v>
      </c>
      <c r="C216" t="s">
        <v>616</v>
      </c>
      <c r="D216" t="s">
        <v>244</v>
      </c>
      <c r="E216" t="s">
        <v>355</v>
      </c>
      <c r="F216" s="2">
        <v>273.47427099999999</v>
      </c>
      <c r="G216" s="6" t="s">
        <v>355</v>
      </c>
      <c r="H216" s="2">
        <v>0</v>
      </c>
      <c r="I216" t="b">
        <v>0</v>
      </c>
      <c r="J216" s="81" t="str">
        <f>+_xlfn.XLOOKUP(PRODUCTOS[[#This Row],[CODIGO]],P_CRITICOS[CODIGO],P_CRITICOS[DESC CORTA],"",0)</f>
        <v/>
      </c>
      <c r="K216" s="81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</v>
      </c>
      <c r="M216" s="2">
        <f>+IFERROR(PRODUCTOS[[#This Row],[PPTO]]*PRODUCTOS[[#This Row],[CANT X MODULO]],"")</f>
        <v>273.47427099999999</v>
      </c>
      <c r="N216" s="2">
        <f>+IFERROR(PRODUCTOS[[#This Row],[PPTO X MODULO]]*32,"")</f>
        <v>8751.1766719999996</v>
      </c>
      <c r="O216" s="2">
        <f>+IFERROR(PRODUCTOS[[#This Row],[PPTO X TORRE]]*22,"")</f>
        <v>192525.886784</v>
      </c>
      <c r="P216" s="3">
        <f>+IFERROR(PRODUCTOS[[#This Row],[CANT X MODULO]]*702,"")</f>
        <v>702</v>
      </c>
      <c r="Q216" s="3">
        <f>+SUMIFS(DETALLE_GD_1[CANTIDAD SOLICITADA],DETALLE_GD_1[CODIGO],PRODUCTOS[[#This Row],[CODIGO]])</f>
        <v>54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54</v>
      </c>
      <c r="T216" s="3">
        <f>+IFERROR(PRODUCTOS[[#This Row],[CANTIDAD RECIBIDA]]/PRODUCTOS[[#This Row],[CANT X MODULO]],"")</f>
        <v>54</v>
      </c>
      <c r="U216" s="3">
        <f>+SUMIFS(DETALLE_GD_1[VALOR TOTAL POR ITEM GD],DETALLE_GD_1[CODIGO],PRODUCTOS[[#This Row],[CODIGO]])</f>
        <v>14768</v>
      </c>
      <c r="V216" s="3">
        <f>+IFERROR(PRODUCTOS[[#This Row],[PRECIO DE COMPRA]]/PRODUCTOS[[#This Row],[CANT. COMPRADA]],"")</f>
        <v>273.48148148148147</v>
      </c>
      <c r="W216" s="3">
        <f>+IFERROR(PRODUCTOS[[#This Row],[PRECIO COMPRA UNITARIO]]*PRODUCTOS[[#This Row],[PPTO FALTANTE]],"")</f>
        <v>177762.96296296295</v>
      </c>
      <c r="X216" s="7">
        <f>+IFERROR(PRODUCTOS[[#This Row],[PROYECCION COMPRA]]/PRODUCTOS[[#This Row],[PPTO TOTAL]]-1,"")</f>
        <v>-7.6680201647895685E-2</v>
      </c>
      <c r="Y216" s="3">
        <f>+IFERROR((PRODUCTOS[[#This Row],[CANT X MODULO]]*704)-PRODUCTOS[[#This Row],[CANT. COMPRADA]],"")</f>
        <v>650</v>
      </c>
      <c r="Z216" s="17">
        <f>+IFERROR(PRODUCTOS[[#This Row],[CANT. COMPRADA]]/PRODUCTOS[[#This Row],[PPTO FALTANTE]],"")</f>
        <v>8.3076923076923076E-2</v>
      </c>
      <c r="AA216" s="3">
        <f>+IFERROR(PRODUCTOS[[#This Row],[PROYECCION COMPRA]]-(PRODUCTOS[[#This Row],[PPTO FALTANTE]]*PRODUCTOS[[#This Row],[PPTO]]),"")</f>
        <v>4.6868129629583564</v>
      </c>
      <c r="AB216" s="3">
        <f>+_xlfn.XLOOKUP(PRODUCTOS[[#This Row],[CODIGO]],DETALLE_GD_1[CODIGO],DETALLE_GD_1[VALOR PPTO],"",0)</f>
        <v>273.47430000000003</v>
      </c>
      <c r="AC216" s="3">
        <f>+AB216-PRODUCTOS[[#This Row],[PPTO_ACTUALIZADO]]</f>
        <v>273.47430000000003</v>
      </c>
    </row>
    <row r="217" spans="1:29" x14ac:dyDescent="0.25">
      <c r="A217">
        <v>1901038</v>
      </c>
      <c r="B217" s="81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s="81" t="str">
        <f>+_xlfn.XLOOKUP(PRODUCTOS[[#This Row],[CODIGO]],P_CRITICOS[CODIGO],P_CRITICOS[DESC CORTA],"",0)</f>
        <v>AISLAN ROCA 90MM</v>
      </c>
      <c r="K217" s="81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2158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2158</v>
      </c>
      <c r="T217" s="3">
        <f>+IFERROR(PRODUCTOS[[#This Row],[CANTIDAD RECIBIDA]]/PRODUCTOS[[#This Row],[CANT X MODULO]],"")</f>
        <v>53.936178854168624</v>
      </c>
      <c r="U217" s="3">
        <f>+SUMIFS(DETALLE_GD_1[VALOR TOTAL POR ITEM GD],DETALLE_GD_1[CODIGO],PRODUCTOS[[#This Row],[CODIGO]])</f>
        <v>9949676</v>
      </c>
      <c r="V217" s="3">
        <f>+IFERROR(PRODUCTOS[[#This Row],[PRECIO DE COMPRA]]/PRODUCTOS[[#This Row],[CANT. COMPRADA]],"")</f>
        <v>4610.6005560704352</v>
      </c>
      <c r="W217" s="3">
        <f>+IFERROR(PRODUCTOS[[#This Row],[PRECIO COMPRA UNITARIO]]*PRODUCTOS[[#This Row],[PPTO FALTANTE]],"")</f>
        <v>119918105.75255606</v>
      </c>
      <c r="X217" s="7">
        <f>+IFERROR(PRODUCTOS[[#This Row],[PROYECCION COMPRA]]/PRODUCTOS[[#This Row],[PPTO TOTAL]]-1,"")</f>
        <v>1.4281788731164147E-2</v>
      </c>
      <c r="Y217" s="3">
        <f>+IFERROR((PRODUCTOS[[#This Row],[CANT X MODULO]]*704)-PRODUCTOS[[#This Row],[CANT. COMPRADA]],"")</f>
        <v>26009.216</v>
      </c>
      <c r="Z217" s="17">
        <f>+IFERROR(PRODUCTOS[[#This Row],[CANT. COMPRADA]]/PRODUCTOS[[#This Row],[PPTO FALTANTE]],"")</f>
        <v>8.2970590116980075E-2</v>
      </c>
      <c r="AA217" s="3">
        <f>+IFERROR(PRODUCTOS[[#This Row],[PROYECCION COMPRA]]-(PRODUCTOS[[#This Row],[PPTO FALTANTE]]*PRODUCTOS[[#This Row],[PPTO]]),"")</f>
        <v>10746557.599420056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s="81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s="81" t="str">
        <f>+_xlfn.XLOOKUP(PRODUCTOS[[#This Row],[CODIGO]],P_CRITICOS[CODIGO],P_CRITICOS[DESC CORTA],"",0)</f>
        <v/>
      </c>
      <c r="K218" s="81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7904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7904</v>
      </c>
      <c r="T218" s="3">
        <f>+IFERROR(PRODUCTOS[[#This Row],[CANTIDAD RECIBIDA]]/PRODUCTOS[[#This Row],[CANT X MODULO]],"")</f>
        <v>52.275132275132279</v>
      </c>
      <c r="U218" s="3">
        <f>+SUMIFS(DETALLE_GD_1[VALOR TOTAL POR ITEM GD],DETALLE_GD_1[CODIGO],PRODUCTOS[[#This Row],[CODIGO]])</f>
        <v>39337</v>
      </c>
      <c r="V218" s="3">
        <f>+IFERROR(PRODUCTOS[[#This Row],[PRECIO DE COMPRA]]/PRODUCTOS[[#This Row],[CANT. COMPRADA]],"")</f>
        <v>4.9768471659919031</v>
      </c>
      <c r="W218" s="3">
        <f>+IFERROR(PRODUCTOS[[#This Row],[PRECIO COMPRA UNITARIO]]*PRODUCTOS[[#This Row],[PPTO FALTANTE]],"")</f>
        <v>490422.50121457485</v>
      </c>
      <c r="X218" s="7">
        <f>+IFERROR(PRODUCTOS[[#This Row],[PROYECCION COMPRA]]/PRODUCTOS[[#This Row],[PPTO TOTAL]]-1,"")</f>
        <v>-5.5924139288587305E-2</v>
      </c>
      <c r="Y218" s="3">
        <f>+IFERROR((PRODUCTOS[[#This Row],[CANT X MODULO]]*704)-PRODUCTOS[[#This Row],[CANT. COMPRADA]],"")</f>
        <v>98540.799999999988</v>
      </c>
      <c r="Z218" s="17">
        <f>+IFERROR(PRODUCTOS[[#This Row],[CANT. COMPRADA]]/PRODUCTOS[[#This Row],[PPTO FALTANTE]],"")</f>
        <v>8.0210430603364302E-2</v>
      </c>
      <c r="AA218" s="3">
        <f>+IFERROR(PRODUCTOS[[#This Row],[PROYECCION COMPRA]]-(PRODUCTOS[[#This Row],[PPTO FALTANTE]]*PRODUCTOS[[#This Row],[PPTO]]),"")</f>
        <v>9522.1124017749098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617016</v>
      </c>
      <c r="B219" s="81" t="s">
        <v>133</v>
      </c>
      <c r="C219" t="s">
        <v>627</v>
      </c>
      <c r="D219">
        <v>0</v>
      </c>
      <c r="E219">
        <v>0</v>
      </c>
      <c r="F219" s="2">
        <v>2857.5132739999999</v>
      </c>
      <c r="G219" s="6" t="s">
        <v>31</v>
      </c>
      <c r="H219" s="2">
        <v>0</v>
      </c>
      <c r="I219" t="b">
        <v>0</v>
      </c>
      <c r="J219" s="81" t="str">
        <f>+_xlfn.XLOOKUP(PRODUCTOS[[#This Row],[CODIGO]],P_CRITICOS[CODIGO],P_CRITICOS[DESC CORTA],"",0)</f>
        <v/>
      </c>
      <c r="K219" s="81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4.2</v>
      </c>
      <c r="M219" s="2">
        <f>+IFERROR(PRODUCTOS[[#This Row],[PPTO]]*PRODUCTOS[[#This Row],[CANT X MODULO]],"")</f>
        <v>12001.5557508</v>
      </c>
      <c r="N219" s="2">
        <f>+IFERROR(PRODUCTOS[[#This Row],[PPTO X MODULO]]*32,"")</f>
        <v>384049.78402560001</v>
      </c>
      <c r="O219" s="2">
        <f>+IFERROR(PRODUCTOS[[#This Row],[PPTO X TORRE]]*22,"")</f>
        <v>8449095.2485632002</v>
      </c>
      <c r="P219" s="3">
        <f>+IFERROR(PRODUCTOS[[#This Row],[CANT X MODULO]]*702,"")</f>
        <v>2948.4</v>
      </c>
      <c r="Q219" s="3">
        <f>+SUMIFS(DETALLE_GD_1[CANTIDAD SOLICITADA],DETALLE_GD_1[CODIGO],PRODUCTOS[[#This Row],[CODIGO]])</f>
        <v>218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218</v>
      </c>
      <c r="T219" s="3">
        <f>+IFERROR(PRODUCTOS[[#This Row],[CANTIDAD RECIBIDA]]/PRODUCTOS[[#This Row],[CANT X MODULO]],"")</f>
        <v>51.904761904761905</v>
      </c>
      <c r="U219" s="3">
        <f>+SUMIFS(DETALLE_GD_1[VALOR TOTAL POR ITEM GD],DETALLE_GD_1[CODIGO],PRODUCTOS[[#This Row],[CODIGO]])</f>
        <v>624335</v>
      </c>
      <c r="V219" s="3">
        <f>+IFERROR(PRODUCTOS[[#This Row],[PRECIO DE COMPRA]]/PRODUCTOS[[#This Row],[CANT. COMPRADA]],"")</f>
        <v>2863.9220183486241</v>
      </c>
      <c r="W219" s="3">
        <f>+IFERROR(PRODUCTOS[[#This Row],[PRECIO COMPRA UNITARIO]]*PRODUCTOS[[#This Row],[PPTO FALTANTE]],"")</f>
        <v>7843709.6238532122</v>
      </c>
      <c r="X219" s="7">
        <f>+IFERROR(PRODUCTOS[[#This Row],[PROYECCION COMPRA]]/PRODUCTOS[[#This Row],[PPTO TOTAL]]-1,"")</f>
        <v>-7.1650940946953567E-2</v>
      </c>
      <c r="Y219" s="3">
        <f>+IFERROR((PRODUCTOS[[#This Row],[CANT X MODULO]]*704)-PRODUCTOS[[#This Row],[CANT. COMPRADA]],"")</f>
        <v>2738.8</v>
      </c>
      <c r="Z219" s="17">
        <f>+IFERROR(PRODUCTOS[[#This Row],[CANT. COMPRADA]]/PRODUCTOS[[#This Row],[PPTO FALTANTE]],"")</f>
        <v>7.9596903753468673E-2</v>
      </c>
      <c r="AA219" s="3">
        <f>+IFERROR(PRODUCTOS[[#This Row],[PROYECCION COMPRA]]-(PRODUCTOS[[#This Row],[PPTO FALTANTE]]*PRODUCTOS[[#This Row],[PPTO]]),"")</f>
        <v>17552.269022012129</v>
      </c>
      <c r="AB219" s="3">
        <f>+_xlfn.XLOOKUP(PRODUCTOS[[#This Row],[CODIGO]],DETALLE_GD_1[CODIGO],DETALLE_GD_1[VALOR PPTO],"",0)</f>
        <v>2857.5133000000001</v>
      </c>
      <c r="AC219" s="3">
        <f>+AB219-PRODUCTOS[[#This Row],[PPTO_ACTUALIZADO]]</f>
        <v>2857.5133000000001</v>
      </c>
    </row>
    <row r="220" spans="1:29" x14ac:dyDescent="0.25">
      <c r="A220">
        <v>307030</v>
      </c>
      <c r="B220" s="81" t="s">
        <v>64</v>
      </c>
      <c r="C220" t="s">
        <v>582</v>
      </c>
      <c r="D220" t="s">
        <v>244</v>
      </c>
      <c r="E220" t="s">
        <v>402</v>
      </c>
      <c r="F220" s="2">
        <v>2729.9988560000002</v>
      </c>
      <c r="G220" s="6" t="s">
        <v>31</v>
      </c>
      <c r="H220" s="2">
        <v>2729.9988560000002</v>
      </c>
      <c r="I220" t="b">
        <v>1</v>
      </c>
      <c r="J220" s="81" t="str">
        <f>+_xlfn.XLOOKUP(PRODUCTOS[[#This Row],[CODIGO]],P_CRITICOS[CODIGO],P_CRITICOS[DESC CORTA],"",0)</f>
        <v/>
      </c>
      <c r="K220" s="81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7.35</v>
      </c>
      <c r="M220" s="2">
        <f>+IFERROR(PRODUCTOS[[#This Row],[PPTO]]*PRODUCTOS[[#This Row],[CANT X MODULO]],"")</f>
        <v>20065.491591599999</v>
      </c>
      <c r="N220" s="2">
        <f>+IFERROR(PRODUCTOS[[#This Row],[PPTO X MODULO]]*32,"")</f>
        <v>642095.73093119997</v>
      </c>
      <c r="O220" s="2">
        <f>+IFERROR(PRODUCTOS[[#This Row],[PPTO X TORRE]]*22,"")</f>
        <v>14126106.0804864</v>
      </c>
      <c r="P220" s="3">
        <f>+IFERROR(PRODUCTOS[[#This Row],[CANT X MODULO]]*702,"")</f>
        <v>5159.7</v>
      </c>
      <c r="Q220" s="3">
        <f>+SUMIFS(DETALLE_GD_1[CANTIDAD SOLICITADA],DETALLE_GD_1[CODIGO],PRODUCTOS[[#This Row],[CODIGO]])</f>
        <v>380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380</v>
      </c>
      <c r="T220" s="3">
        <f>+IFERROR(PRODUCTOS[[#This Row],[CANTIDAD RECIBIDA]]/PRODUCTOS[[#This Row],[CANT X MODULO]],"")</f>
        <v>51.700680272108848</v>
      </c>
      <c r="U220" s="3">
        <f>+SUMIFS(DETALLE_GD_1[VALOR TOTAL POR ITEM GD],DETALLE_GD_1[CODIGO],PRODUCTOS[[#This Row],[CODIGO]])</f>
        <v>1037400</v>
      </c>
      <c r="V220" s="3">
        <f>+IFERROR(PRODUCTOS[[#This Row],[PRECIO DE COMPRA]]/PRODUCTOS[[#This Row],[CANT. COMPRADA]],"")</f>
        <v>2730</v>
      </c>
      <c r="W220" s="3">
        <f>+IFERROR(PRODUCTOS[[#This Row],[PRECIO COMPRA UNITARIO]]*PRODUCTOS[[#This Row],[PPTO FALTANTE]],"")</f>
        <v>13088711.999999998</v>
      </c>
      <c r="X220" s="7">
        <f>+IFERROR(PRODUCTOS[[#This Row],[PROYECCION COMPRA]]/PRODUCTOS[[#This Row],[PPTO TOTAL]]-1,"")</f>
        <v>-7.3438078022041942E-2</v>
      </c>
      <c r="Y220" s="3">
        <f>+IFERROR((PRODUCTOS[[#This Row],[CANT X MODULO]]*704)-PRODUCTOS[[#This Row],[CANT. COMPRADA]],"")</f>
        <v>4794.3999999999996</v>
      </c>
      <c r="Z220" s="17">
        <f>+IFERROR(PRODUCTOS[[#This Row],[CANT. COMPRADA]]/PRODUCTOS[[#This Row],[PPTO FALTANTE]],"")</f>
        <v>7.925913565826799E-2</v>
      </c>
      <c r="AA220" s="3">
        <f>+IFERROR(PRODUCTOS[[#This Row],[PROYECCION COMPRA]]-(PRODUCTOS[[#This Row],[PPTO FALTANTE]]*PRODUCTOS[[#This Row],[PPTO]]),"")</f>
        <v>5.4847935978323221</v>
      </c>
      <c r="AB220" s="3">
        <f>+_xlfn.XLOOKUP(PRODUCTOS[[#This Row],[CODIGO]],DETALLE_GD_1[CODIGO],DETALLE_GD_1[VALOR PPTO],"",0)</f>
        <v>2729.9989</v>
      </c>
      <c r="AC220" s="3">
        <f>+AB220-PRODUCTOS[[#This Row],[PPTO_ACTUALIZADO]]</f>
        <v>4.3999999888910679E-5</v>
      </c>
    </row>
    <row r="221" spans="1:29" x14ac:dyDescent="0.25">
      <c r="A221">
        <v>602258</v>
      </c>
      <c r="B221" s="81" t="s">
        <v>497</v>
      </c>
      <c r="C221" t="s">
        <v>688</v>
      </c>
      <c r="D221" t="s">
        <v>355</v>
      </c>
      <c r="E221" t="s">
        <v>355</v>
      </c>
      <c r="G221" s="6" t="s">
        <v>355</v>
      </c>
      <c r="H221" s="2">
        <v>84000</v>
      </c>
      <c r="I221" t="b">
        <v>0</v>
      </c>
      <c r="J221" s="81" t="str">
        <f>+_xlfn.XLOOKUP(PRODUCTOS[[#This Row],[CODIGO]],P_CRITICOS[CODIGO],P_CRITICOS[DESC CORTA],"",0)</f>
        <v/>
      </c>
      <c r="K221" s="8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8.1375000000000003E-2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57.125250000000001</v>
      </c>
      <c r="Q221" s="3">
        <f>+SUMIFS(DETALLE_GD_1[CANTIDAD SOLICITADA],DETALLE_GD_1[CODIGO],PRODUCTOS[[#This Row],[CODIGO]])</f>
        <v>4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4</v>
      </c>
      <c r="T221" s="3">
        <f>+IFERROR(PRODUCTOS[[#This Row],[CANTIDAD RECIBIDA]]/PRODUCTOS[[#This Row],[CANT X MODULO]],"")</f>
        <v>49.155145929339476</v>
      </c>
      <c r="U221" s="3">
        <f>+SUMIFS(DETALLE_GD_1[VALOR TOTAL POR ITEM GD],DETALLE_GD_1[CODIGO],PRODUCTOS[[#This Row],[CODIGO]])</f>
        <v>336000</v>
      </c>
      <c r="V221" s="3">
        <f>+IFERROR(PRODUCTOS[[#This Row],[PRECIO DE COMPRA]]/PRODUCTOS[[#This Row],[CANT. COMPRADA]],"")</f>
        <v>84000</v>
      </c>
      <c r="W221" s="3">
        <f>+IFERROR(PRODUCTOS[[#This Row],[PRECIO COMPRA UNITARIO]]*PRODUCTOS[[#This Row],[PPTO FALTANTE]],"")</f>
        <v>4476192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53.288000000000004</v>
      </c>
      <c r="Z221" s="17">
        <f>+IFERROR(PRODUCTOS[[#This Row],[CANT. COMPRADA]]/PRODUCTOS[[#This Row],[PPTO FALTANTE]],"")</f>
        <v>7.5063804233598555E-2</v>
      </c>
      <c r="AA221" s="3">
        <f>+IFERROR(PRODUCTOS[[#This Row],[PROYECCION COMPRA]]-(PRODUCTOS[[#This Row],[PPTO FALTANTE]]*PRODUCTOS[[#This Row],[PPTO]]),"")</f>
        <v>4476192</v>
      </c>
      <c r="AB221" s="3">
        <f>+_xlfn.XLOOKUP(PRODUCTOS[[#This Row],[CODIGO]],DETALLE_GD_1[CODIGO],DETALLE_GD_1[VALOR PPTO],"",0)</f>
        <v>84000</v>
      </c>
      <c r="AC221" s="3">
        <f>+AB221-PRODUCTOS[[#This Row],[PPTO_ACTUALIZADO]]</f>
        <v>0</v>
      </c>
    </row>
    <row r="222" spans="1:29" x14ac:dyDescent="0.25">
      <c r="A222">
        <v>307096</v>
      </c>
      <c r="B222" s="81" t="s">
        <v>249</v>
      </c>
      <c r="C222" t="s">
        <v>542</v>
      </c>
      <c r="D222" t="s">
        <v>244</v>
      </c>
      <c r="E222" t="s">
        <v>402</v>
      </c>
      <c r="F222" s="2">
        <v>2095.3501289999999</v>
      </c>
      <c r="G222" s="6" t="s">
        <v>137</v>
      </c>
      <c r="H222" s="2">
        <v>2095.3501289999986</v>
      </c>
      <c r="I222" t="b">
        <v>1</v>
      </c>
      <c r="J222" s="81" t="str">
        <f>+_xlfn.XLOOKUP(PRODUCTOS[[#This Row],[CODIGO]],P_CRITICOS[CODIGO],P_CRITICOS[DESC CORTA],"",0)</f>
        <v>CUBREJUNTA</v>
      </c>
      <c r="K222" s="81" t="str">
        <f>+IFERROR(IF(VLOOKUP(PRODUCTOS[[#This Row],[CODIGO]],P_CRITICOS[],3,0)="*","PRODUCTO CRITICO","NO CRITICO"),"NO CRITICO")</f>
        <v>PRODUCTO CRITICO</v>
      </c>
      <c r="L222" s="15">
        <f>+_xlfn.XLOOKUP(PRODUCTOS[[#This Row],[CODIGO]],BD_MODULO[Artículo],BD_MODULO[CUB_ACTUALIZADA],"",0)</f>
        <v>65.100000000000023</v>
      </c>
      <c r="M222" s="2">
        <f>+IFERROR(PRODUCTOS[[#This Row],[PPTO]]*PRODUCTOS[[#This Row],[CANT X MODULO]],"")</f>
        <v>136407.29339790004</v>
      </c>
      <c r="N222" s="2">
        <f>+IFERROR(PRODUCTOS[[#This Row],[PPTO X MODULO]]*32,"")</f>
        <v>4365033.3887328012</v>
      </c>
      <c r="O222" s="2">
        <f>+IFERROR(PRODUCTOS[[#This Row],[PPTO X TORRE]]*22,"")</f>
        <v>96030734.552121624</v>
      </c>
      <c r="P222" s="3">
        <f>+IFERROR(PRODUCTOS[[#This Row],[CANT X MODULO]]*702,"")</f>
        <v>45700.200000000019</v>
      </c>
      <c r="Q222" s="3">
        <f>+SUMIFS(DETALLE_GD_1[CANTIDAD SOLICITADA],DETALLE_GD_1[CODIGO],PRODUCTOS[[#This Row],[CODIGO]])</f>
        <v>3169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3169</v>
      </c>
      <c r="T222" s="3">
        <f>+IFERROR(PRODUCTOS[[#This Row],[CANTIDAD RECIBIDA]]/PRODUCTOS[[#This Row],[CANT X MODULO]],"")</f>
        <v>48.678955453148987</v>
      </c>
      <c r="U222" s="3">
        <f>+SUMIFS(DETALLE_GD_1[VALOR TOTAL POR ITEM GD],DETALLE_GD_1[CODIGO],PRODUCTOS[[#This Row],[CODIGO]])</f>
        <v>5295855</v>
      </c>
      <c r="V222" s="3">
        <f>+IFERROR(PRODUCTOS[[#This Row],[PRECIO DE COMPRA]]/PRODUCTOS[[#This Row],[CANT. COMPRADA]],"")</f>
        <v>1671.1438939728621</v>
      </c>
      <c r="W222" s="3">
        <f>+IFERROR(PRODUCTOS[[#This Row],[PRECIO COMPRA UNITARIO]]*PRODUCTOS[[#This Row],[PPTO FALTANTE]],"")</f>
        <v>71293338.118333891</v>
      </c>
      <c r="X222" s="7">
        <f>+IFERROR(PRODUCTOS[[#This Row],[PROYECCION COMPRA]]/PRODUCTOS[[#This Row],[PPTO TOTAL]]-1,"")</f>
        <v>-0.25759874220644718</v>
      </c>
      <c r="Y222" s="3">
        <f>+IFERROR((PRODUCTOS[[#This Row],[CANT X MODULO]]*704)-PRODUCTOS[[#This Row],[CANT. COMPRADA]],"")</f>
        <v>42661.400000000016</v>
      </c>
      <c r="Z222" s="17">
        <f>+IFERROR(PRODUCTOS[[#This Row],[CANT. COMPRADA]]/PRODUCTOS[[#This Row],[PPTO FALTANTE]],"")</f>
        <v>7.4282606759271813E-2</v>
      </c>
      <c r="AA222" s="3">
        <f>+IFERROR(PRODUCTOS[[#This Row],[PROYECCION COMPRA]]-(PRODUCTOS[[#This Row],[PPTO FALTANTE]]*PRODUCTOS[[#This Row],[PPTO]]),"")</f>
        <v>-18097231.874986738</v>
      </c>
      <c r="AB222" s="3">
        <f>+_xlfn.XLOOKUP(PRODUCTOS[[#This Row],[CODIGO]],DETALLE_GD_1[CODIGO],DETALLE_GD_1[VALOR PPTO],"",0)</f>
        <v>2095.3501000000001</v>
      </c>
      <c r="AC222" s="3">
        <f>+AB222-PRODUCTOS[[#This Row],[PPTO_ACTUALIZADO]]</f>
        <v>-2.8999998448853148E-5</v>
      </c>
    </row>
    <row r="223" spans="1:29" x14ac:dyDescent="0.25">
      <c r="A223" t="s">
        <v>94</v>
      </c>
      <c r="B223" s="81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s="81" t="str">
        <f>+_xlfn.XLOOKUP(PRODUCTOS[[#This Row],[CODIGO]],P_CRITICOS[CODIGO],P_CRITICOS[DESC CORTA],"",0)</f>
        <v/>
      </c>
      <c r="K223" s="81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s="81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s="81" t="str">
        <f>+_xlfn.XLOOKUP(PRODUCTOS[[#This Row],[CODIGO]],P_CRITICOS[CODIGO],P_CRITICOS[DESC CORTA],"",0)</f>
        <v/>
      </c>
      <c r="K224" s="81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s="81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s="81" t="str">
        <f>+_xlfn.XLOOKUP(PRODUCTOS[[#This Row],[CODIGO]],P_CRITICOS[CODIGO],P_CRITICOS[DESC CORTA],"",0)</f>
        <v>PUERTA INTERIOR</v>
      </c>
      <c r="K225" s="81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s="81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s="81" t="str">
        <f>+_xlfn.XLOOKUP(PRODUCTOS[[#This Row],[CODIGO]],P_CRITICOS[CODIGO],P_CRITICOS[DESC CORTA],"",0)</f>
        <v/>
      </c>
      <c r="K226" s="81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s="81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s="81" t="str">
        <f>+_xlfn.XLOOKUP(PRODUCTOS[[#This Row],[CODIGO]],P_CRITICOS[CODIGO],P_CRITICOS[DESC CORTA],"",0)</f>
        <v/>
      </c>
      <c r="K227" s="81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407307</v>
      </c>
      <c r="B228" s="81" t="s">
        <v>163</v>
      </c>
      <c r="C228">
        <v>0</v>
      </c>
      <c r="D228" t="s">
        <v>240</v>
      </c>
      <c r="E228" t="s">
        <v>399</v>
      </c>
      <c r="F228" s="2">
        <v>69.472774999999999</v>
      </c>
      <c r="G228" s="6" t="s">
        <v>31</v>
      </c>
      <c r="H228" s="2">
        <v>0</v>
      </c>
      <c r="I228" t="b">
        <v>0</v>
      </c>
      <c r="J228" s="81" t="str">
        <f>+_xlfn.XLOOKUP(PRODUCTOS[[#This Row],[CODIGO]],P_CRITICOS[CODIGO],P_CRITICOS[DESC CORTA],"",0)</f>
        <v/>
      </c>
      <c r="K228" s="81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65.625</v>
      </c>
      <c r="M228" s="2">
        <f>+IFERROR(PRODUCTOS[[#This Row],[PPTO]]*PRODUCTOS[[#This Row],[CANT X MODULO]],"")</f>
        <v>4559.1508593749995</v>
      </c>
      <c r="N228" s="2">
        <f>+IFERROR(PRODUCTOS[[#This Row],[PPTO X MODULO]]*32,"")</f>
        <v>145892.82749999998</v>
      </c>
      <c r="O228" s="2">
        <f>+IFERROR(PRODUCTOS[[#This Row],[PPTO X TORRE]]*22,"")</f>
        <v>3209642.2049999996</v>
      </c>
      <c r="P228" s="3">
        <f>+IFERROR(PRODUCTOS[[#This Row],[CANT X MODULO]]*702,"")</f>
        <v>46068.75</v>
      </c>
      <c r="Q228" s="3">
        <f>+SUMIFS(DETALLE_GD_1[CANTIDAD SOLICITADA],DETALLE_GD_1[CODIGO],PRODUCTOS[[#This Row],[CODIGO]])</f>
        <v>2620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2620</v>
      </c>
      <c r="T228" s="3">
        <f>+IFERROR(PRODUCTOS[[#This Row],[CANTIDAD RECIBIDA]]/PRODUCTOS[[#This Row],[CANT X MODULO]],"")</f>
        <v>39.923809523809524</v>
      </c>
      <c r="U228" s="3">
        <f>+SUMIFS(DETALLE_GD_1[VALOR TOTAL POR ITEM GD],DETALLE_GD_1[CODIGO],PRODUCTOS[[#This Row],[CODIGO]])</f>
        <v>189527</v>
      </c>
      <c r="V228" s="3">
        <f>+IFERROR(PRODUCTOS[[#This Row],[PRECIO DE COMPRA]]/PRODUCTOS[[#This Row],[CANT. COMPRADA]],"")</f>
        <v>72.338549618320613</v>
      </c>
      <c r="W228" s="3">
        <f>+IFERROR(PRODUCTOS[[#This Row],[PRECIO COMPRA UNITARIO]]*PRODUCTOS[[#This Row],[PPTO FALTANTE]],"")</f>
        <v>3152513.9923664122</v>
      </c>
      <c r="X228" s="7">
        <f>+IFERROR(PRODUCTOS[[#This Row],[PROYECCION COMPRA]]/PRODUCTOS[[#This Row],[PPTO TOTAL]]-1,"")</f>
        <v>-1.7798934892055196E-2</v>
      </c>
      <c r="Y228" s="3">
        <f>+IFERROR((PRODUCTOS[[#This Row],[CANT X MODULO]]*704)-PRODUCTOS[[#This Row],[CANT. COMPRADA]],"")</f>
        <v>43580</v>
      </c>
      <c r="Z228" s="17">
        <f>+IFERROR(PRODUCTOS[[#This Row],[CANT. COMPRADA]]/PRODUCTOS[[#This Row],[PPTO FALTANTE]],"")</f>
        <v>6.0119320789352913E-2</v>
      </c>
      <c r="AA228" s="3">
        <f>+IFERROR(PRODUCTOS[[#This Row],[PROYECCION COMPRA]]-(PRODUCTOS[[#This Row],[PPTO FALTANTE]]*PRODUCTOS[[#This Row],[PPTO]]),"")</f>
        <v>124890.45786641212</v>
      </c>
      <c r="AB228" s="3">
        <f>+_xlfn.XLOOKUP(PRODUCTOS[[#This Row],[CODIGO]],DETALLE_GD_1[CODIGO],DETALLE_GD_1[VALOR PPTO],"",0)</f>
        <v>69.472800000000007</v>
      </c>
      <c r="AC228" s="3">
        <f>+AB228-PRODUCTOS[[#This Row],[PPTO_ACTUALIZADO]]</f>
        <v>69.472800000000007</v>
      </c>
    </row>
    <row r="229" spans="1:29" x14ac:dyDescent="0.25">
      <c r="A229">
        <v>1405039</v>
      </c>
      <c r="B229" s="81" t="s">
        <v>314</v>
      </c>
      <c r="C229" t="s">
        <v>671</v>
      </c>
      <c r="D229" t="s">
        <v>244</v>
      </c>
      <c r="E229" t="s">
        <v>408</v>
      </c>
      <c r="F229" s="2">
        <v>17998</v>
      </c>
      <c r="G229" s="6" t="s">
        <v>31</v>
      </c>
      <c r="H229" s="2">
        <v>7596</v>
      </c>
      <c r="I229" t="b">
        <v>0</v>
      </c>
      <c r="J229" s="81" t="str">
        <f>+_xlfn.XLOOKUP(PRODUCTOS[[#This Row],[CODIGO]],P_CRITICOS[CODIGO],P_CRITICOS[DESC CORTA],"",0)</f>
        <v/>
      </c>
      <c r="K229" s="81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1.5750000000000002</v>
      </c>
      <c r="M229" s="2">
        <f>+IFERROR(PRODUCTOS[[#This Row],[PPTO]]*PRODUCTOS[[#This Row],[CANT X MODULO]],"")</f>
        <v>28346.850000000002</v>
      </c>
      <c r="N229" s="2">
        <f>+IFERROR(PRODUCTOS[[#This Row],[PPTO X MODULO]]*32,"")</f>
        <v>907099.20000000007</v>
      </c>
      <c r="O229" s="2">
        <f>+IFERROR(PRODUCTOS[[#This Row],[PPTO X TORRE]]*22,"")</f>
        <v>19956182.400000002</v>
      </c>
      <c r="P229" s="3">
        <f>+IFERROR(PRODUCTOS[[#This Row],[CANT X MODULO]]*702,"")</f>
        <v>1105.6500000000001</v>
      </c>
      <c r="Q229" s="3">
        <f>+SUMIFS(DETALLE_GD_1[CANTIDAD SOLICITADA],DETALLE_GD_1[CODIGO],PRODUCTOS[[#This Row],[CODIGO]])</f>
        <v>61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61</v>
      </c>
      <c r="T229" s="3">
        <f>+IFERROR(PRODUCTOS[[#This Row],[CANTIDAD RECIBIDA]]/PRODUCTOS[[#This Row],[CANT X MODULO]],"")</f>
        <v>38.730158730158728</v>
      </c>
      <c r="U229" s="3">
        <f>+SUMIFS(DETALLE_GD_1[VALOR TOTAL POR ITEM GD],DETALLE_GD_1[CODIGO],PRODUCTOS[[#This Row],[CODIGO]])</f>
        <v>465268</v>
      </c>
      <c r="V229" s="3">
        <f>+IFERROR(PRODUCTOS[[#This Row],[PRECIO DE COMPRA]]/PRODUCTOS[[#This Row],[CANT. COMPRADA]],"")</f>
        <v>7627.3442622950815</v>
      </c>
      <c r="W229" s="3">
        <f>+IFERROR(PRODUCTOS[[#This Row],[PRECIO COMPRA UNITARIO]]*PRODUCTOS[[#This Row],[PPTO FALTANTE]],"")</f>
        <v>7991931.3180327881</v>
      </c>
      <c r="X229" s="7">
        <f>+IFERROR(PRODUCTOS[[#This Row],[PROYECCION COMPRA]]/PRODUCTOS[[#This Row],[PPTO TOTAL]]-1,"")</f>
        <v>-0.59952604371701934</v>
      </c>
      <c r="Y229" s="3">
        <f>+IFERROR((PRODUCTOS[[#This Row],[CANT X MODULO]]*704)-PRODUCTOS[[#This Row],[CANT. COMPRADA]],"")</f>
        <v>1047.8000000000002</v>
      </c>
      <c r="Z229" s="17">
        <f>+IFERROR(PRODUCTOS[[#This Row],[CANT. COMPRADA]]/PRODUCTOS[[#This Row],[PPTO FALTANTE]],"")</f>
        <v>5.8217217026150021E-2</v>
      </c>
      <c r="AA229" s="3">
        <f>+IFERROR(PRODUCTOS[[#This Row],[PROYECCION COMPRA]]-(PRODUCTOS[[#This Row],[PPTO FALTANTE]]*PRODUCTOS[[#This Row],[PPTO]]),"")</f>
        <v>-10866373.081967214</v>
      </c>
      <c r="AB229" s="3">
        <f>+_xlfn.XLOOKUP(PRODUCTOS[[#This Row],[CODIGO]],DETALLE_GD_1[CODIGO],DETALLE_GD_1[VALOR PPTO],"",0)</f>
        <v>7596</v>
      </c>
      <c r="AC229" s="3">
        <f>+AB229-PRODUCTOS[[#This Row],[PPTO_ACTUALIZADO]]</f>
        <v>0</v>
      </c>
    </row>
    <row r="230" spans="1:29" x14ac:dyDescent="0.25">
      <c r="A230">
        <v>412249</v>
      </c>
      <c r="B230" s="81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s="81" t="str">
        <f>+_xlfn.XLOOKUP(PRODUCTOS[[#This Row],[CODIGO]],P_CRITICOS[CODIGO],P_CRITICOS[DESC CORTA],"",0)</f>
        <v/>
      </c>
      <c r="K230" s="81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s="8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s="81" t="str">
        <f>+_xlfn.XLOOKUP(PRODUCTOS[[#This Row],[CODIGO]],P_CRITICOS[CODIGO],P_CRITICOS[DESC CORTA],"",0)</f>
        <v/>
      </c>
      <c r="K231" s="8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s="81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s="81" t="str">
        <f>+_xlfn.XLOOKUP(PRODUCTOS[[#This Row],[CODIGO]],P_CRITICOS[CODIGO],P_CRITICOS[DESC CORTA],"",0)</f>
        <v/>
      </c>
      <c r="K232" s="81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s="81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s="81" t="str">
        <f>+_xlfn.XLOOKUP(PRODUCTOS[[#This Row],[CODIGO]],P_CRITICOS[CODIGO],P_CRITICOS[DESC CORTA],"",0)</f>
        <v/>
      </c>
      <c r="K233" s="81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s="81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s="81" t="str">
        <f>+_xlfn.XLOOKUP(PRODUCTOS[[#This Row],[CODIGO]],P_CRITICOS[CODIGO],P_CRITICOS[DESC CORTA],"",0)</f>
        <v/>
      </c>
      <c r="K234" s="81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s="81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s="81" t="str">
        <f>+_xlfn.XLOOKUP(PRODUCTOS[[#This Row],[CODIGO]],P_CRITICOS[CODIGO],P_CRITICOS[DESC CORTA],"",0)</f>
        <v/>
      </c>
      <c r="K235" s="81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s="81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s="81" t="str">
        <f>+_xlfn.XLOOKUP(PRODUCTOS[[#This Row],[CODIGO]],P_CRITICOS[CODIGO],P_CRITICOS[DESC CORTA],"",0)</f>
        <v>PINO 2X8X4</v>
      </c>
      <c r="K236" s="81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s="81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s="81" t="str">
        <f>+_xlfn.XLOOKUP(PRODUCTOS[[#This Row],[CODIGO]],P_CRITICOS[CODIGO],P_CRITICOS[DESC CORTA],"",0)</f>
        <v/>
      </c>
      <c r="K237" s="81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s="81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s="81" t="str">
        <f>+_xlfn.XLOOKUP(PRODUCTOS[[#This Row],[CODIGO]],P_CRITICOS[CODIGO],P_CRITICOS[DESC CORTA],"",0)</f>
        <v/>
      </c>
      <c r="K238" s="81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s="81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s="81" t="str">
        <f>+_xlfn.XLOOKUP(PRODUCTOS[[#This Row],[CODIGO]],P_CRITICOS[CODIGO],P_CRITICOS[DESC CORTA],"",0)</f>
        <v/>
      </c>
      <c r="K239" s="81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s="81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s="81" t="str">
        <f>+_xlfn.XLOOKUP(PRODUCTOS[[#This Row],[CODIGO]],P_CRITICOS[CODIGO],P_CRITICOS[DESC CORTA],"",0)</f>
        <v/>
      </c>
      <c r="K240" s="81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s="8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s="81" t="str">
        <f>+_xlfn.XLOOKUP(PRODUCTOS[[#This Row],[CODIGO]],P_CRITICOS[CODIGO],P_CRITICOS[DESC CORTA],"",0)</f>
        <v>CLAVO R20</v>
      </c>
      <c r="K241" s="8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s="81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s="81" t="str">
        <f>+_xlfn.XLOOKUP(PRODUCTOS[[#This Row],[CODIGO]],P_CRITICOS[CODIGO],P_CRITICOS[DESC CORTA],"",0)</f>
        <v/>
      </c>
      <c r="K242" s="81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s="81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s="81" t="str">
        <f>+_xlfn.XLOOKUP(PRODUCTOS[[#This Row],[CODIGO]],P_CRITICOS[CODIGO],P_CRITICOS[DESC CORTA],"",0)</f>
        <v/>
      </c>
      <c r="K243" s="81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s="81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s="81" t="str">
        <f>+_xlfn.XLOOKUP(PRODUCTOS[[#This Row],[CODIGO]],P_CRITICOS[CODIGO],P_CRITICOS[DESC CORTA],"",0)</f>
        <v/>
      </c>
      <c r="K244" s="81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s="81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s="81" t="str">
        <f>+_xlfn.XLOOKUP(PRODUCTOS[[#This Row],[CODIGO]],P_CRITICOS[CODIGO],P_CRITICOS[DESC CORTA],"",0)</f>
        <v/>
      </c>
      <c r="K245" s="81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s="81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s="81" t="str">
        <f>+_xlfn.XLOOKUP(PRODUCTOS[[#This Row],[CODIGO]],P_CRITICOS[CODIGO],P_CRITICOS[DESC CORTA],"",0)</f>
        <v/>
      </c>
      <c r="K246" s="81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s="81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s="81" t="str">
        <f>+_xlfn.XLOOKUP(PRODUCTOS[[#This Row],[CODIGO]],P_CRITICOS[CODIGO],P_CRITICOS[DESC CORTA],"",0)</f>
        <v/>
      </c>
      <c r="K247" s="81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s="81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s="81" t="str">
        <f>+_xlfn.XLOOKUP(PRODUCTOS[[#This Row],[CODIGO]],P_CRITICOS[CODIGO],P_CRITICOS[DESC CORTA],"",0)</f>
        <v/>
      </c>
      <c r="K248" s="81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s="81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s="81" t="str">
        <f>+_xlfn.XLOOKUP(PRODUCTOS[[#This Row],[CODIGO]],P_CRITICOS[CODIGO],P_CRITICOS[DESC CORTA],"",0)</f>
        <v/>
      </c>
      <c r="K249" s="81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s="81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s="81" t="str">
        <f>+_xlfn.XLOOKUP(PRODUCTOS[[#This Row],[CODIGO]],P_CRITICOS[CODIGO],P_CRITICOS[DESC CORTA],"",0)</f>
        <v>PAPEL KRAFT</v>
      </c>
      <c r="K250" s="81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333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333</v>
      </c>
      <c r="T250" s="3">
        <f>+IFERROR(PRODUCTOS[[#This Row],[CANTIDAD RECIBIDA]]/PRODUCTOS[[#This Row],[CANT X MODULO]],"")</f>
        <v>2.5549611562465198</v>
      </c>
      <c r="U250" s="3">
        <f>+SUMIFS(DETALLE_GD_1[VALOR TOTAL POR ITEM GD],DETALLE_GD_1[CODIGO],PRODUCTOS[[#This Row],[CODIGO]])</f>
        <v>13290445</v>
      </c>
      <c r="V250" s="3">
        <f>+IFERROR(PRODUCTOS[[#This Row],[PRECIO DE COMPRA]]/PRODUCTOS[[#This Row],[CANT. COMPRADA]],"")</f>
        <v>39911.246246246243</v>
      </c>
      <c r="W250" s="3">
        <f>+IFERROR(PRODUCTOS[[#This Row],[PRECIO COMPRA UNITARIO]]*PRODUCTOS[[#This Row],[PPTO FALTANTE]],"")</f>
        <v>3648789996.8590641</v>
      </c>
      <c r="X250" s="7">
        <f>+IFERROR(PRODUCTOS[[#This Row],[PROYECCION COMPRA]]/PRODUCTOS[[#This Row],[PPTO TOTAL]]-1,"")</f>
        <v>-0.17254753504183318</v>
      </c>
      <c r="Y250" s="3">
        <f>+IFERROR((PRODUCTOS[[#This Row],[CANT X MODULO]]*704)-PRODUCTOS[[#This Row],[CANT. COMPRADA]],"")</f>
        <v>91422.602400000033</v>
      </c>
      <c r="Z250" s="17">
        <f>+IFERROR(PRODUCTOS[[#This Row],[CANT. COMPRADA]]/PRODUCTOS[[#This Row],[PPTO FALTANTE]],"")</f>
        <v>3.6424253002887595E-3</v>
      </c>
      <c r="AA250" s="3">
        <f>+IFERROR(PRODUCTOS[[#This Row],[PROYECCION COMPRA]]-(PRODUCTOS[[#This Row],[PPTO FALTANTE]]*PRODUCTOS[[#This Row],[PPTO]]),"")</f>
        <v>-744873614.75166321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s="8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s="81" t="str">
        <f>+_xlfn.XLOOKUP(PRODUCTOS[[#This Row],[CODIGO]],P_CRITICOS[CODIGO],P_CRITICOS[DESC CORTA],"",0)</f>
        <v/>
      </c>
      <c r="K251" s="8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s="81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s="81" t="str">
        <f>+_xlfn.XLOOKUP(PRODUCTOS[[#This Row],[CODIGO]],P_CRITICOS[CODIGO],P_CRITICOS[DESC CORTA],"",0)</f>
        <v/>
      </c>
      <c r="K252" s="81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s="81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s="81" t="str">
        <f>+_xlfn.XLOOKUP(PRODUCTOS[[#This Row],[CODIGO]],P_CRITICOS[CODIGO],P_CRITICOS[DESC CORTA],"",0)</f>
        <v/>
      </c>
      <c r="K253" s="81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s="81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s="81" t="str">
        <f>+_xlfn.XLOOKUP(PRODUCTOS[[#This Row],[CODIGO]],P_CRITICOS[CODIGO],P_CRITICOS[DESC CORTA],"",0)</f>
        <v/>
      </c>
      <c r="K254" s="81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s="81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s="81" t="str">
        <f>+_xlfn.XLOOKUP(PRODUCTOS[[#This Row],[CODIGO]],P_CRITICOS[CODIGO],P_CRITICOS[DESC CORTA],"",0)</f>
        <v/>
      </c>
      <c r="K255" s="81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s="81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s="81" t="str">
        <f>+_xlfn.XLOOKUP(PRODUCTOS[[#This Row],[CODIGO]],P_CRITICOS[CODIGO],P_CRITICOS[DESC CORTA],"",0)</f>
        <v/>
      </c>
      <c r="K256" s="81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s="81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s="81" t="str">
        <f>+_xlfn.XLOOKUP(PRODUCTOS[[#This Row],[CODIGO]],P_CRITICOS[CODIGO],P_CRITICOS[DESC CORTA],"",0)</f>
        <v/>
      </c>
      <c r="K257" s="81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s="81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s="81" t="str">
        <f>+_xlfn.XLOOKUP(PRODUCTOS[[#This Row],[CODIGO]],P_CRITICOS[CODIGO],P_CRITICOS[DESC CORTA],"",0)</f>
        <v>ESPUMA EXPANSIVA</v>
      </c>
      <c r="K258" s="81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s="81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s="81" t="str">
        <f>+_xlfn.XLOOKUP(PRODUCTOS[[#This Row],[CODIGO]],P_CRITICOS[CODIGO],P_CRITICOS[DESC CORTA],"",0)</f>
        <v/>
      </c>
      <c r="K259" s="81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s="81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s="81" t="str">
        <f>+_xlfn.XLOOKUP(PRODUCTOS[[#This Row],[CODIGO]],P_CRITICOS[CODIGO],P_CRITICOS[DESC CORTA],"",0)</f>
        <v/>
      </c>
      <c r="K260" s="81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s="8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s="81" t="str">
        <f>+_xlfn.XLOOKUP(PRODUCTOS[[#This Row],[CODIGO]],P_CRITICOS[CODIGO],P_CRITICOS[DESC CORTA],"",0)</f>
        <v/>
      </c>
      <c r="K261" s="8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s="81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s="81" t="str">
        <f>+_xlfn.XLOOKUP(PRODUCTOS[[#This Row],[CODIGO]],P_CRITICOS[CODIGO],P_CRITICOS[DESC CORTA],"",0)</f>
        <v/>
      </c>
      <c r="K262" s="81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s="81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s="81" t="str">
        <f>+_xlfn.XLOOKUP(PRODUCTOS[[#This Row],[CODIGO]],P_CRITICOS[CODIGO],P_CRITICOS[DESC CORTA],"",0)</f>
        <v/>
      </c>
      <c r="K263" s="81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s="81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s="81" t="str">
        <f>+_xlfn.XLOOKUP(PRODUCTOS[[#This Row],[CODIGO]],P_CRITICOS[CODIGO],P_CRITICOS[DESC CORTA],"",0)</f>
        <v/>
      </c>
      <c r="K264" s="81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s="81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s="81" t="str">
        <f>+_xlfn.XLOOKUP(PRODUCTOS[[#This Row],[CODIGO]],P_CRITICOS[CODIGO],P_CRITICOS[DESC CORTA],"",0)</f>
        <v/>
      </c>
      <c r="K265" s="81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s="81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s="81" t="str">
        <f>+_xlfn.XLOOKUP(PRODUCTOS[[#This Row],[CODIGO]],P_CRITICOS[CODIGO],P_CRITICOS[DESC CORTA],"",0)</f>
        <v/>
      </c>
      <c r="K266" s="81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s="81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s="81" t="str">
        <f>+_xlfn.XLOOKUP(PRODUCTOS[[#This Row],[CODIGO]],P_CRITICOS[CODIGO],P_CRITICOS[DESC CORTA],"",0)</f>
        <v/>
      </c>
      <c r="K267" s="81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s="81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s="81" t="str">
        <f>+_xlfn.XLOOKUP(PRODUCTOS[[#This Row],[CODIGO]],P_CRITICOS[CODIGO],P_CRITICOS[DESC CORTA],"",0)</f>
        <v/>
      </c>
      <c r="K268" s="81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s="81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s="81" t="str">
        <f>+_xlfn.XLOOKUP(PRODUCTOS[[#This Row],[CODIGO]],P_CRITICOS[CODIGO],P_CRITICOS[DESC CORTA],"",0)</f>
        <v/>
      </c>
      <c r="K269" s="81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s="81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s="81" t="str">
        <f>+_xlfn.XLOOKUP(PRODUCTOS[[#This Row],[CODIGO]],P_CRITICOS[CODIGO],P_CRITICOS[DESC CORTA],"",0)</f>
        <v/>
      </c>
      <c r="K270" s="81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s="8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s="81" t="str">
        <f>+_xlfn.XLOOKUP(PRODUCTOS[[#This Row],[CODIGO]],P_CRITICOS[CODIGO],P_CRITICOS[DESC CORTA],"",0)</f>
        <v/>
      </c>
      <c r="K271" s="8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s="81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s="81" t="str">
        <f>+_xlfn.XLOOKUP(PRODUCTOS[[#This Row],[CODIGO]],P_CRITICOS[CODIGO],P_CRITICOS[DESC CORTA],"",0)</f>
        <v/>
      </c>
      <c r="K272" s="81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s="81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s="81" t="str">
        <f>+_xlfn.XLOOKUP(PRODUCTOS[[#This Row],[CODIGO]],P_CRITICOS[CODIGO],P_CRITICOS[DESC CORTA],"",0)</f>
        <v/>
      </c>
      <c r="K273" s="81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s="81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s="81" t="str">
        <f>+_xlfn.XLOOKUP(PRODUCTOS[[#This Row],[CODIGO]],P_CRITICOS[CODIGO],P_CRITICOS[DESC CORTA],"",0)</f>
        <v>ESPUMA EXPANSIVA</v>
      </c>
      <c r="K274" s="81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tabSelected="1" topLeftCell="K1" zoomScaleNormal="100" workbookViewId="0">
      <selection activeCell="K154" sqref="K15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s="81" t="s">
        <v>509</v>
      </c>
      <c r="D2" s="81" t="s">
        <v>20</v>
      </c>
      <c r="E2">
        <v>388</v>
      </c>
      <c r="F2">
        <v>3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697</v>
      </c>
      <c r="D3" s="81" t="s">
        <v>18</v>
      </c>
      <c r="E3">
        <v>1825</v>
      </c>
      <c r="F3">
        <v>0.5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9649.7527739926027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1138670.8273311271</v>
      </c>
    </row>
    <row r="4" spans="1:22" hidden="1" x14ac:dyDescent="0.25">
      <c r="A4" s="1">
        <v>46125</v>
      </c>
      <c r="B4">
        <v>302044</v>
      </c>
      <c r="C4" s="81" t="s">
        <v>512</v>
      </c>
      <c r="D4" s="81" t="s">
        <v>20</v>
      </c>
      <c r="E4">
        <v>1754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513</v>
      </c>
      <c r="D5" s="81" t="s">
        <v>20</v>
      </c>
      <c r="E5">
        <v>1596</v>
      </c>
      <c r="F5">
        <v>8.9250000000000038E-2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514</v>
      </c>
      <c r="D6" s="81" t="s">
        <v>20</v>
      </c>
      <c r="E6">
        <v>7561</v>
      </c>
      <c r="F6">
        <v>0.22500000000000006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4765.1099898157581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1543895.6367003056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5.5999999999999982E-3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15067.421912350597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2486124.6155378483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22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0.25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16228.418009810792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3002257.3318149964</v>
      </c>
    </row>
    <row r="10" spans="1:22" hidden="1" x14ac:dyDescent="0.25">
      <c r="A10" s="1">
        <v>46125</v>
      </c>
      <c r="B10">
        <v>302046</v>
      </c>
      <c r="C10" s="81" t="s">
        <v>518</v>
      </c>
      <c r="D10" s="81" t="s">
        <v>20</v>
      </c>
      <c r="E10">
        <v>2173</v>
      </c>
      <c r="F10">
        <v>4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698</v>
      </c>
      <c r="E11">
        <v>396</v>
      </c>
      <c r="F11">
        <v>4.5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509</v>
      </c>
      <c r="D12" s="81" t="s">
        <v>20</v>
      </c>
      <c r="E12">
        <v>388</v>
      </c>
      <c r="F12">
        <v>0.33250000000000002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749</v>
      </c>
      <c r="D13" s="81" t="s">
        <v>26</v>
      </c>
      <c r="E13">
        <v>3494</v>
      </c>
      <c r="F13">
        <v>0.56100000000000005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2061.4966651845266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65967.893285904851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21593.507725476105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5031287.3000359321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0.25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698</v>
      </c>
      <c r="E16">
        <v>476</v>
      </c>
      <c r="F16">
        <v>0.16500000000000001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518</v>
      </c>
      <c r="D17" s="81" t="s">
        <v>20</v>
      </c>
      <c r="E17">
        <v>2509</v>
      </c>
      <c r="F17">
        <v>0.25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1.0800000000000002E-2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698</v>
      </c>
      <c r="E19">
        <v>556</v>
      </c>
      <c r="F19">
        <v>0.5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518</v>
      </c>
      <c r="D20" s="81" t="s">
        <v>20</v>
      </c>
      <c r="E20">
        <v>2509</v>
      </c>
      <c r="F20">
        <v>8.4000000000000012E-3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513</v>
      </c>
      <c r="D21" s="81" t="s">
        <v>20</v>
      </c>
      <c r="E21">
        <v>2184</v>
      </c>
      <c r="F21">
        <v>8.4000000000000012E-3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749</v>
      </c>
      <c r="D22" s="81" t="s">
        <v>26</v>
      </c>
      <c r="E22">
        <v>3696</v>
      </c>
      <c r="F22">
        <v>0.25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2061.4966651845266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55660.409959982215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21593.507725476105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6715580.9026230685</v>
      </c>
    </row>
    <row r="24" spans="1:18" hidden="1" x14ac:dyDescent="0.25">
      <c r="A24" s="1">
        <v>46139</v>
      </c>
      <c r="B24">
        <v>304101</v>
      </c>
      <c r="C24" s="81" t="s">
        <v>697</v>
      </c>
      <c r="D24" s="81" t="s">
        <v>18</v>
      </c>
      <c r="E24">
        <v>2413</v>
      </c>
      <c r="F24">
        <v>0.25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9649.7527739926027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2238742.6435662839</v>
      </c>
    </row>
    <row r="25" spans="1:18" hidden="1" x14ac:dyDescent="0.25">
      <c r="A25" s="1">
        <v>46139</v>
      </c>
      <c r="B25">
        <v>302028</v>
      </c>
      <c r="C25" s="81" t="s">
        <v>514</v>
      </c>
      <c r="D25" s="81" t="s">
        <v>20</v>
      </c>
      <c r="E25">
        <v>8641</v>
      </c>
      <c r="F25">
        <v>0.10000000000000002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4765.1099898157581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638524.7386353116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3.25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15067.421912350597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1310865.706374502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36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16228.418009810792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1314501.858794674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0.375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698</v>
      </c>
      <c r="E29">
        <v>596</v>
      </c>
      <c r="F29">
        <v>36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518</v>
      </c>
      <c r="D30" s="81" t="s">
        <v>20</v>
      </c>
      <c r="E30">
        <v>2509</v>
      </c>
      <c r="F30">
        <v>0.33150000000000007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513</v>
      </c>
      <c r="D31" s="81" t="s">
        <v>20</v>
      </c>
      <c r="E31">
        <v>1596</v>
      </c>
      <c r="F31">
        <v>0.33150000000000007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749</v>
      </c>
      <c r="D32" s="81" t="s">
        <v>26</v>
      </c>
      <c r="E32">
        <v>3696</v>
      </c>
      <c r="F32">
        <v>0.4375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2061.4966651845266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12368.97999110716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21593.507725476105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4728978.1918792669</v>
      </c>
    </row>
    <row r="34" spans="1:18" hidden="1" x14ac:dyDescent="0.25">
      <c r="A34" s="1">
        <v>46146</v>
      </c>
      <c r="B34">
        <v>304101</v>
      </c>
      <c r="C34" s="81" t="s">
        <v>697</v>
      </c>
      <c r="D34" s="81" t="s">
        <v>18</v>
      </c>
      <c r="E34">
        <v>2665</v>
      </c>
      <c r="F34">
        <v>36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9649.7527739926027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2692281.023943936</v>
      </c>
    </row>
    <row r="35" spans="1:18" hidden="1" x14ac:dyDescent="0.25">
      <c r="A35" s="1">
        <v>46146</v>
      </c>
      <c r="B35">
        <v>302028</v>
      </c>
      <c r="C35" s="81" t="s">
        <v>514</v>
      </c>
      <c r="D35" s="81" t="s">
        <v>20</v>
      </c>
      <c r="E35">
        <v>8041</v>
      </c>
      <c r="F35">
        <v>2.625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4765.1099898157581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71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15067.421912350597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1732753.5199203186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4.4000000000000003E-3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16228.418009810792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3375510.9460406448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2.5000000000000005E-2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698</v>
      </c>
      <c r="E39">
        <v>676</v>
      </c>
      <c r="F39">
        <v>4.5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518</v>
      </c>
      <c r="D40" s="81" t="s">
        <v>20</v>
      </c>
      <c r="E40">
        <v>3181</v>
      </c>
      <c r="F40">
        <v>0.25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513</v>
      </c>
      <c r="D41" s="81" t="s">
        <v>20</v>
      </c>
      <c r="E41">
        <v>1848</v>
      </c>
      <c r="F41">
        <v>0.25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749</v>
      </c>
      <c r="D42" s="81" t="s">
        <v>26</v>
      </c>
      <c r="E42">
        <v>4236</v>
      </c>
      <c r="F42">
        <v>0.25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2061.4966651845266</v>
      </c>
      <c r="Q42" s="3">
        <f>IFERROR(REG_STOCK[[#This Row],[VALOR UNITARIO]]*REG_STOCK[[#This Row],[PERDIDA O EN PROCESO]],"")</f>
        <v>129643.96857738677</v>
      </c>
      <c r="R42" s="3">
        <f>+REG_STOCK[[#This Row],[VALOR UNITARIO]]*REG_STOCK[[#This Row],[STOCK FISICO]]</f>
        <v>53598.91329479769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21593.507725476105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5355189.9159180745</v>
      </c>
    </row>
    <row r="44" spans="1:18" hidden="1" x14ac:dyDescent="0.25">
      <c r="A44" s="1">
        <v>46153</v>
      </c>
      <c r="B44">
        <v>304101</v>
      </c>
      <c r="C44" s="81" t="s">
        <v>697</v>
      </c>
      <c r="D44" s="81" t="s">
        <v>18</v>
      </c>
      <c r="E44">
        <v>3169</v>
      </c>
      <c r="F44">
        <v>4.4000000000000003E-3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9649.7527739926027</v>
      </c>
      <c r="Q44" s="3">
        <f>IFERROR(REG_STOCK[[#This Row],[VALOR UNITARIO]]*REG_STOCK[[#This Row],[PERDIDA O EN PROCESO]],"")</f>
        <v>603699.98929818138</v>
      </c>
      <c r="R44" s="3">
        <f>+REG_STOCK[[#This Row],[VALOR UNITARIO]]*REG_STOCK[[#This Row],[STOCK FISICO]]</f>
        <v>5066120.206346116</v>
      </c>
    </row>
    <row r="45" spans="1:18" hidden="1" x14ac:dyDescent="0.25">
      <c r="A45" s="1">
        <v>46153</v>
      </c>
      <c r="B45">
        <v>302028</v>
      </c>
      <c r="C45" s="81" t="s">
        <v>514</v>
      </c>
      <c r="D45" s="81" t="s">
        <v>20</v>
      </c>
      <c r="E45">
        <v>8281</v>
      </c>
      <c r="F45">
        <v>4.5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4765.1099898157581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0.33150000000000007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15067.421912350597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2486124.6155378483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0.5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16228.418009810792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3164541.5119131044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0.5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150740.5806451613</v>
      </c>
      <c r="Q49" s="3">
        <f>IFERROR(REG_STOCK[[#This Row],[VALOR UNITARIO]]*REG_STOCK[[#This Row],[PERDIDA O EN PROCESO]],"")</f>
        <v>-120098921.52629922</v>
      </c>
      <c r="R49" s="3">
        <f>+REG_STOCK[[#This Row],[VALOR UNITARIO]]*REG_STOCK[[#This Row],[STOCK FISICO]]</f>
        <v>2261108.7096774196</v>
      </c>
    </row>
    <row r="50" spans="1:18" hidden="1" x14ac:dyDescent="0.25">
      <c r="A50" s="1">
        <v>46153</v>
      </c>
      <c r="B50" t="s">
        <v>21</v>
      </c>
      <c r="C50" s="81" t="s">
        <v>787</v>
      </c>
      <c r="D50" s="81" t="s">
        <v>20</v>
      </c>
      <c r="E50">
        <v>488</v>
      </c>
      <c r="F50">
        <v>0.25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0.25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16.75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0.25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0.56100000000000005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698</v>
      </c>
      <c r="E55">
        <v>716</v>
      </c>
      <c r="F55">
        <v>4.4000000000000003E-3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518</v>
      </c>
      <c r="D56" s="81" t="s">
        <v>20</v>
      </c>
      <c r="E56">
        <v>3181</v>
      </c>
      <c r="F56">
        <v>2.125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513</v>
      </c>
      <c r="D57" s="81" t="s">
        <v>20</v>
      </c>
      <c r="E57">
        <v>2184</v>
      </c>
      <c r="F57">
        <v>2.125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749</v>
      </c>
      <c r="D58" s="81" t="s">
        <v>26</v>
      </c>
      <c r="E58">
        <v>4641</v>
      </c>
      <c r="F58">
        <v>2.7083333333333341E-2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2061.4966651845266</v>
      </c>
      <c r="Q58" s="3">
        <f>IFERROR(REG_STOCK[[#This Row],[VALOR UNITARIO]]*REG_STOCK[[#This Row],[PERDIDA O EN PROCESO]],"")</f>
        <v>129429.75526380696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21593.507725476105</v>
      </c>
      <c r="Q59" s="3">
        <f>IFERROR(REG_STOCK[[#This Row],[VALOR UNITARIO]]*REG_STOCK[[#This Row],[PERDIDA O EN PROCESO]],"")</f>
        <v>1302731.2242050709</v>
      </c>
      <c r="R59" s="3">
        <f>+REG_STOCK[[#This Row],[VALOR UNITARIO]]*REG_STOCK[[#This Row],[STOCK FISICO]]</f>
        <v>11790055.218109954</v>
      </c>
    </row>
    <row r="60" spans="1:18" hidden="1" x14ac:dyDescent="0.25">
      <c r="A60" s="1">
        <v>46160</v>
      </c>
      <c r="B60">
        <v>304101</v>
      </c>
      <c r="C60" s="81" t="s">
        <v>697</v>
      </c>
      <c r="D60" s="81" t="s">
        <v>18</v>
      </c>
      <c r="E60">
        <v>3337</v>
      </c>
      <c r="F60">
        <v>3.625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9649.7527739926027</v>
      </c>
      <c r="Q60" s="3">
        <f>IFERROR(REG_STOCK[[#This Row],[VALOR UNITARIO]]*REG_STOCK[[#This Row],[PERDIDA O EN PROCESO]],"")</f>
        <v>601914.51499944134</v>
      </c>
      <c r="R60" s="3">
        <f>+REG_STOCK[[#This Row],[VALOR UNITARIO]]*REG_STOCK[[#This Row],[STOCK FISICO]]</f>
        <v>1727305.7465446759</v>
      </c>
    </row>
    <row r="61" spans="1:18" hidden="1" x14ac:dyDescent="0.25">
      <c r="A61" s="1">
        <v>46160</v>
      </c>
      <c r="B61">
        <v>302028</v>
      </c>
      <c r="C61" s="81" t="s">
        <v>514</v>
      </c>
      <c r="D61" s="81" t="s">
        <v>20</v>
      </c>
      <c r="E61">
        <v>8641</v>
      </c>
      <c r="F61">
        <v>0.375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4765.1099898157581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0.30949999999999994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15067.421912350597</v>
      </c>
      <c r="Q62" s="3">
        <f>IFERROR(REG_STOCK[[#This Row],[VALOR UNITARIO]]*REG_STOCK[[#This Row],[PERDIDA O EN PROCESO]],"")</f>
        <v>918220.6849471092</v>
      </c>
      <c r="R62" s="3">
        <f>+REG_STOCK[[#This Row],[VALOR UNITARIO]]*REG_STOCK[[#This Row],[STOCK FISICO]]</f>
        <v>2591596.5689243027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0.13125000000000001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16228.418009810792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681593.55641205329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0.13125000000000001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150740.5806451613</v>
      </c>
      <c r="Q65" s="3">
        <f>IFERROR(REG_STOCK[[#This Row],[VALOR UNITARIO]]*REG_STOCK[[#This Row],[PERDIDA O EN PROCESO]],"")</f>
        <v>-131495557.62723614</v>
      </c>
      <c r="R65" s="3">
        <f>+REG_STOCK[[#This Row],[VALOR UNITARIO]]*REG_STOCK[[#This Row],[STOCK FISICO]]</f>
        <v>4974439.1612903234</v>
      </c>
    </row>
    <row r="66" spans="1:18" hidden="1" x14ac:dyDescent="0.25">
      <c r="A66" s="1">
        <v>46160</v>
      </c>
      <c r="B66" t="s">
        <v>21</v>
      </c>
      <c r="C66" s="81" t="s">
        <v>787</v>
      </c>
      <c r="D66" s="81" t="s">
        <v>20</v>
      </c>
      <c r="E66">
        <v>488</v>
      </c>
      <c r="F66">
        <v>0.33864915572232651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22.207476499999999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7.8750000000000001E-2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0.33864915572232651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0.25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698</v>
      </c>
      <c r="E71">
        <v>716</v>
      </c>
      <c r="F71">
        <v>3.625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518</v>
      </c>
      <c r="D72" s="81" t="s">
        <v>20</v>
      </c>
      <c r="E72">
        <v>3469</v>
      </c>
      <c r="F72">
        <v>3.1887755102040817E-2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513</v>
      </c>
      <c r="D73" s="81" t="s">
        <v>20</v>
      </c>
      <c r="E73">
        <v>2184</v>
      </c>
      <c r="F73">
        <v>3.1887755102040817E-2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749</v>
      </c>
      <c r="D74" s="81" t="s">
        <v>26</v>
      </c>
      <c r="E74">
        <v>5181</v>
      </c>
      <c r="F74">
        <v>0.33864915572232651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2061.4966651845266</v>
      </c>
      <c r="Q74" s="3">
        <f>IFERROR(REG_STOCK[[#This Row],[VALOR UNITARIO]]*REG_STOCK[[#This Row],[PERDIDA O EN PROCESO]],"")</f>
        <v>129144.13751236722</v>
      </c>
      <c r="R74" s="3">
        <f>+REG_STOCK[[#This Row],[VALOR UNITARIO]]*REG_STOCK[[#This Row],[STOCK FISICO]]</f>
        <v>68029.389951089383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21593.507725476105</v>
      </c>
      <c r="Q75" s="3">
        <f>IFERROR(REG_STOCK[[#This Row],[VALOR UNITARIO]]*REG_STOCK[[#This Row],[PERDIDA O EN PROCESO]],"")</f>
        <v>1302731.2242050709</v>
      </c>
      <c r="R75" s="3">
        <f>+REG_STOCK[[#This Row],[VALOR UNITARIO]]*REG_STOCK[[#This Row],[STOCK FISICO]]</f>
        <v>9652297.9532878194</v>
      </c>
    </row>
    <row r="76" spans="1:18" hidden="1" x14ac:dyDescent="0.25">
      <c r="A76" s="1">
        <v>46167</v>
      </c>
      <c r="B76">
        <v>304101</v>
      </c>
      <c r="C76" s="81" t="s">
        <v>697</v>
      </c>
      <c r="D76" s="81" t="s">
        <v>18</v>
      </c>
      <c r="E76">
        <v>3589</v>
      </c>
      <c r="F76">
        <v>0.58750000000000002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9649.7527739926027</v>
      </c>
      <c r="Q76" s="3">
        <f>IFERROR(REG_STOCK[[#This Row],[VALOR UNITARIO]]*REG_STOCK[[#This Row],[PERDIDA O EN PROCESO]],"")</f>
        <v>601557.42013969331</v>
      </c>
      <c r="R76" s="3">
        <f>+REG_STOCK[[#This Row],[VALOR UNITARIO]]*REG_STOCK[[#This Row],[STOCK FISICO]]</f>
        <v>1254467.8606190383</v>
      </c>
    </row>
    <row r="77" spans="1:18" hidden="1" x14ac:dyDescent="0.25">
      <c r="A77" s="1">
        <v>46167</v>
      </c>
      <c r="B77">
        <v>302028</v>
      </c>
      <c r="C77" s="81" t="s">
        <v>514</v>
      </c>
      <c r="D77" s="81" t="s">
        <v>20</v>
      </c>
      <c r="E77">
        <v>8641</v>
      </c>
      <c r="F77">
        <v>11.281875000000001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4765.1099898157581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2.7459999999999998E-2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15067.421912350597</v>
      </c>
      <c r="Q78" s="3">
        <f>IFERROR(REG_STOCK[[#This Row],[VALOR UNITARIO]]*REG_STOCK[[#This Row],[PERDIDA O EN PROCESO]],"")</f>
        <v>914604.35346392717</v>
      </c>
      <c r="R78" s="3">
        <f>+REG_STOCK[[#This Row],[VALOR UNITARIO]]*REG_STOCK[[#This Row],[STOCK FISICO]]</f>
        <v>2938147.2729083663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0.33250000000000002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16228.418009810792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2888658.4057463207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0.33250000000000002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1.75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150740.5806451613</v>
      </c>
      <c r="Q81" s="3">
        <f>IFERROR(REG_STOCK[[#This Row],[VALOR UNITARIO]]*REG_STOCK[[#This Row],[PERDIDA O EN PROCESO]],"")</f>
        <v>-140262200.78180301</v>
      </c>
      <c r="R81" s="3">
        <f>+REG_STOCK[[#This Row],[VALOR UNITARIO]]*REG_STOCK[[#This Row],[STOCK FISICO]]</f>
        <v>4672958</v>
      </c>
    </row>
    <row r="82" spans="1:18" hidden="1" x14ac:dyDescent="0.25">
      <c r="A82" s="1">
        <v>46167</v>
      </c>
      <c r="B82" t="s">
        <v>21</v>
      </c>
      <c r="C82" s="81" t="s">
        <v>787</v>
      </c>
      <c r="D82" s="81" t="s">
        <v>20</v>
      </c>
      <c r="E82">
        <v>488</v>
      </c>
      <c r="F82">
        <v>0.75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1.59375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0.25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0.75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0.5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698</v>
      </c>
      <c r="E87">
        <v>836</v>
      </c>
      <c r="F87">
        <v>0.58750000000000002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518</v>
      </c>
      <c r="D88" s="81" t="s">
        <v>20</v>
      </c>
      <c r="E88">
        <v>3757</v>
      </c>
      <c r="F88">
        <v>5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513</v>
      </c>
      <c r="D89" s="81" t="s">
        <v>20</v>
      </c>
      <c r="E89">
        <v>2856</v>
      </c>
      <c r="F89">
        <v>5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749</v>
      </c>
      <c r="D90" s="81" t="s">
        <v>26</v>
      </c>
      <c r="E90">
        <v>5721</v>
      </c>
      <c r="F90">
        <v>0.75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2061.4966651845266</v>
      </c>
      <c r="Q90" s="3">
        <f>IFERROR(REG_STOCK[[#This Row],[VALOR UNITARIO]]*REG_STOCK[[#This Row],[PERDIDA O EN PROCESO]],"")</f>
        <v>128744.27266035159</v>
      </c>
      <c r="R90" s="3">
        <f>+REG_STOCK[[#This Row],[VALOR UNITARIO]]*REG_STOCK[[#This Row],[STOCK FISICO]]</f>
        <v>103074.83325922633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21593.507725476105</v>
      </c>
      <c r="Q91" s="3">
        <f>IFERROR(REG_STOCK[[#This Row],[VALOR UNITARIO]]*REG_STOCK[[#This Row],[PERDIDA O EN PROCESO]],"")</f>
        <v>1293182.6374309266</v>
      </c>
      <c r="R91" s="3">
        <f>+REG_STOCK[[#This Row],[VALOR UNITARIO]]*REG_STOCK[[#This Row],[STOCK FISICO]]</f>
        <v>4340295.0528206974</v>
      </c>
    </row>
    <row r="92" spans="1:18" hidden="1" x14ac:dyDescent="0.25">
      <c r="A92" s="1">
        <v>46174</v>
      </c>
      <c r="B92">
        <v>304101</v>
      </c>
      <c r="C92" s="81" t="s">
        <v>697</v>
      </c>
      <c r="D92" s="81" t="s">
        <v>18</v>
      </c>
      <c r="E92">
        <v>4261</v>
      </c>
      <c r="F92">
        <v>0.33250000000000002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9649.7527739926027</v>
      </c>
      <c r="Q92" s="3">
        <f>IFERROR(REG_STOCK[[#This Row],[VALOR UNITARIO]]*REG_STOCK[[#This Row],[PERDIDA O EN PROCESO]],"")</f>
        <v>598904.71546727954</v>
      </c>
      <c r="R92" s="3">
        <f>+REG_STOCK[[#This Row],[VALOR UNITARIO]]*REG_STOCK[[#This Row],[STOCK FISICO]]</f>
        <v>2238742.6435662839</v>
      </c>
    </row>
    <row r="93" spans="1:18" hidden="1" x14ac:dyDescent="0.25">
      <c r="A93" s="1">
        <v>46174</v>
      </c>
      <c r="B93">
        <v>302028</v>
      </c>
      <c r="C93" s="81" t="s">
        <v>514</v>
      </c>
      <c r="D93" s="81" t="s">
        <v>20</v>
      </c>
      <c r="E93">
        <v>9601</v>
      </c>
      <c r="F93">
        <v>0.5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4765.1099898157581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2778059.124062587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0.16625000000000001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15067.421912350597</v>
      </c>
      <c r="Q94" s="3">
        <f>IFERROR(REG_STOCK[[#This Row],[VALOR UNITARIO]]*REG_STOCK[[#This Row],[PERDIDA O EN PROCESO]],"")</f>
        <v>904450.80737653119</v>
      </c>
      <c r="R94" s="3">
        <f>+REG_STOCK[[#This Row],[VALOR UNITARIO]]*REG_STOCK[[#This Row],[STOCK FISICO]]</f>
        <v>2019034.5362549801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0.25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16228.418009810792</v>
      </c>
      <c r="Q95" s="3">
        <f>IFERROR(REG_STOCK[[#This Row],[VALOR UNITARIO]]*REG_STOCK[[#This Row],[PERDIDA O EN PROCESO]],"")</f>
        <v>1000017.7319899542</v>
      </c>
      <c r="R95" s="3">
        <f>+REG_STOCK[[#This Row],[VALOR UNITARIO]]*REG_STOCK[[#This Row],[STOCK FISICO]]</f>
        <v>3537795.1261387528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0.25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2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150740.5806451613</v>
      </c>
      <c r="Q97" s="3">
        <f>IFERROR(REG_STOCK[[#This Row],[VALOR UNITARIO]]*REG_STOCK[[#This Row],[PERDIDA O EN PROCESO]],"")</f>
        <v>-145522186.67454311</v>
      </c>
      <c r="R97" s="3">
        <f>+REG_STOCK[[#This Row],[VALOR UNITARIO]]*REG_STOCK[[#This Row],[STOCK FISICO]]</f>
        <v>1055184.0645161292</v>
      </c>
    </row>
    <row r="98" spans="1:18" hidden="1" x14ac:dyDescent="0.25">
      <c r="A98" s="1">
        <v>46174</v>
      </c>
      <c r="B98" t="s">
        <v>21</v>
      </c>
      <c r="C98" s="81" t="s">
        <v>787</v>
      </c>
      <c r="D98" s="81" t="s">
        <v>20</v>
      </c>
      <c r="E98">
        <v>528</v>
      </c>
      <c r="F98">
        <v>0.5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1.2499999999999999E-2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0.25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0.5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0.25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698</v>
      </c>
      <c r="E103">
        <v>836</v>
      </c>
      <c r="F103">
        <v>0.33250000000000002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518</v>
      </c>
      <c r="D104" s="81" t="s">
        <v>20</v>
      </c>
      <c r="E104">
        <v>4045</v>
      </c>
      <c r="F104">
        <v>2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513</v>
      </c>
      <c r="D105" s="81" t="s">
        <v>20</v>
      </c>
      <c r="E105">
        <v>3024</v>
      </c>
      <c r="F105">
        <v>2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749</v>
      </c>
      <c r="D106" s="81" t="s">
        <v>26</v>
      </c>
      <c r="E106">
        <v>6207</v>
      </c>
      <c r="F106">
        <v>0.5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2061.4966651845266</v>
      </c>
      <c r="Q106" s="3">
        <f>IFERROR(REG_STOCK[[#This Row],[VALOR UNITARIO]]*REG_STOCK[[#This Row],[PERDIDA O EN PROCESO]],"")</f>
        <v>128601.46378463173</v>
      </c>
      <c r="R106" s="3">
        <f>+REG_STOCK[[#This Row],[VALOR UNITARIO]]*REG_STOCK[[#This Row],[STOCK FISICO]]</f>
        <v>105136.32992441085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21593.507725476105</v>
      </c>
      <c r="Q107" s="3">
        <f>IFERROR(REG_STOCK[[#This Row],[VALOR UNITARIO]]*REG_STOCK[[#This Row],[PERDIDA O EN PROCESO]],"")</f>
        <v>1290318.0613986831</v>
      </c>
      <c r="R107" s="3">
        <f>+REG_STOCK[[#This Row],[VALOR UNITARIO]]*REG_STOCK[[#This Row],[STOCK FISICO]]</f>
        <v>4513043.1146245059</v>
      </c>
    </row>
    <row r="108" spans="1:18" hidden="1" x14ac:dyDescent="0.25">
      <c r="A108" s="1">
        <v>46181</v>
      </c>
      <c r="B108">
        <v>304101</v>
      </c>
      <c r="C108" s="81" t="s">
        <v>697</v>
      </c>
      <c r="D108" s="81" t="s">
        <v>18</v>
      </c>
      <c r="E108">
        <v>4633</v>
      </c>
      <c r="F108">
        <v>0.25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9649.7527739926027</v>
      </c>
      <c r="Q108" s="3">
        <f>IFERROR(REG_STOCK[[#This Row],[VALOR UNITARIO]]*REG_STOCK[[#This Row],[PERDIDA O EN PROCESO]],"")</f>
        <v>596762.14630879147</v>
      </c>
      <c r="R108" s="3">
        <f>+REG_STOCK[[#This Row],[VALOR UNITARIO]]*REG_STOCK[[#This Row],[STOCK FISICO]]</f>
        <v>3657256.3013431965</v>
      </c>
    </row>
    <row r="109" spans="1:18" hidden="1" x14ac:dyDescent="0.25">
      <c r="A109" s="1">
        <v>46181</v>
      </c>
      <c r="B109">
        <v>302028</v>
      </c>
      <c r="C109" s="81" t="s">
        <v>514</v>
      </c>
      <c r="D109" s="81" t="s">
        <v>20</v>
      </c>
      <c r="E109">
        <v>9841</v>
      </c>
      <c r="F109">
        <v>0.25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4765.1099898157581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1820272.0161096195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0.25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15067.421912350597</v>
      </c>
      <c r="Q110" s="3">
        <f>IFERROR(REG_STOCK[[#This Row],[VALOR UNITARIO]]*REG_STOCK[[#This Row],[PERDIDA O EN PROCESO]],"")</f>
        <v>900834.47589334904</v>
      </c>
      <c r="R110" s="3">
        <f>+REG_STOCK[[#This Row],[VALOR UNITARIO]]*REG_STOCK[[#This Row],[STOCK FISICO]]</f>
        <v>3646316.1027888446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0.25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16228.418009810792</v>
      </c>
      <c r="Q111" s="3">
        <f>IFERROR(REG_STOCK[[#This Row],[VALOR UNITARIO]]*REG_STOCK[[#This Row],[PERDIDA O EN PROCESO]],"")</f>
        <v>997689.36366194428</v>
      </c>
      <c r="R111" s="3">
        <f>+REG_STOCK[[#This Row],[VALOR UNITARIO]]*REG_STOCK[[#This Row],[STOCK FISICO]]</f>
        <v>3683850.8882270497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0.25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0.5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150740.5806451613</v>
      </c>
      <c r="Q113" s="3">
        <f>IFERROR(REG_STOCK[[#This Row],[VALOR UNITARIO]]*REG_STOCK[[#This Row],[PERDIDA O EN PROCESO]],"")</f>
        <v>-151658836.88273993</v>
      </c>
      <c r="R113" s="3">
        <f>+REG_STOCK[[#This Row],[VALOR UNITARIO]]*REG_STOCK[[#This Row],[STOCK FISICO]]</f>
        <v>753702.90322580654</v>
      </c>
    </row>
    <row r="114" spans="1:18" hidden="1" x14ac:dyDescent="0.25">
      <c r="A114" s="1">
        <v>46181</v>
      </c>
      <c r="B114" t="s">
        <v>21</v>
      </c>
      <c r="C114" s="81" t="s">
        <v>787</v>
      </c>
      <c r="D114" s="81" t="s">
        <v>20</v>
      </c>
      <c r="E114">
        <v>728</v>
      </c>
      <c r="F114">
        <v>1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0.25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0.125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1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31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698</v>
      </c>
      <c r="E119">
        <v>956</v>
      </c>
      <c r="F119">
        <v>0.25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hidden="1" x14ac:dyDescent="0.25">
      <c r="A120" s="1">
        <v>46188</v>
      </c>
      <c r="B120">
        <v>302046</v>
      </c>
      <c r="C120" s="81" t="s">
        <v>518</v>
      </c>
      <c r="D120" s="81" t="s">
        <v>20</v>
      </c>
      <c r="E120">
        <v>4549</v>
      </c>
      <c r="F120">
        <v>0.4375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1" t="s">
        <v>513</v>
      </c>
      <c r="D121" s="81" t="s">
        <v>20</v>
      </c>
      <c r="E121">
        <v>3024</v>
      </c>
      <c r="F121">
        <v>0.4375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749</v>
      </c>
      <c r="D122" s="81" t="s">
        <v>26</v>
      </c>
      <c r="E122">
        <v>6207</v>
      </c>
      <c r="F122">
        <v>1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2061.4966651845266</v>
      </c>
      <c r="Q122" s="3">
        <f>IFERROR(REG_STOCK[[#This Row],[VALOR UNITARIO]]*REG_STOCK[[#This Row],[PERDIDA O EN PROCESO]],"")</f>
        <v>128458.65490891186</v>
      </c>
      <c r="R122" s="3">
        <f>+REG_STOCK[[#This Row],[VALOR UNITARIO]]*REG_STOCK[[#This Row],[STOCK FISICO]]</f>
        <v>14430.476656291687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21593.507725476105</v>
      </c>
      <c r="Q123" s="3">
        <f>IFERROR(REG_STOCK[[#This Row],[VALOR UNITARIO]]*REG_STOCK[[#This Row],[PERDIDA O EN PROCESO]],"")</f>
        <v>1290318.0613986831</v>
      </c>
      <c r="R123" s="3">
        <f>+REG_STOCK[[#This Row],[VALOR UNITARIO]]*REG_STOCK[[#This Row],[STOCK FISICO]]</f>
        <v>3886831.3905856991</v>
      </c>
    </row>
    <row r="124" spans="1:18" hidden="1" x14ac:dyDescent="0.25">
      <c r="A124" s="1">
        <v>46188</v>
      </c>
      <c r="B124">
        <v>304101</v>
      </c>
      <c r="C124" s="81" t="s">
        <v>697</v>
      </c>
      <c r="D124" s="81" t="s">
        <v>18</v>
      </c>
      <c r="E124">
        <v>4801</v>
      </c>
      <c r="F124">
        <v>0.25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9649.7527739926027</v>
      </c>
      <c r="Q124" s="3">
        <f>IFERROR(REG_STOCK[[#This Row],[VALOR UNITARIO]]*REG_STOCK[[#This Row],[PERDIDA O EN PROCESO]],"")</f>
        <v>595333.76686979947</v>
      </c>
      <c r="R124" s="3">
        <f>+REG_STOCK[[#This Row],[VALOR UNITARIO]]*REG_STOCK[[#This Row],[STOCK FISICO]]</f>
        <v>2856326.8211018103</v>
      </c>
    </row>
    <row r="125" spans="1:18" hidden="1" x14ac:dyDescent="0.25">
      <c r="A125" s="1">
        <v>46188</v>
      </c>
      <c r="B125">
        <v>302028</v>
      </c>
      <c r="C125" s="81" t="s">
        <v>514</v>
      </c>
      <c r="D125" s="81" t="s">
        <v>20</v>
      </c>
      <c r="E125">
        <v>9841</v>
      </c>
      <c r="F125">
        <v>0.25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4765.1099898157581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1143626.397555782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0.25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15067.421912350597</v>
      </c>
      <c r="Q126" s="3">
        <f>IFERROR(REG_STOCK[[#This Row],[VALOR UNITARIO]]*REG_STOCK[[#This Row],[PERDIDA O EN PROCESO]],"")</f>
        <v>891793.64718539373</v>
      </c>
      <c r="R126" s="3">
        <f>+REG_STOCK[[#This Row],[VALOR UNITARIO]]*REG_STOCK[[#This Row],[STOCK FISICO]]</f>
        <v>2320382.9745019921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0.25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16228.418009810792</v>
      </c>
      <c r="Q127" s="3">
        <f>IFERROR(REG_STOCK[[#This Row],[VALOR UNITARIO]]*REG_STOCK[[#This Row],[PERDIDA O EN PROCESO]],"")</f>
        <v>993032.62700592447</v>
      </c>
      <c r="R127" s="3">
        <f>+REG_STOCK[[#This Row],[VALOR UNITARIO]]*REG_STOCK[[#This Row],[STOCK FISICO]]</f>
        <v>4998352.7470217235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0.25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0.25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150740.5806451613</v>
      </c>
      <c r="Q129" s="3">
        <f>IFERROR(REG_STOCK[[#This Row],[VALOR UNITARIO]]*REG_STOCK[[#This Row],[PERDIDA O EN PROCESO]],"")</f>
        <v>-156918822.77548003</v>
      </c>
      <c r="R129" s="3">
        <f>+REG_STOCK[[#This Row],[VALOR UNITARIO]]*REG_STOCK[[#This Row],[STOCK FISICO]]</f>
        <v>2864071.032258065</v>
      </c>
    </row>
    <row r="130" spans="1:18" hidden="1" x14ac:dyDescent="0.25">
      <c r="A130" s="1">
        <v>46188</v>
      </c>
      <c r="B130" t="s">
        <v>21</v>
      </c>
      <c r="C130" s="81" t="s">
        <v>787</v>
      </c>
      <c r="D130" s="81" t="s">
        <v>20</v>
      </c>
      <c r="E130">
        <v>808</v>
      </c>
      <c r="F130">
        <v>0.125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0.125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0.5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0.125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51.348218258712457</v>
      </c>
      <c r="P134" s="3">
        <f>+_xlfn.XLOOKUP(REG_STOCK[[#This Row],[CODIGO]],PRODUCTOS[CODIGO],PRODUCTOS[PRECIO COMPRA UNITARIO],"",0)</f>
        <v>4877.8732429718875</v>
      </c>
      <c r="Q134" s="3">
        <f>IFERROR(REG_STOCK[[#This Row],[VALOR UNITARIO]]*REG_STOCK[[#This Row],[PERDIDA O EN PROCESO]],"")</f>
        <v>250470.09991845401</v>
      </c>
      <c r="R134" s="3">
        <f>+REG_STOCK[[#This Row],[VALOR UNITARIO]]*REG_STOCK[[#This Row],[STOCK FISICO]]</f>
        <v>3526702.3546686745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F135">
        <v>0.25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>
        <f>IF($V$2-REG_STOCK[[#This Row],[ALCANCE FISICO]]&gt;0,"",($V$2-REG_STOCK[[#This Row],[ALCANCE FISICO]]/REG_STOCK[[#This Row],[CUBICACION PPTO.]]))</f>
        <v>61.821836093166013</v>
      </c>
      <c r="P135" s="3">
        <f>+_xlfn.XLOOKUP(REG_STOCK[[#This Row],[CODIGO]],PRODUCTOS[CODIGO],PRODUCTOS[PRECIO COMPRA UNITARIO],"",0)</f>
        <v>13754.132906894101</v>
      </c>
      <c r="Q135" s="3">
        <f>IFERROR(REG_STOCK[[#This Row],[VALOR UNITARIO]]*REG_STOCK[[#This Row],[PERDIDA O EN PROCESO]],"")</f>
        <v>850305.7501736281</v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0.25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39911.246246246243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878047.41741741728</v>
      </c>
    </row>
    <row r="138" spans="1:18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1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1" t="s">
        <v>197</v>
      </c>
      <c r="D139" s="81" t="s">
        <v>698</v>
      </c>
      <c r="E139">
        <v>956</v>
      </c>
      <c r="F139">
        <v>0.25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22493.996861924687</v>
      </c>
      <c r="Q139" s="3">
        <f>IFERROR(REG_STOCK[[#This Row],[VALOR UNITARIO]]*REG_STOCK[[#This Row],[PERDIDA O EN PROCESO]],"")</f>
        <v>968086.31090111565</v>
      </c>
      <c r="R139" s="3">
        <f>+REG_STOCK[[#This Row],[VALOR UNITARIO]]*REG_STOCK[[#This Row],[STOCK FISICO]]</f>
        <v>1709543.7615062762</v>
      </c>
    </row>
    <row r="140" spans="1:18" x14ac:dyDescent="0.25">
      <c r="A140" s="1">
        <v>46195</v>
      </c>
      <c r="B140">
        <v>302046</v>
      </c>
      <c r="C140" s="81" t="s">
        <v>518</v>
      </c>
      <c r="D140" s="81" t="s">
        <v>20</v>
      </c>
      <c r="E140">
        <v>4837</v>
      </c>
      <c r="F140">
        <v>0.25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1" t="s">
        <v>513</v>
      </c>
      <c r="D141" s="81" t="s">
        <v>20</v>
      </c>
      <c r="E141">
        <v>3444</v>
      </c>
      <c r="F141">
        <v>0.25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1" t="s">
        <v>749</v>
      </c>
      <c r="D142" s="81" t="s">
        <v>26</v>
      </c>
      <c r="E142">
        <v>6747</v>
      </c>
      <c r="F142">
        <v>0.25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2061.4966651845266</v>
      </c>
      <c r="Q142" s="3">
        <f>IFERROR(REG_STOCK[[#This Row],[VALOR UNITARIO]]*REG_STOCK[[#This Row],[PERDIDA O EN PROCESO]],"")</f>
        <v>128315.84603319199</v>
      </c>
      <c r="R142" s="3">
        <f>+REG_STOCK[[#This Row],[VALOR UNITARIO]]*REG_STOCK[[#This Row],[STOCK FISICO]]</f>
        <v>55660.409959982215</v>
      </c>
    </row>
    <row r="143" spans="1:18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2880</v>
      </c>
      <c r="J143" s="81">
        <f>+REG_STOCK[[#This Row],[SOLICITADO A TF]]-REG_STOCK[[#This Row],[STOCK FISICO]]</f>
        <v>2768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118.81421864520458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123.62173038229378</v>
      </c>
      <c r="O143" s="3">
        <f>IF($V$2-REG_STOCK[[#This Row],[ALCANCE FISICO]]&gt;0,"",($V$2-REG_STOCK[[#This Row],[ALCANCE FISICO]]/REG_STOCK[[#This Row],[CUBICACION PPTO.]]))</f>
        <v>58.693634644891482</v>
      </c>
      <c r="P143" s="3">
        <f>+_xlfn.XLOOKUP(REG_STOCK[[#This Row],[CODIGO]],PRODUCTOS[CODIGO],PRODUCTOS[PRECIO COMPRA UNITARIO],"",0)</f>
        <v>21593.507725476105</v>
      </c>
      <c r="Q143" s="3">
        <f>IFERROR(REG_STOCK[[#This Row],[VALOR UNITARIO]]*REG_STOCK[[#This Row],[PERDIDA O EN PROCESO]],"")</f>
        <v>1267401.4531407361</v>
      </c>
      <c r="R143" s="3">
        <f>+REG_STOCK[[#This Row],[VALOR UNITARIO]]*REG_STOCK[[#This Row],[STOCK FISICO]]</f>
        <v>2418472.8652533237</v>
      </c>
    </row>
    <row r="144" spans="1:18" x14ac:dyDescent="0.25">
      <c r="A144" s="1">
        <v>46195</v>
      </c>
      <c r="B144">
        <v>304101</v>
      </c>
      <c r="C144" s="81" t="s">
        <v>697</v>
      </c>
      <c r="D144" s="81" t="s">
        <v>18</v>
      </c>
      <c r="E144">
        <v>5137</v>
      </c>
      <c r="F144">
        <v>0.25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9649.7527739926027</v>
      </c>
      <c r="Q144" s="3">
        <f>IFERROR(REG_STOCK[[#This Row],[VALOR UNITARIO]]*REG_STOCK[[#This Row],[PERDIDA O EN PROCESO]],"")</f>
        <v>595333.76686979947</v>
      </c>
      <c r="R144" s="3">
        <f>+REG_STOCK[[#This Row],[VALOR UNITARIO]]*REG_STOCK[[#This Row],[STOCK FISICO]]</f>
        <v>1177269.8384270975</v>
      </c>
    </row>
    <row r="145" spans="1:18" x14ac:dyDescent="0.25">
      <c r="A145" s="1">
        <v>46195</v>
      </c>
      <c r="B145">
        <v>302028</v>
      </c>
      <c r="C145" s="81" t="s">
        <v>514</v>
      </c>
      <c r="D145" s="81" t="s">
        <v>20</v>
      </c>
      <c r="E145">
        <v>10201</v>
      </c>
      <c r="F145">
        <v>0.5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4765.1099898157581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1267519.2572909917</v>
      </c>
    </row>
    <row r="146" spans="1:18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0.125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15067.421912350597</v>
      </c>
      <c r="Q146" s="3">
        <f>IFERROR(REG_STOCK[[#This Row],[VALOR UNITARIO]]*REG_STOCK[[#This Row],[PERDIDA O EN PROCESO]],"")</f>
        <v>891793.64718539373</v>
      </c>
      <c r="R146" s="3">
        <f>+REG_STOCK[[#This Row],[VALOR UNITARIO]]*REG_STOCK[[#This Row],[STOCK FISICO]]</f>
        <v>3586046.4151394423</v>
      </c>
    </row>
    <row r="147" spans="1:18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11.25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16228.418009810792</v>
      </c>
      <c r="Q147" s="3">
        <f>IFERROR(REG_STOCK[[#This Row],[VALOR UNITARIO]]*REG_STOCK[[#This Row],[PERDIDA O EN PROCESO]],"")</f>
        <v>989540.07451390952</v>
      </c>
      <c r="R147" s="3">
        <f>+REG_STOCK[[#This Row],[VALOR UNITARIO]]*REG_STOCK[[#This Row],[STOCK FISICO]]</f>
        <v>5647489.4674141556</v>
      </c>
    </row>
    <row r="148" spans="1:18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11.25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7583.0947867298582</v>
      </c>
      <c r="Q148" s="3">
        <f>IFERROR(REG_STOCK[[#This Row],[VALOR UNITARIO]]*REG_STOCK[[#This Row],[PERDIDA O EN PROCESO]],"")</f>
        <v>9325.6435475595117</v>
      </c>
      <c r="R148" s="3">
        <f>+REG_STOCK[[#This Row],[VALOR UNITARIO]]*REG_STOCK[[#This Row],[STOCK FISICO]]</f>
        <v>545982.82464454975</v>
      </c>
    </row>
    <row r="149" spans="1:18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0.375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190</v>
      </c>
      <c r="J149" s="81">
        <f>+REG_STOCK[[#This Row],[SOLICITADO A TF]]-REG_STOCK[[#This Row],[STOCK FISICO]]</f>
        <v>182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438.90745805057554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458.20009356928216</v>
      </c>
      <c r="O149" s="3">
        <f>IF($V$2-REG_STOCK[[#This Row],[ALCANCE FISICO]]&gt;0,"",($V$2-REG_STOCK[[#This Row],[ALCANCE FISICO]]/REG_STOCK[[#This Row],[CUBICACION PPTO.]]))</f>
        <v>-1040.9859249836786</v>
      </c>
      <c r="P149" s="3">
        <f>+_xlfn.XLOOKUP(REG_STOCK[[#This Row],[CODIGO]],PRODUCTOS[CODIGO],PRODUCTOS[PRECIO COMPRA UNITARIO],"",0)</f>
        <v>150740.5806451613</v>
      </c>
      <c r="Q149" s="3">
        <f>IFERROR(REG_STOCK[[#This Row],[VALOR UNITARIO]]*REG_STOCK[[#This Row],[PERDIDA O EN PROCESO]],"")</f>
        <v>-156918822.77548003</v>
      </c>
      <c r="R149" s="3">
        <f>+REG_STOCK[[#This Row],[VALOR UNITARIO]]*REG_STOCK[[#This Row],[STOCK FISICO]]</f>
        <v>1205924.6451612904</v>
      </c>
    </row>
    <row r="150" spans="1:18" x14ac:dyDescent="0.25">
      <c r="A150" s="1">
        <v>46195</v>
      </c>
      <c r="B150" t="s">
        <v>21</v>
      </c>
      <c r="C150" s="81" t="s">
        <v>787</v>
      </c>
      <c r="D150" s="81" t="s">
        <v>20</v>
      </c>
      <c r="E150">
        <v>888</v>
      </c>
      <c r="F150">
        <v>0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0.75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50.563819523212345</v>
      </c>
      <c r="P154" s="3">
        <f>+_xlfn.XLOOKUP(REG_STOCK[[#This Row],[CODIGO]],PRODUCTOS[CODIGO],PRODUCTOS[PRECIO COMPRA UNITARIO],"",0)</f>
        <v>4877.8732429718875</v>
      </c>
      <c r="Q154" s="3">
        <f>IFERROR(REG_STOCK[[#This Row],[VALOR UNITARIO]]*REG_STOCK[[#This Row],[PERDIDA O EN PROCESO]],"")</f>
        <v>246643.90231473703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F155">
        <v>0.125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>
        <f>IF($V$2-REG_STOCK[[#This Row],[ALCANCE FISICO]]&gt;0,"",($V$2-REG_STOCK[[#This Row],[ALCANCE FISICO]]/REG_STOCK[[#This Row],[CUBICACION PPTO.]]))</f>
        <v>61.647259690985621</v>
      </c>
      <c r="P155" s="3">
        <f>+_xlfn.XLOOKUP(REG_STOCK[[#This Row],[CODIGO]],PRODUCTOS[CODIGO],PRODUCTOS[PRECIO COMPRA UNITARIO],"",0)</f>
        <v>13754.132906894101</v>
      </c>
      <c r="Q155" s="3">
        <f>IFERROR(REG_STOCK[[#This Row],[VALOR UNITARIO]]*REG_STOCK[[#This Row],[PERDIDA O EN PROCESO]],"")</f>
        <v>847904.60313563165</v>
      </c>
      <c r="R155" s="3">
        <f>+REG_STOCK[[#This Row],[VALOR UNITARIO]]*REG_STOCK[[#This Row],[STOCK FISICO]]</f>
        <v>1320396.7590618338</v>
      </c>
    </row>
    <row r="156" spans="1:18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4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39911.246246246243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758313.67867867858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32"/>
  <sheetViews>
    <sheetView topLeftCell="L2158" workbookViewId="0">
      <selection activeCell="M2167" sqref="M2167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2.5703125" bestFit="1" customWidth="1"/>
    <col min="23" max="23" width="5" bestFit="1" customWidth="1"/>
    <col min="24" max="24" width="15.140625" style="38" bestFit="1" customWidth="1"/>
    <col min="25" max="25" width="18.7109375" style="38" bestFit="1" customWidth="1"/>
    <col min="26" max="26" width="10.7109375" style="38" customWidth="1"/>
    <col min="27" max="27" width="22.140625" bestFit="1" customWidth="1"/>
    <col min="28" max="28" width="31.5703125" bestFit="1" customWidth="1"/>
    <col min="29" max="29" width="19.85546875" bestFit="1" customWidth="1"/>
    <col min="30" max="30" width="21.4257812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2010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2019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2010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2010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2010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2019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2024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2010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2010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2010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2010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x14ac:dyDescent="0.25">
      <c r="A441" s="1">
        <v>46093</v>
      </c>
      <c r="B441" s="1">
        <v>46093</v>
      </c>
      <c r="C441" s="81" t="s">
        <v>781</v>
      </c>
      <c r="D441" s="38">
        <v>3</v>
      </c>
      <c r="E441" s="81" t="s">
        <v>781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2010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2010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2010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2010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2010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2024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2010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2010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2010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2010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2010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2010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2010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2011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2010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2010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2010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2011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2010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2010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2012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2011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2010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2011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2010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2011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2010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2011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2010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2025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2025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2026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2021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2026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2021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2026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2024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2017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2026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2024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2021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2021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557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2027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558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559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2027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560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706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2026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561</v>
      </c>
      <c r="G786" s="81" t="s">
        <v>707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2021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2028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2028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708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2028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2028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2021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2028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709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2028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2024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2029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710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711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712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2028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708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2021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2026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721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740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2021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2026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2026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2021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2013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2013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2013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2021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2011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706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2021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709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2011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2017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2021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756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558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557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2011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708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2017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2021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2011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2011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706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708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2021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758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759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2021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2011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2011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2029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710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712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2029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2011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760</v>
      </c>
      <c r="G1078" s="81" t="s">
        <v>761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762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763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764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765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766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767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768</v>
      </c>
      <c r="H1085" s="81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770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771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772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773</v>
      </c>
      <c r="H1089" s="81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2027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2013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2013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2013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2011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708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561</v>
      </c>
      <c r="G1111" s="81" t="s">
        <v>707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2021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2021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561</v>
      </c>
      <c r="G1127" s="81" t="s">
        <v>707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706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2021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2021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777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2017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2011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2011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740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2021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2011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709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2017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779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561</v>
      </c>
      <c r="G1191" s="81" t="s">
        <v>707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710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712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756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740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782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706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783</v>
      </c>
      <c r="H1305" s="81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785</v>
      </c>
      <c r="H1306" s="81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786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721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796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2011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2011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2014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86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2011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2014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2014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706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2015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709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759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561</v>
      </c>
      <c r="G1369" s="81" t="s">
        <v>707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2011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721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786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2014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2015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797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798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712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710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561</v>
      </c>
      <c r="G1450" s="81" t="s">
        <v>707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797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798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706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740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721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797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798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786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561</v>
      </c>
      <c r="G1534" s="81" t="s">
        <v>707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799</v>
      </c>
      <c r="H1578" s="81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2013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2013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2013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721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796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706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706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797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798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2016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1600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2017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560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559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1601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797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2015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798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709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2018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797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2011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798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2018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2011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706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2011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2019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2015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2016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2016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710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712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2011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1650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2020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2015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2011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2019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759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786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2011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2011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2021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2021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796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2021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2013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2013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2013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2021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2021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2015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2011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2022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779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797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2011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2011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2016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710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2021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798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2011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797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2020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1708</v>
      </c>
      <c r="H1959" s="81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1709</v>
      </c>
      <c r="H1960" s="81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1710</v>
      </c>
      <c r="H1963" s="81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1711</v>
      </c>
      <c r="H1964" s="81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1712</v>
      </c>
      <c r="H1965" s="81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1713</v>
      </c>
      <c r="H1966" s="81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2020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1650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558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557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786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2011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1714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796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2021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2015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2021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2021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2011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561</v>
      </c>
      <c r="G2014" s="81" t="s">
        <v>707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2011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706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2020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2021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2016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710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712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776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2021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2018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2021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1600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560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559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2023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2021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2018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2015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2004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2023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2021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2023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2015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2015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2005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2021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2023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2015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2021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2023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2008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2021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2011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706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558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2020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2021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796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2011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2015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2021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2021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727</v>
      </c>
      <c r="G2198" s="81" t="s">
        <v>707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2011</v>
      </c>
      <c r="V2198" s="2">
        <v>3787528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796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2011</v>
      </c>
      <c r="V2212" s="2">
        <v>213470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721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2021</v>
      </c>
      <c r="V2222" s="2">
        <v>1312803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798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2021</v>
      </c>
      <c r="V2227" s="2">
        <v>9560990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2021</v>
      </c>
      <c r="V2236" s="2">
        <v>127278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2011</v>
      </c>
      <c r="V2237" s="2">
        <v>336947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2011</v>
      </c>
      <c r="V2243" s="2">
        <v>1186087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2015</v>
      </c>
      <c r="V2249" s="2">
        <v>3568122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2005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796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2015</v>
      </c>
      <c r="V2260" s="2">
        <v>113404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721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740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2013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2013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2013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2011</v>
      </c>
      <c r="V2266" s="2">
        <v>2078394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559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2020</v>
      </c>
      <c r="V2268" s="2">
        <v>1150091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1600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2021</v>
      </c>
      <c r="V2270" s="2">
        <v>19894462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776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759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2021</v>
      </c>
      <c r="V2285" s="2">
        <v>7063028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1601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709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2015</v>
      </c>
      <c r="V2297" s="2">
        <v>2800350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786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561</v>
      </c>
      <c r="G2317" s="81" t="s">
        <v>707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2015</v>
      </c>
      <c r="V2317" s="2">
        <v>3018799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368618</v>
      </c>
      <c r="U2321" s="26"/>
      <c r="V2321" s="2"/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368618</v>
      </c>
      <c r="U2322" s="26"/>
      <c r="V2322" s="2"/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368618</v>
      </c>
      <c r="U2323" s="26"/>
      <c r="V2323" s="2"/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368618</v>
      </c>
      <c r="U2324" s="26"/>
      <c r="V2324" s="2"/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368618</v>
      </c>
      <c r="U2325" s="26"/>
      <c r="V2325" s="2"/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368618</v>
      </c>
      <c r="U2326" s="26"/>
      <c r="V2326" s="2"/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706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368618</v>
      </c>
      <c r="U2327" s="26"/>
      <c r="V2327" s="2"/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368618</v>
      </c>
      <c r="U2328" s="26"/>
      <c r="V2328" s="2"/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368618</v>
      </c>
      <c r="U2329" s="26"/>
      <c r="V2329" s="2"/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368618</v>
      </c>
      <c r="U2330" s="26"/>
      <c r="V2330" s="2"/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368618</v>
      </c>
      <c r="U2331" s="26"/>
      <c r="V2331" s="2"/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368618</v>
      </c>
      <c r="U2332" s="26"/>
      <c r="V2332" s="2"/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368618</v>
      </c>
      <c r="U2333" s="26"/>
      <c r="V2333" s="2"/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368618</v>
      </c>
      <c r="U2334" s="26"/>
      <c r="V2334" s="2"/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2012</v>
      </c>
      <c r="V2335" s="2">
        <v>194000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2015</v>
      </c>
      <c r="V2336" s="2">
        <v>341336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2024</v>
      </c>
      <c r="V2337" s="2">
        <v>7793582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2005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2011</v>
      </c>
      <c r="V2338" s="2">
        <v>582839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451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712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2016</v>
      </c>
      <c r="V2345" s="2">
        <v>278236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2016</v>
      </c>
      <c r="V2355" s="2">
        <v>506263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470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710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2016</v>
      </c>
      <c r="V2367" s="2">
        <v>13246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2011</v>
      </c>
      <c r="V2369" s="2">
        <v>443946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786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2021</v>
      </c>
      <c r="V2372" s="2">
        <v>13686510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445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706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2015</v>
      </c>
      <c r="V2390" s="2">
        <v>107722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2030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2019</v>
      </c>
      <c r="V2395" s="2">
        <v>95165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2031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2032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2011</v>
      </c>
      <c r="V2398" s="2">
        <v>571005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451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797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2019</v>
      </c>
      <c r="V2406" s="2">
        <v>10370124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798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558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2011</v>
      </c>
      <c r="V2418" s="2">
        <v>519679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557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2020</v>
      </c>
      <c r="V2420" s="2">
        <v>280800</v>
      </c>
      <c r="X2420" s="2"/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558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X2421" s="2"/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/>
      <c r="B2422" s="1"/>
      <c r="H2422" s="3"/>
      <c r="I2422" s="3"/>
      <c r="J2422" s="2"/>
      <c r="K2422" s="2"/>
      <c r="L2422" s="2"/>
      <c r="M2422" s="2"/>
      <c r="N2422" s="2"/>
      <c r="O2422" s="2"/>
      <c r="S2422" s="2"/>
      <c r="U2422" s="2"/>
      <c r="V2422" s="2"/>
      <c r="W2422" s="2"/>
      <c r="AA2422" s="2"/>
      <c r="AB2422" s="4"/>
      <c r="AC2422" s="2"/>
      <c r="AD2422" s="2"/>
      <c r="AE2422" s="3"/>
    </row>
    <row r="2423" spans="1:31" x14ac:dyDescent="0.25">
      <c r="A2423" s="1"/>
      <c r="B2423" s="1"/>
      <c r="H2423" s="3"/>
      <c r="I2423" s="3"/>
      <c r="J2423" s="2"/>
      <c r="K2423" s="2"/>
      <c r="L2423" s="2"/>
      <c r="M2423" s="2"/>
      <c r="N2423" s="2"/>
      <c r="O2423" s="2"/>
      <c r="S2423" s="2"/>
      <c r="U2423" s="2"/>
      <c r="V2423" s="2"/>
      <c r="W2423" s="2"/>
      <c r="AA2423" s="2"/>
      <c r="AB2423" s="4"/>
      <c r="AC2423" s="2"/>
      <c r="AD2423" s="2"/>
      <c r="AE2423" s="3"/>
    </row>
    <row r="2424" spans="1:31" x14ac:dyDescent="0.25">
      <c r="A2424" s="1"/>
      <c r="B2424" s="1"/>
      <c r="H2424" s="3"/>
      <c r="I2424" s="3"/>
      <c r="J2424" s="2"/>
      <c r="K2424" s="2"/>
      <c r="L2424" s="2"/>
      <c r="M2424" s="2"/>
      <c r="N2424" s="2"/>
      <c r="O2424" s="2"/>
      <c r="S2424" s="2"/>
      <c r="U2424" s="2"/>
      <c r="V2424" s="2"/>
      <c r="W2424" s="2"/>
      <c r="AA2424" s="2"/>
      <c r="AB2424" s="4"/>
      <c r="AC2424" s="2"/>
      <c r="AD2424" s="2"/>
      <c r="AE2424" s="3"/>
    </row>
    <row r="2425" spans="1:31" x14ac:dyDescent="0.25">
      <c r="A2425" s="1"/>
      <c r="B2425" s="1"/>
      <c r="H2425" s="3"/>
      <c r="I2425" s="3"/>
      <c r="J2425" s="2"/>
      <c r="K2425" s="2"/>
      <c r="L2425" s="2"/>
      <c r="M2425" s="2"/>
      <c r="N2425" s="2"/>
      <c r="O2425" s="2"/>
      <c r="S2425" s="2"/>
      <c r="U2425" s="2"/>
      <c r="V2425" s="2"/>
      <c r="W2425" s="2"/>
      <c r="AA2425" s="2"/>
      <c r="AB2425" s="4"/>
      <c r="AC2425" s="2"/>
      <c r="AD2425" s="2"/>
      <c r="AE2425" s="3"/>
    </row>
    <row r="2426" spans="1:31" x14ac:dyDescent="0.25">
      <c r="A2426" s="1"/>
      <c r="B2426" s="1"/>
      <c r="H2426" s="3"/>
      <c r="I2426" s="3"/>
      <c r="J2426" s="2"/>
      <c r="K2426" s="2"/>
      <c r="L2426" s="2"/>
      <c r="M2426" s="2"/>
      <c r="N2426" s="2"/>
      <c r="O2426" s="2"/>
      <c r="S2426" s="2"/>
      <c r="U2426" s="2"/>
      <c r="V2426" s="2"/>
      <c r="W2426" s="2"/>
      <c r="AA2426" s="2"/>
      <c r="AB2426" s="4"/>
      <c r="AC2426" s="2"/>
      <c r="AD2426" s="2"/>
      <c r="AE2426" s="3"/>
    </row>
    <row r="2427" spans="1:31" x14ac:dyDescent="0.25">
      <c r="A2427" s="1"/>
      <c r="B2427" s="1"/>
      <c r="H2427" s="3"/>
      <c r="I2427" s="3"/>
      <c r="J2427" s="2"/>
      <c r="K2427" s="2"/>
      <c r="L2427" s="2"/>
      <c r="M2427" s="2"/>
      <c r="N2427" s="2"/>
      <c r="O2427" s="2"/>
      <c r="S2427" s="2"/>
      <c r="U2427" s="2"/>
      <c r="V2427" s="2"/>
      <c r="W2427" s="2"/>
      <c r="AA2427" s="2"/>
      <c r="AB2427" s="4"/>
      <c r="AC2427" s="2"/>
      <c r="AD2427" s="2"/>
      <c r="AE2427" s="3"/>
    </row>
    <row r="2428" spans="1:31" x14ac:dyDescent="0.25">
      <c r="A2428" s="1"/>
      <c r="B2428" s="1"/>
      <c r="H2428" s="3"/>
      <c r="I2428" s="3"/>
      <c r="J2428" s="2"/>
      <c r="K2428" s="2"/>
      <c r="L2428" s="2"/>
      <c r="M2428" s="2"/>
      <c r="N2428" s="2"/>
      <c r="O2428" s="2"/>
      <c r="S2428" s="2"/>
      <c r="U2428" s="2"/>
      <c r="V2428" s="2"/>
      <c r="W2428" s="2"/>
      <c r="AA2428" s="2"/>
      <c r="AB2428" s="4"/>
      <c r="AC2428" s="2"/>
      <c r="AD2428" s="2"/>
      <c r="AE2428" s="3"/>
    </row>
    <row r="2429" spans="1:31" x14ac:dyDescent="0.25">
      <c r="A2429" s="1"/>
      <c r="B2429" s="1"/>
      <c r="H2429" s="3"/>
      <c r="I2429" s="3"/>
      <c r="J2429" s="2"/>
      <c r="K2429" s="2"/>
      <c r="L2429" s="2"/>
      <c r="M2429" s="2"/>
      <c r="N2429" s="2"/>
      <c r="O2429" s="2"/>
      <c r="S2429" s="2"/>
      <c r="U2429" s="2"/>
      <c r="V2429" s="2"/>
      <c r="W2429" s="2"/>
      <c r="AA2429" s="2"/>
      <c r="AB2429" s="4"/>
      <c r="AC2429" s="2"/>
      <c r="AD2429" s="2"/>
      <c r="AE2429" s="3"/>
    </row>
    <row r="2430" spans="1:31" x14ac:dyDescent="0.25">
      <c r="A2430" s="1"/>
      <c r="B2430" s="1"/>
      <c r="H2430" s="3"/>
      <c r="I2430" s="3"/>
      <c r="J2430" s="2"/>
      <c r="K2430" s="2"/>
      <c r="L2430" s="2"/>
      <c r="M2430" s="2"/>
      <c r="N2430" s="2"/>
      <c r="O2430" s="2"/>
      <c r="S2430" s="2"/>
      <c r="U2430" s="2"/>
      <c r="V2430" s="2"/>
      <c r="W2430" s="2"/>
      <c r="AA2430" s="2"/>
      <c r="AB2430" s="4"/>
      <c r="AC2430" s="2"/>
      <c r="AD2430" s="2"/>
      <c r="AE2430" s="3"/>
    </row>
    <row r="2431" spans="1:31" x14ac:dyDescent="0.25">
      <c r="A2431" s="1"/>
      <c r="B2431" s="1"/>
      <c r="H2431" s="3"/>
      <c r="I2431" s="3"/>
      <c r="J2431" s="2"/>
      <c r="K2431" s="2"/>
      <c r="L2431" s="2"/>
      <c r="M2431" s="2"/>
      <c r="N2431" s="2"/>
      <c r="O2431" s="2"/>
      <c r="S2431" s="2"/>
      <c r="U2431" s="2"/>
      <c r="V2431" s="2"/>
      <c r="W2431" s="2"/>
      <c r="AA2431" s="2"/>
      <c r="AB2431" s="4"/>
      <c r="AC2431" s="2"/>
      <c r="AD2431" s="2"/>
      <c r="AE2431" s="3"/>
    </row>
    <row r="2432" spans="1:31" x14ac:dyDescent="0.25">
      <c r="A2432" s="1"/>
      <c r="B2432" s="1"/>
      <c r="H2432" s="3"/>
      <c r="I2432" s="3"/>
      <c r="J2432" s="2"/>
      <c r="K2432" s="2"/>
      <c r="L2432" s="2"/>
      <c r="M2432" s="2"/>
      <c r="N2432" s="2"/>
      <c r="O2432" s="2"/>
      <c r="S2432" s="2"/>
      <c r="U2432" s="2"/>
      <c r="V2432" s="2"/>
      <c r="W2432" s="2"/>
      <c r="AA2432" s="2"/>
      <c r="AB2432" s="4"/>
      <c r="AC2432" s="2"/>
      <c r="AD2432" s="2"/>
      <c r="AE2432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9649.7527739926027</v>
      </c>
      <c r="H2" s="5">
        <f>+IFERROR(Tabla2[[#This Row],[PRECIO PROMEDIO]]-Tabla2[[#This Row],[PRECIO PPTO]],"")</f>
        <v>-7.8351760074019694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437857.53211991437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2061.4966651845266</v>
      </c>
      <c r="H7" s="5">
        <f>+IFERROR(Tabla2[[#This Row],[PRECIO PROMEDIO]]-Tabla2[[#This Row],[PRECIO PPTO]],"")</f>
        <v>-51.299113815473447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122571.34107986573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464.16107810507327</v>
      </c>
      <c r="H9" s="5">
        <f>+IFERROR(Tabla2[[#This Row],[PRECIO PROMEDIO]]-Tabla2[[#This Row],[PRECIO PPTO]],"")</f>
        <v>-9.0141618949266444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269213.4253009425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21593.507725476105</v>
      </c>
      <c r="H10" s="5">
        <f>+IFERROR(Tabla2[[#This Row],[PRECIO PROMEDIO]]-Tabla2[[#This Row],[PRECIO PPTO]],"")</f>
        <v>347.00057247610675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475057.1699604743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4610.6005560704352</v>
      </c>
      <c r="H12" s="5">
        <f>+IFERROR(Tabla2[[#This Row],[PRECIO PROMEDIO]]-Tabla2[[#This Row],[PRECIO PPTO]],"")</f>
        <v>413.18268107043423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74691.729008341033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126990.34210526316</v>
      </c>
      <c r="H19" s="5">
        <f>+IFERROR(Tabla2[[#This Row],[PRECIO PROMEDIO]]-Tabla2[[#This Row],[PRECIO PPTO]],"")</f>
        <v>2081.3421052631602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126990.34210526316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4.9768471659919031</v>
      </c>
      <c r="H37" s="5">
        <f>+IFERROR(Tabla2[[#This Row],[PRECIO PROMEDIO]]-Tabla2[[#This Row],[PRECIO PPTO]],"")</f>
        <v>9.6631165991902357E-2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716.66599190283409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4765.1099898157581</v>
      </c>
      <c r="H38" s="5">
        <f>+IFERROR(Tabla2[[#This Row],[PRECIO PROMEDIO]]-Tabla2[[#This Row],[PRECIO PPTO]],"")</f>
        <v>-358.69253718424352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783860.59332469222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13754.132906894101</v>
      </c>
      <c r="H44" s="5">
        <f>+IFERROR(Tabla2[[#This Row],[PRECIO PROMEDIO]]-Tabla2[[#This Row],[PRECIO PPTO]],"")</f>
        <v>13754.132906894101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460763.45238095237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150740.5806451613</v>
      </c>
      <c r="H53" s="5">
        <f>+IFERROR(Tabla2[[#This Row],[PRECIO PROMEDIO]]-Tabla2[[#This Row],[PRECIO PPTO]],"")</f>
        <v>36.605185161344707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59530.47010838709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82867.84782608696</v>
      </c>
      <c r="H54" s="5">
        <f>+IFERROR(Tabla2[[#This Row],[PRECIO PROMEDIO]]-Tabla2[[#This Row],[PRECIO PPTO]],"")</f>
        <v>1669.9662470869807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62150.885869565231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6979.6585365853662</v>
      </c>
      <c r="H65" s="5">
        <f>+IFERROR(Tabla2[[#This Row],[PRECIO PROMEDIO]]-Tabla2[[#This Row],[PRECIO PPTO]],"")</f>
        <v>221.12520358536585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6979.6585365853662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35.250864197530866</v>
      </c>
      <c r="H71" s="5">
        <f>+IFERROR(Tabla2[[#This Row],[PRECIO PROMEDIO]]-Tabla2[[#This Row],[PRECIO PPTO]],"")</f>
        <v>5.3404197530859676E-2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1022.2750617283951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16228.418009810792</v>
      </c>
      <c r="H73" s="5">
        <f>+IFERROR(Tabla2[[#This Row],[PRECIO PROMEDIO]]-Tabla2[[#This Row],[PRECIO PPTO]],"")</f>
        <v>208.53232481078703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482795.43579187104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39911.246246246243</v>
      </c>
      <c r="H79" s="5">
        <f>+IFERROR(Tabla2[[#This Row],[PRECIO PROMEDIO]]-Tabla2[[#This Row],[PRECIO PPTO]],"")</f>
        <v>39259.746246246243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80121.826839339337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3636.4442028985509</v>
      </c>
      <c r="H84" s="5">
        <f>+IFERROR(Tabla2[[#This Row],[PRECIO PROMEDIO]]-Tabla2[[#This Row],[PRECIO PPTO]],"")</f>
        <v>-75.142838101449343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146817.38126889084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154137.95000000001</v>
      </c>
      <c r="H92" s="5">
        <f>+IFERROR(Tabla2[[#This Row],[PRECIO PROMEDIO]]-Tabla2[[#This Row],[PRECIO PPTO]],"")</f>
        <v>-2131.2166670000297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104397.37326454037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15067.421912350597</v>
      </c>
      <c r="H93" s="5">
        <f>+IFERROR(Tabla2[[#This Row],[PRECIO PROMEDIO]]-Tabla2[[#This Row],[PRECIO PPTO]],"")</f>
        <v>85.421912350604543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349036.82859960152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1971.0428798305982</v>
      </c>
      <c r="H98" s="5">
        <f>+IFERROR(Tabla2[[#This Row],[PRECIO PROMEDIO]]-Tabla2[[#This Row],[PRECIO PPTO]],"")</f>
        <v>-141.75289916940187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55431.875434621485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7573.873134328358</v>
      </c>
      <c r="H112" s="5">
        <f>+IFERROR(Tabla2[[#This Row],[PRECIO PROMEDIO]]-Tabla2[[#This Row],[PRECIO PPTO]],"")</f>
        <v>5.8731343283579918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11360.809701492537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7627.3442622950815</v>
      </c>
      <c r="H113" s="5">
        <f>+IFERROR(Tabla2[[#This Row],[PRECIO PROMEDIO]]-Tabla2[[#This Row],[PRECIO PPTO]],"")</f>
        <v>31.344262295081535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7627.3442622950815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123931.57894736843</v>
      </c>
      <c r="H118" s="5">
        <f>+IFERROR(Tabla2[[#This Row],[PRECIO PROMEDIO]]-Tabla2[[#This Row],[PRECIO PPTO]],"")</f>
        <v>-24268.421052631573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123931.57894736843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1889.6227272727272</v>
      </c>
      <c r="H123" s="5">
        <f>+IFERROR(Tabla2[[#This Row],[PRECIO PROMEDIO]]-Tabla2[[#This Row],[PRECIO PPTO]],"")</f>
        <v>0.56918327272705938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14172.170454545454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1671.1438939728621</v>
      </c>
      <c r="H127" s="5">
        <f>+IFERROR(Tabla2[[#This Row],[PRECIO PROMEDIO]]-Tabla2[[#This Row],[PRECIO PPTO]],"")</f>
        <v>-424.20623502713647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103610.92142631745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6676.0769230769229</v>
      </c>
      <c r="H151" s="5">
        <f>+IFERROR(Tabla2[[#This Row],[PRECIO PROMEDIO]]-Tabla2[[#This Row],[PRECIO PPTO]],"")</f>
        <v>-61.923076923077133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13352.153846153846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1475.95</v>
      </c>
      <c r="H154" s="5">
        <f>+IFERROR(Tabla2[[#This Row],[PRECIO PROMEDIO]]-Tabla2[[#This Row],[PRECIO PPTO]],"")</f>
        <v>65.950000000000045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2951.9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3241554.9721597056</v>
      </c>
      <c r="I166" s="2">
        <f>SUM(Tabla2[PROYECCION PPTO])</f>
        <v>8004198.3624865944</v>
      </c>
      <c r="J166" s="2">
        <f>SUM(Tabla2[PROYECCIÓN PRECIO ACTUALIZADO])</f>
        <v>10346520.096295778</v>
      </c>
    </row>
    <row r="168" spans="1:10" x14ac:dyDescent="0.25">
      <c r="G168" s="2">
        <f>+G166-F166</f>
        <v>496951.06242472306</v>
      </c>
      <c r="J168" s="2">
        <f>+J166-I166</f>
        <v>2342321.7338091834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831</v>
      </c>
      <c r="I2" s="81" t="s">
        <v>832</v>
      </c>
      <c r="J2" s="81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831</v>
      </c>
      <c r="I3" s="81" t="s">
        <v>833</v>
      </c>
      <c r="J3" s="81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836</v>
      </c>
      <c r="H4" s="81" t="s">
        <v>831</v>
      </c>
      <c r="I4" s="81" t="s">
        <v>833</v>
      </c>
      <c r="J4" s="81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831</v>
      </c>
      <c r="I5" s="81" t="s">
        <v>832</v>
      </c>
      <c r="J5" s="81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841</v>
      </c>
      <c r="H6" s="81" t="s">
        <v>831</v>
      </c>
      <c r="I6" s="81" t="s">
        <v>832</v>
      </c>
      <c r="J6" s="81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842</v>
      </c>
      <c r="H7" s="81" t="s">
        <v>831</v>
      </c>
      <c r="I7" s="81" t="s">
        <v>833</v>
      </c>
      <c r="J7" s="81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831</v>
      </c>
      <c r="I8" s="81" t="s">
        <v>833</v>
      </c>
      <c r="J8" s="81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848</v>
      </c>
      <c r="H9" s="81" t="s">
        <v>831</v>
      </c>
      <c r="I9" s="81" t="s">
        <v>832</v>
      </c>
      <c r="J9" s="81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849</v>
      </c>
      <c r="H10" s="81" t="s">
        <v>831</v>
      </c>
      <c r="I10" s="81" t="s">
        <v>833</v>
      </c>
      <c r="J10" s="81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831</v>
      </c>
      <c r="I11" s="81" t="s">
        <v>833</v>
      </c>
      <c r="J11" s="8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843</v>
      </c>
      <c r="H12" s="81" t="s">
        <v>831</v>
      </c>
      <c r="I12" s="81" t="s">
        <v>833</v>
      </c>
      <c r="J12" s="81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850</v>
      </c>
      <c r="H13" s="81" t="s">
        <v>831</v>
      </c>
      <c r="I13" s="81" t="s">
        <v>833</v>
      </c>
      <c r="J13" s="81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844</v>
      </c>
      <c r="H14" s="81" t="s">
        <v>831</v>
      </c>
      <c r="I14" s="81" t="s">
        <v>832</v>
      </c>
      <c r="J14" s="81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831</v>
      </c>
      <c r="I15" s="81" t="s">
        <v>833</v>
      </c>
      <c r="J15" s="81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831</v>
      </c>
      <c r="I16" s="81" t="s">
        <v>832</v>
      </c>
      <c r="J16" s="81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851</v>
      </c>
      <c r="H17" s="81" t="s">
        <v>831</v>
      </c>
      <c r="I17" s="81" t="s">
        <v>832</v>
      </c>
      <c r="J17" s="81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838</v>
      </c>
      <c r="H18" s="81" t="s">
        <v>831</v>
      </c>
      <c r="I18" s="81" t="s">
        <v>833</v>
      </c>
      <c r="J18" s="81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837</v>
      </c>
      <c r="H19" s="81" t="s">
        <v>831</v>
      </c>
      <c r="I19" s="81" t="s">
        <v>832</v>
      </c>
      <c r="J19" s="81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845</v>
      </c>
      <c r="H20" s="81" t="s">
        <v>831</v>
      </c>
      <c r="I20" s="81" t="s">
        <v>832</v>
      </c>
      <c r="J20" s="81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835</v>
      </c>
      <c r="H21" s="81" t="s">
        <v>831</v>
      </c>
      <c r="I21" s="81" t="s">
        <v>832</v>
      </c>
      <c r="J21" s="8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839</v>
      </c>
      <c r="H22" s="81" t="s">
        <v>831</v>
      </c>
      <c r="I22" s="81" t="s">
        <v>833</v>
      </c>
      <c r="J22" s="81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834</v>
      </c>
      <c r="H23" s="81" t="s">
        <v>831</v>
      </c>
      <c r="I23" s="81" t="s">
        <v>833</v>
      </c>
      <c r="J23" s="81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831</v>
      </c>
      <c r="I24" s="81" t="s">
        <v>832</v>
      </c>
      <c r="J24" s="81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831</v>
      </c>
      <c r="I25" s="81" t="s">
        <v>832</v>
      </c>
      <c r="J25" s="81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846</v>
      </c>
      <c r="H26" s="81" t="s">
        <v>831</v>
      </c>
      <c r="I26" s="81" t="s">
        <v>833</v>
      </c>
      <c r="J26" s="81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852</v>
      </c>
      <c r="H27" s="81" t="s">
        <v>831</v>
      </c>
      <c r="I27" s="81" t="s">
        <v>832</v>
      </c>
      <c r="J27" s="81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853</v>
      </c>
      <c r="H28" s="81" t="s">
        <v>831</v>
      </c>
      <c r="I28" s="81" t="s">
        <v>833</v>
      </c>
      <c r="J28" s="81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840</v>
      </c>
      <c r="H29" s="81" t="s">
        <v>831</v>
      </c>
      <c r="I29" s="81" t="s">
        <v>832</v>
      </c>
      <c r="J29" s="81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831</v>
      </c>
      <c r="I30" s="81" t="s">
        <v>832</v>
      </c>
      <c r="J30" s="81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847</v>
      </c>
      <c r="H31" s="81" t="s">
        <v>831</v>
      </c>
      <c r="I31" s="81" t="s">
        <v>833</v>
      </c>
      <c r="J31" s="8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854</v>
      </c>
      <c r="H32" s="81" t="s">
        <v>831</v>
      </c>
      <c r="I32" s="81" t="s">
        <v>833</v>
      </c>
      <c r="J32" s="81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855</v>
      </c>
      <c r="H33" s="81" t="s">
        <v>831</v>
      </c>
      <c r="I33" s="81" t="s">
        <v>832</v>
      </c>
      <c r="J33" s="81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859</v>
      </c>
      <c r="H34" s="81" t="s">
        <v>856</v>
      </c>
      <c r="I34" s="81" t="s">
        <v>833</v>
      </c>
      <c r="J34" s="81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857</v>
      </c>
      <c r="H35" s="81" t="s">
        <v>856</v>
      </c>
      <c r="I35" s="81" t="s">
        <v>832</v>
      </c>
      <c r="J35" s="81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858</v>
      </c>
      <c r="H36" s="81" t="s">
        <v>856</v>
      </c>
      <c r="I36" s="81" t="s">
        <v>833</v>
      </c>
      <c r="J36" s="81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860</v>
      </c>
      <c r="H37" s="81" t="s">
        <v>856</v>
      </c>
      <c r="I37" s="81" t="s">
        <v>832</v>
      </c>
      <c r="J37" s="81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861</v>
      </c>
      <c r="H38" s="81" t="s">
        <v>856</v>
      </c>
      <c r="I38" s="81" t="s">
        <v>832</v>
      </c>
      <c r="J38" s="81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862</v>
      </c>
      <c r="H39" s="81" t="s">
        <v>856</v>
      </c>
      <c r="I39" s="81" t="s">
        <v>833</v>
      </c>
      <c r="J39" s="81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s="81" t="s">
        <v>864</v>
      </c>
      <c r="H40" s="81" t="s">
        <v>856</v>
      </c>
      <c r="I40" s="81" t="s">
        <v>832</v>
      </c>
      <c r="J40" s="81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s="81" t="s">
        <v>866</v>
      </c>
      <c r="H41" s="81" t="s">
        <v>856</v>
      </c>
      <c r="I41" s="81" t="s">
        <v>833</v>
      </c>
      <c r="J41" s="8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s="81" t="s">
        <v>865</v>
      </c>
      <c r="H42" s="81" t="s">
        <v>856</v>
      </c>
      <c r="I42" s="81" t="s">
        <v>832</v>
      </c>
      <c r="J42" s="81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6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188940333</v>
      </c>
      <c r="L5" s="47">
        <v>992313725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1.65016501650165E-2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4.7923322683706061E-2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0.98269230769230775</v>
      </c>
      <c r="G24" s="13">
        <v>8.5199386503067479E-2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0.98269230769230775</v>
      </c>
      <c r="G28" s="13">
        <v>0.83616666666666661</v>
      </c>
      <c r="H28" s="13">
        <v>0.11823313782991199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0.98269230769230775</v>
      </c>
      <c r="G32" s="13">
        <v>0.83616666666666661</v>
      </c>
      <c r="H32" s="13">
        <v>0.53181818181818197</v>
      </c>
      <c r="I32" s="13">
        <v>0.13115767045454543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0.98269230769230775</v>
      </c>
      <c r="G36" s="13">
        <v>0.83616666666666661</v>
      </c>
      <c r="H36" s="13">
        <v>0.53181818181818197</v>
      </c>
      <c r="I36" s="13">
        <v>0.13115767045454543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0.98269230769230775</v>
      </c>
      <c r="G40" s="13">
        <v>0.83616666666666661</v>
      </c>
      <c r="H40" s="13">
        <v>0.53181818181818197</v>
      </c>
      <c r="I40" s="13">
        <v>0.13115767045454543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0.98269230769230775</v>
      </c>
      <c r="G44" s="13">
        <v>0.83616666666666661</v>
      </c>
      <c r="H44" s="13">
        <v>0.53181818181818197</v>
      </c>
      <c r="I44" s="13">
        <v>0.13115767045454543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0.98269230769230775</v>
      </c>
      <c r="G48" s="13">
        <v>0.83616666666666661</v>
      </c>
      <c r="H48" s="13">
        <v>0.53181818181818197</v>
      </c>
      <c r="I48" s="13">
        <v>0.13115767045454543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0.98269230769230775</v>
      </c>
      <c r="G52" s="13">
        <v>0.83616666666666661</v>
      </c>
      <c r="H52" s="13">
        <v>0.53181818181818197</v>
      </c>
      <c r="I52" s="13">
        <v>0.13115767045454543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0.98269230769230775</v>
      </c>
      <c r="G56" s="13">
        <v>0.83616666666666661</v>
      </c>
      <c r="H56" s="13">
        <v>0.53181818181818197</v>
      </c>
      <c r="I56" s="13">
        <v>0.13115767045454543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993129414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188940333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992313725</v>
      </c>
      <c r="I68" s="48">
        <f t="shared" ref="I68" si="2">+H68+I67</f>
        <v>992313725</v>
      </c>
      <c r="J68" s="48">
        <f t="shared" ref="J68" si="3">+I68+J67</f>
        <v>992313725</v>
      </c>
      <c r="K68" s="48">
        <f t="shared" ref="K68" si="4">+J68+K67</f>
        <v>992313725</v>
      </c>
      <c r="L68" s="48">
        <f t="shared" ref="L68" si="5">+K68+L67</f>
        <v>992313725</v>
      </c>
      <c r="M68" s="48">
        <f t="shared" ref="M68" si="6">+L68+M67</f>
        <v>992313725</v>
      </c>
      <c r="N68" s="48">
        <f t="shared" ref="N68" si="7">+M68+N67</f>
        <v>992313725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1.65016501650165E-2</v>
      </c>
      <c r="E75" s="7">
        <f>+GETPIVOTDATA("% AVANCE",$B$18)</f>
        <v>4.7923322683706061E-2</v>
      </c>
      <c r="F75" s="7">
        <f>+GETPIVOTDATA("% AVANCE",$B$22)</f>
        <v>8.5199386503067479E-2</v>
      </c>
      <c r="G75" s="7">
        <f>+GETPIVOTDATA("% AVANCE",$B$26)</f>
        <v>0.11823313782991199</v>
      </c>
      <c r="H75" s="7">
        <f>+GETPIVOTDATA("% AVANCE",$B$30)</f>
        <v>0.13115767045454543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1.65016501650165E-2</v>
      </c>
      <c r="E76" s="7">
        <f>+E75-D76</f>
        <v>3.1421672518689561E-2</v>
      </c>
      <c r="F76" s="7">
        <f>+F75-E76</f>
        <v>5.3777713984377917E-2</v>
      </c>
      <c r="G76" s="7">
        <f>+G75-F76</f>
        <v>6.4455423845534071E-2</v>
      </c>
      <c r="H76" s="7">
        <f>+H75-G76</f>
        <v>6.6702246609011362E-2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1.65016501650165E-2</v>
      </c>
      <c r="L82" s="7">
        <f>+K82-K81</f>
        <v>1.65016501650165E-2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4.7923322683706061E-2</v>
      </c>
      <c r="L83" s="7">
        <f>+K83-L82</f>
        <v>3.1421672518689561E-2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8.5199386503067479E-2</v>
      </c>
      <c r="L84" s="7">
        <f>+K84-L83</f>
        <v>5.3777713984377917E-2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0.11823313782991199</v>
      </c>
      <c r="L85" s="7">
        <f>+K85-L84</f>
        <v>6.4455423845534071E-2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188940333</v>
      </c>
      <c r="D86" s="48">
        <f t="shared" si="13"/>
        <v>993129414</v>
      </c>
      <c r="E86" s="48">
        <v>1173013527.8693182</v>
      </c>
      <c r="F86" s="48">
        <f t="shared" si="14"/>
        <v>3177786568.6031523</v>
      </c>
      <c r="G86" s="7">
        <f t="shared" si="11"/>
        <v>2.8718700866393068E-2</v>
      </c>
      <c r="H86" s="7">
        <f t="shared" ref="H86:H92" si="15">+H85+G86</f>
        <v>0.15095446329229367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0.13115767045454543</v>
      </c>
      <c r="L86" s="7">
        <f>+K86-L85</f>
        <v>6.6702246609011362E-2</v>
      </c>
      <c r="M86" s="13">
        <f t="shared" si="12"/>
        <v>5.6508571860879653E-2</v>
      </c>
    </row>
    <row r="87" spans="2:14" ht="15.75" customHeight="1" x14ac:dyDescent="0.25">
      <c r="B87" s="18" t="s">
        <v>1620</v>
      </c>
      <c r="D87" s="48">
        <f t="shared" si="13"/>
        <v>993129414</v>
      </c>
      <c r="E87" s="48">
        <v>1173013527.8693182</v>
      </c>
      <c r="F87" s="48">
        <f t="shared" si="14"/>
        <v>4350800096.4724703</v>
      </c>
      <c r="H87" s="7">
        <f t="shared" si="15"/>
        <v>0.15095446329229367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0.13115767045454543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993129414</v>
      </c>
      <c r="E88" s="48">
        <v>1173013527.8693182</v>
      </c>
      <c r="F88" s="48">
        <f t="shared" si="14"/>
        <v>5523813624.3417883</v>
      </c>
      <c r="H88" s="7">
        <f t="shared" si="15"/>
        <v>0.15095446329229367</v>
      </c>
      <c r="I88" s="7">
        <v>8.5227272727272721E-2</v>
      </c>
      <c r="J88" s="13">
        <f>+J87+I88</f>
        <v>0.39811363636363628</v>
      </c>
      <c r="K88" s="7">
        <f>+GETPIVOTDATA("% AVANCE",$B$38)</f>
        <v>0.13115767045454543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993129414</v>
      </c>
      <c r="E89" s="48">
        <v>1173013527.8693182</v>
      </c>
      <c r="F89" s="48">
        <f t="shared" si="14"/>
        <v>6696827152.2111063</v>
      </c>
      <c r="H89" s="7">
        <f t="shared" si="15"/>
        <v>0.15095446329229367</v>
      </c>
      <c r="I89" s="7">
        <v>8.5227272727272721E-2</v>
      </c>
      <c r="J89" s="13">
        <f>+J88+I89</f>
        <v>0.48334090909090899</v>
      </c>
      <c r="K89" s="7">
        <f>+GETPIVOTDATA("% AVANCE",$B$42)</f>
        <v>0.13115767045454543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993129414</v>
      </c>
      <c r="E90" s="48">
        <v>1173013527.8693182</v>
      </c>
      <c r="F90" s="48">
        <f t="shared" si="14"/>
        <v>7869840680.0804243</v>
      </c>
      <c r="H90" s="7">
        <f t="shared" si="15"/>
        <v>0.15095446329229367</v>
      </c>
      <c r="I90" s="7">
        <v>8.5227272727272721E-2</v>
      </c>
      <c r="J90" s="13">
        <f>+J89+I90</f>
        <v>0.56856818181818169</v>
      </c>
      <c r="K90" s="7">
        <f>+GETPIVOTDATA("% AVANCE",$B$46)</f>
        <v>0.13115767045454543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993129414</v>
      </c>
      <c r="E91" s="48">
        <v>1173013527.8693182</v>
      </c>
      <c r="F91" s="48">
        <f t="shared" si="14"/>
        <v>9042854207.9497433</v>
      </c>
      <c r="H91" s="7">
        <f t="shared" si="15"/>
        <v>0.15095446329229367</v>
      </c>
      <c r="I91" s="7">
        <v>8.5227272727272721E-2</v>
      </c>
      <c r="J91" s="13">
        <f>+J90+I91</f>
        <v>0.6537954545454544</v>
      </c>
      <c r="K91" s="7">
        <f>+GETPIVOTDATA("% AVANCE",$B$50)</f>
        <v>0.13115767045454543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993129414</v>
      </c>
      <c r="E92" s="48">
        <v>1173013527.8693182</v>
      </c>
      <c r="F92" s="48">
        <f t="shared" si="14"/>
        <v>10215867735.819061</v>
      </c>
      <c r="H92" s="7">
        <f t="shared" si="15"/>
        <v>0.15095446329229367</v>
      </c>
      <c r="I92" s="7">
        <v>8.5227272727272721E-2</v>
      </c>
      <c r="J92" s="13">
        <f>+J91+I92</f>
        <v>0.73902272727272711</v>
      </c>
      <c r="K92" s="7">
        <f>+GETPIVOTDATA("% AVANCE",$B$54)</f>
        <v>0.13115767045454543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1.65016501650165E-2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4.7923322683706061E-2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8.5199386503067479E-2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0.11823313782991199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0.15095446329229367</v>
      </c>
      <c r="D107" s="13">
        <v>0.13115767045454543</v>
      </c>
      <c r="F107" s="9" t="s">
        <v>1619</v>
      </c>
      <c r="G107" s="49">
        <v>993129414</v>
      </c>
      <c r="H107" s="49">
        <v>3177786568.6031523</v>
      </c>
      <c r="J107" s="9" t="s">
        <v>1619</v>
      </c>
      <c r="K107" s="13">
        <v>0.15095446329229367</v>
      </c>
      <c r="L107" s="13">
        <v>0.22765909090909087</v>
      </c>
      <c r="N107" s="9" t="s">
        <v>1619</v>
      </c>
      <c r="O107" s="13">
        <v>2.8718700866393068E-2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0.15095446329229367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0.15095446329229367</v>
      </c>
      <c r="AI139" s="56">
        <f>+AJ139-AH139</f>
        <v>0.84904553670770633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0.13115767045454543</v>
      </c>
      <c r="AI140" s="56">
        <f>+AJ140-AH140</f>
        <v>0.86884232954545459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7.6704627616797194E-2</v>
      </c>
      <c r="AI142" s="57">
        <f>+AJ142-AH142</f>
        <v>0.92329537238320281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77" zoomScaleNormal="84" workbookViewId="0">
      <selection activeCell="BJ83" sqref="BJ8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957869984</v>
      </c>
      <c r="E9" s="11">
        <v>965636704.95469999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</row>
    <row r="15" spans="3:31" hidden="1" x14ac:dyDescent="0.25">
      <c r="C15" s="10" t="s">
        <v>1595</v>
      </c>
      <c r="D15" s="11">
        <v>188940333</v>
      </c>
      <c r="E15" s="11">
        <v>194671983.76310009</v>
      </c>
    </row>
    <row r="16" spans="3:31" hidden="1" x14ac:dyDescent="0.25">
      <c r="C16" s="9" t="s">
        <v>420</v>
      </c>
      <c r="D16" s="11">
        <v>992313725</v>
      </c>
      <c r="E16" s="11">
        <v>1000340364.8118999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992313725</v>
      </c>
      <c r="D46" s="5">
        <v>1000340364.8119019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957869984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188940333</v>
      </c>
    </row>
    <row r="60" spans="3:4" hidden="1" x14ac:dyDescent="0.25">
      <c r="C60" s="9" t="s">
        <v>420</v>
      </c>
      <c r="D60" s="5">
        <v>992313725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216929200</v>
      </c>
      <c r="E84" s="4">
        <f>+GETPIVOTDATA("VALOR TOTAL POR ITEM GD",$C$83,"TIPO PRODUCTO","NO CRITICO")/GETPIVOTDATA("VALOR TOTAL POR ITEM GD",$C$83)</f>
        <v>0.21860949267833618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775384525</v>
      </c>
      <c r="E85" s="4">
        <f>+GETPIVOTDATA("VALOR TOTAL POR ITEM GD",$C$83,"TIPO PRODUCTO","PRODUCTO CRITICO")/GETPIVOTDATA("VALOR TOTAL POR ITEM GD",$C$83)</f>
        <v>0.78139050732166382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992313725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7298743.1918999981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2545270.8682999997</v>
      </c>
    </row>
    <row r="102" spans="3:4" hidden="1" x14ac:dyDescent="0.25">
      <c r="C102" s="9" t="s">
        <v>420</v>
      </c>
      <c r="D102" s="11">
        <v>7380722.4820999987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0.18135171492907373</v>
      </c>
    </row>
    <row r="202" spans="3:51" x14ac:dyDescent="0.25">
      <c r="C202" s="9" t="s">
        <v>279</v>
      </c>
      <c r="D202" s="13">
        <v>0.14064925510163392</v>
      </c>
      <c r="AY202" t="s">
        <v>390</v>
      </c>
    </row>
    <row r="203" spans="3:51" x14ac:dyDescent="0.25">
      <c r="C203" s="9" t="s">
        <v>39</v>
      </c>
      <c r="D203" s="13">
        <v>8.2970590116980075E-2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7.4282606759271813E-2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0.13615973350500191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9.7484236994730966E-2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0.18085353574471391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0.204361873990307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0.14913362456367704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0.1809091412307933</v>
      </c>
    </row>
    <row r="226" spans="3:4" hidden="1" x14ac:dyDescent="0.25">
      <c r="C226" s="9" t="s">
        <v>30</v>
      </c>
      <c r="D226" s="13">
        <v>0.18389036018463967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3.6424253002887595E-3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0.14352696338973323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-8.0239087557075761E-3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-8026639.811901927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993129414</v>
      </c>
      <c r="K456" s="7">
        <f>+J456/J457</f>
        <v>0.15095446329229367</v>
      </c>
      <c r="L456" s="5">
        <f>+L455-J456</f>
        <v>-720791040</v>
      </c>
      <c r="M456">
        <v>806388757</v>
      </c>
    </row>
    <row r="457" spans="2:44" x14ac:dyDescent="0.25">
      <c r="C457" s="9" t="s">
        <v>422</v>
      </c>
      <c r="D457" s="5">
        <v>957869984</v>
      </c>
      <c r="E457" s="5">
        <v>965636704.95469999</v>
      </c>
      <c r="F457" s="13">
        <v>-8.0431086710461841E-3</v>
      </c>
      <c r="G457" s="5">
        <v>-7766720.9547016621</v>
      </c>
      <c r="I457" s="19" t="s">
        <v>415</v>
      </c>
      <c r="J457" s="2">
        <v>6579000000</v>
      </c>
      <c r="K457" s="12">
        <v>1</v>
      </c>
      <c r="M457" s="5">
        <f>+J456-M456</f>
        <v>186740657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108.41116404336013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-483399400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188940333</v>
      </c>
      <c r="E463" s="5">
        <v>194671983.76310009</v>
      </c>
      <c r="F463" s="13">
        <v>-2.944260726327752E-2</v>
      </c>
      <c r="G463" s="5">
        <v>-5731650.7631000876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992313725</v>
      </c>
      <c r="E464" s="5">
        <v>1000340364.8118999</v>
      </c>
      <c r="F464" s="13">
        <v>-8.0239087557075761E-3</v>
      </c>
      <c r="G464" s="5">
        <v>-8026639.811901927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188940333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0.15095446329229367</v>
      </c>
      <c r="AH472" s="21">
        <f>+K457-AG472</f>
        <v>0.84904553670770633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0.15095446329229367</v>
      </c>
      <c r="AO545" s="59">
        <f>+AP545-AN545</f>
        <v>0.84904553670770633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8813791806.8652878</v>
      </c>
      <c r="D584" s="25">
        <v>10795216421.614902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0.60943660071761852</v>
      </c>
    </row>
    <row r="587" spans="3:44" x14ac:dyDescent="0.25">
      <c r="D587" s="5">
        <f>+GETPIVOTDATA(" PPTO TOTAL",$C$583)-J457</f>
        <v>4216216421.6149025</v>
      </c>
      <c r="E587" s="7">
        <f>+D587/GETPIVOTDATA(" PPTO TOTAL",$C$583)</f>
        <v>0.39056339928238148</v>
      </c>
    </row>
    <row r="588" spans="3:44" x14ac:dyDescent="0.25">
      <c r="C588" s="2">
        <f>+GETPIVOTDATA(" PROYECCION COMPRA",$C$583)-C586</f>
        <v>2273791806.8652878</v>
      </c>
      <c r="D588" s="2">
        <f>+GETPIVOTDATA(" PPTO TOTAL",$C$583)-GETPIVOTDATA(" PROYECCION COMPRA",$C$583)</f>
        <v>1981424614.7496147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3</v>
      </c>
      <c r="I128">
        <v>48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0.57831325301204817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35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6.8181818181818177E-2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108</v>
      </c>
      <c r="F129">
        <v>2</v>
      </c>
      <c r="G129">
        <v>85</v>
      </c>
      <c r="H129">
        <v>0</v>
      </c>
      <c r="I129">
        <v>48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0.84375</v>
      </c>
      <c r="M129" s="4">
        <f>IFERROR(AV_PLAN[[#This Row],[TERMINO REAL ACUMULADO]]/AV_PLAN[[#This Row],[TERMINO PLAN ACUMULADO]],"")</f>
        <v>0.56470588235294117</v>
      </c>
      <c r="N129">
        <f>+AV_PLAN[[#This Row],[PLAN ACUMULADO]]-AV_PLAN[[#This Row],[INICIO REAL ACUMULADO]]</f>
        <v>20</v>
      </c>
      <c r="O129">
        <f>+AV_PLAN[[#This Row],[TERMINO PLAN ACUMULADO]]-AV_PLAN[[#This Row],[TERMINO REAL ACUMULADO]]</f>
        <v>37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0.15340909090909091</v>
      </c>
      <c r="S129" s="7">
        <f>+AV_PLAN[[#This Row],[TERMINO PLAN ACUMULADO]]/$G$471</f>
        <v>0.12073863636363637</v>
      </c>
      <c r="T129" s="7">
        <f t="shared" si="3"/>
        <v>6.8181818181818177E-2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108</v>
      </c>
      <c r="F130">
        <v>2</v>
      </c>
      <c r="G130">
        <v>87</v>
      </c>
      <c r="H130">
        <v>0</v>
      </c>
      <c r="I130">
        <v>48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0.83076923076923082</v>
      </c>
      <c r="M130" s="4">
        <f>IFERROR(AV_PLAN[[#This Row],[TERMINO REAL ACUMULADO]]/AV_PLAN[[#This Row],[TERMINO PLAN ACUMULADO]],"")</f>
        <v>0.55172413793103448</v>
      </c>
      <c r="N130">
        <f>+AV_PLAN[[#This Row],[PLAN ACUMULADO]]-AV_PLAN[[#This Row],[INICIO REAL ACUMULADO]]</f>
        <v>22</v>
      </c>
      <c r="O130">
        <f>+AV_PLAN[[#This Row],[TERMINO PLAN ACUMULADO]]-AV_PLAN[[#This Row],[TERMINO REAL ACUMULADO]]</f>
        <v>39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0.15340909090909091</v>
      </c>
      <c r="S130" s="7">
        <f>+AV_PLAN[[#This Row],[TERMINO PLAN ACUMULADO]]/$G$471</f>
        <v>0.12357954545454546</v>
      </c>
      <c r="T130" s="7">
        <f t="shared" ref="T130:T193" si="5">IF(H130="",NA(),I130/$G$471)</f>
        <v>6.8181818181818177E-2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108</v>
      </c>
      <c r="F131">
        <v>1</v>
      </c>
      <c r="G131">
        <v>88</v>
      </c>
      <c r="H131">
        <v>0</v>
      </c>
      <c r="I131">
        <v>48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0.81203007518796988</v>
      </c>
      <c r="M131" s="4">
        <f>IFERROR(AV_PLAN[[#This Row],[TERMINO REAL ACUMULADO]]/AV_PLAN[[#This Row],[TERMINO PLAN ACUMULADO]],"")</f>
        <v>0.54545454545454541</v>
      </c>
      <c r="N131">
        <f>+AV_PLAN[[#This Row],[PLAN ACUMULADO]]-AV_PLAN[[#This Row],[INICIO REAL ACUMULADO]]</f>
        <v>25</v>
      </c>
      <c r="O131">
        <f>+AV_PLAN[[#This Row],[TERMINO PLAN ACUMULADO]]-AV_PLAN[[#This Row],[TERMINO REAL ACUMULADO]]</f>
        <v>40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0.15340909090909091</v>
      </c>
      <c r="S131" s="7">
        <f>+AV_PLAN[[#This Row],[TERMINO PLAN ACUMULADO]]/$G$471</f>
        <v>0.125</v>
      </c>
      <c r="T131" s="7">
        <f t="shared" si="5"/>
        <v>6.8181818181818177E-2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108</v>
      </c>
      <c r="F132">
        <v>1</v>
      </c>
      <c r="G132">
        <v>89</v>
      </c>
      <c r="H132">
        <v>0</v>
      </c>
      <c r="I132">
        <v>48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</v>
      </c>
      <c r="M132" s="4">
        <f>IFERROR(AV_PLAN[[#This Row],[TERMINO REAL ACUMULADO]]/AV_PLAN[[#This Row],[TERMINO PLAN ACUMULADO]],"")</f>
        <v>0.5393258426966292</v>
      </c>
      <c r="N132">
        <f>+AV_PLAN[[#This Row],[PLAN ACUMULADO]]-AV_PLAN[[#This Row],[INICIO REAL ACUMULADO]]</f>
        <v>27</v>
      </c>
      <c r="O132">
        <f>+AV_PLAN[[#This Row],[TERMINO PLAN ACUMULADO]]-AV_PLAN[[#This Row],[TERMINO REAL ACUMULADO]]</f>
        <v>41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0.15340909090909091</v>
      </c>
      <c r="S132" s="7">
        <f>+AV_PLAN[[#This Row],[TERMINO PLAN ACUMULADO]]/$G$471</f>
        <v>0.12642045454545456</v>
      </c>
      <c r="T132" s="7">
        <f t="shared" si="5"/>
        <v>6.8181818181818177E-2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108</v>
      </c>
      <c r="F133">
        <v>3</v>
      </c>
      <c r="G133">
        <v>92</v>
      </c>
      <c r="H133">
        <v>0</v>
      </c>
      <c r="I133">
        <v>48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</v>
      </c>
      <c r="M133" s="4">
        <f>IFERROR(AV_PLAN[[#This Row],[TERMINO REAL ACUMULADO]]/AV_PLAN[[#This Row],[TERMINO PLAN ACUMULADO]],"")</f>
        <v>0.52173913043478259</v>
      </c>
      <c r="N133">
        <f>+AV_PLAN[[#This Row],[PLAN ACUMULADO]]-AV_PLAN[[#This Row],[INICIO REAL ACUMULADO]]</f>
        <v>27</v>
      </c>
      <c r="O133">
        <f>+AV_PLAN[[#This Row],[TERMINO PLAN ACUMULADO]]-AV_PLAN[[#This Row],[TERMINO REAL ACUMULADO]]</f>
        <v>44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0.15340909090909091</v>
      </c>
      <c r="S133" s="7">
        <f>+AV_PLAN[[#This Row],[TERMINO PLAN ACUMULADO]]/$G$471</f>
        <v>0.13068181818181818</v>
      </c>
      <c r="T133" s="7">
        <f t="shared" si="5"/>
        <v>6.8181818181818177E-2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108</v>
      </c>
      <c r="F134">
        <v>1</v>
      </c>
      <c r="G134">
        <v>93</v>
      </c>
      <c r="H134">
        <v>0</v>
      </c>
      <c r="I134">
        <v>48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</v>
      </c>
      <c r="M134" s="4">
        <f>IFERROR(AV_PLAN[[#This Row],[TERMINO REAL ACUMULADO]]/AV_PLAN[[#This Row],[TERMINO PLAN ACUMULADO]],"")</f>
        <v>0.5161290322580645</v>
      </c>
      <c r="N134">
        <f>+AV_PLAN[[#This Row],[PLAN ACUMULADO]]-AV_PLAN[[#This Row],[INICIO REAL ACUMULADO]]</f>
        <v>27</v>
      </c>
      <c r="O134">
        <f>+AV_PLAN[[#This Row],[TERMINO PLAN ACUMULADO]]-AV_PLAN[[#This Row],[TERMINO REAL ACUMULADO]]</f>
        <v>45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0.15340909090909091</v>
      </c>
      <c r="S134" s="7">
        <f>+AV_PLAN[[#This Row],[TERMINO PLAN ACUMULADO]]/$G$471</f>
        <v>0.13210227272727273</v>
      </c>
      <c r="T134" s="7">
        <f t="shared" si="5"/>
        <v>6.8181818181818177E-2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108</v>
      </c>
      <c r="F135">
        <v>1</v>
      </c>
      <c r="G135">
        <v>94</v>
      </c>
      <c r="H135">
        <v>0</v>
      </c>
      <c r="I135">
        <v>48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0.78260869565217395</v>
      </c>
      <c r="M135" s="4">
        <f>IFERROR(AV_PLAN[[#This Row],[TERMINO REAL ACUMULADO]]/AV_PLAN[[#This Row],[TERMINO PLAN ACUMULADO]],"")</f>
        <v>0.51063829787234039</v>
      </c>
      <c r="N135">
        <f>+AV_PLAN[[#This Row],[PLAN ACUMULADO]]-AV_PLAN[[#This Row],[INICIO REAL ACUMULADO]]</f>
        <v>30</v>
      </c>
      <c r="O135">
        <f>+AV_PLAN[[#This Row],[TERMINO PLAN ACUMULADO]]-AV_PLAN[[#This Row],[TERMINO REAL ACUMULADO]]</f>
        <v>46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0.15340909090909091</v>
      </c>
      <c r="S135" s="7">
        <f>+AV_PLAN[[#This Row],[TERMINO PLAN ACUMULADO]]/$G$471</f>
        <v>0.13352272727272727</v>
      </c>
      <c r="T135" s="7">
        <f t="shared" si="5"/>
        <v>6.8181818181818177E-2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108</v>
      </c>
      <c r="F136">
        <v>1</v>
      </c>
      <c r="G136">
        <v>95</v>
      </c>
      <c r="H136">
        <v>0</v>
      </c>
      <c r="I136">
        <v>48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0.77142857142857146</v>
      </c>
      <c r="M136" s="4">
        <f>IFERROR(AV_PLAN[[#This Row],[TERMINO REAL ACUMULADO]]/AV_PLAN[[#This Row],[TERMINO PLAN ACUMULADO]],"")</f>
        <v>0.50526315789473686</v>
      </c>
      <c r="N136">
        <f>+AV_PLAN[[#This Row],[PLAN ACUMULADO]]-AV_PLAN[[#This Row],[INICIO REAL ACUMULADO]]</f>
        <v>32</v>
      </c>
      <c r="O136">
        <f>+AV_PLAN[[#This Row],[TERMINO PLAN ACUMULADO]]-AV_PLAN[[#This Row],[TERMINO REAL ACUMULADO]]</f>
        <v>47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0.15340909090909091</v>
      </c>
      <c r="S136" s="7">
        <f>+AV_PLAN[[#This Row],[TERMINO PLAN ACUMULADO]]/$G$471</f>
        <v>0.13494318181818182</v>
      </c>
      <c r="T136" s="7">
        <f t="shared" si="5"/>
        <v>6.8181818181818177E-2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108</v>
      </c>
      <c r="F137">
        <v>1</v>
      </c>
      <c r="G137">
        <v>96</v>
      </c>
      <c r="H137">
        <v>0</v>
      </c>
      <c r="I137">
        <v>48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0.75524475524475521</v>
      </c>
      <c r="M137" s="4">
        <f>IFERROR(AV_PLAN[[#This Row],[TERMINO REAL ACUMULADO]]/AV_PLAN[[#This Row],[TERMINO PLAN ACUMULADO]],"")</f>
        <v>0.5</v>
      </c>
      <c r="N137">
        <f>+AV_PLAN[[#This Row],[PLAN ACUMULADO]]-AV_PLAN[[#This Row],[INICIO REAL ACUMULADO]]</f>
        <v>35</v>
      </c>
      <c r="O137">
        <f>+AV_PLAN[[#This Row],[TERMINO PLAN ACUMULADO]]-AV_PLAN[[#This Row],[TERMINO REAL ACUMULADO]]</f>
        <v>48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0.15340909090909091</v>
      </c>
      <c r="S137" s="7">
        <f>+AV_PLAN[[#This Row],[TERMINO PLAN ACUMULADO]]/$G$471</f>
        <v>0.13636363636363635</v>
      </c>
      <c r="T137" s="7">
        <f t="shared" si="5"/>
        <v>6.8181818181818177E-2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108</v>
      </c>
      <c r="F138">
        <v>2</v>
      </c>
      <c r="G138">
        <v>98</v>
      </c>
      <c r="H138">
        <v>0</v>
      </c>
      <c r="I138">
        <v>48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0.7448275862068966</v>
      </c>
      <c r="M138" s="4">
        <f>IFERROR(AV_PLAN[[#This Row],[TERMINO REAL ACUMULADO]]/AV_PLAN[[#This Row],[TERMINO PLAN ACUMULADO]],"")</f>
        <v>0.48979591836734693</v>
      </c>
      <c r="N138">
        <f>+AV_PLAN[[#This Row],[PLAN ACUMULADO]]-AV_PLAN[[#This Row],[INICIO REAL ACUMULADO]]</f>
        <v>37</v>
      </c>
      <c r="O138">
        <f>+AV_PLAN[[#This Row],[TERMINO PLAN ACUMULADO]]-AV_PLAN[[#This Row],[TERMINO REAL ACUMULADO]]</f>
        <v>50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0.15340909090909091</v>
      </c>
      <c r="S138" s="7">
        <f>+AV_PLAN[[#This Row],[TERMINO PLAN ACUMULADO]]/$G$471</f>
        <v>0.13920454545454544</v>
      </c>
      <c r="T138" s="7">
        <f t="shared" si="5"/>
        <v>6.8181818181818177E-2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108</v>
      </c>
      <c r="F139">
        <v>2</v>
      </c>
      <c r="G139">
        <v>100</v>
      </c>
      <c r="H139">
        <v>0</v>
      </c>
      <c r="I139">
        <v>48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0.72972972972972971</v>
      </c>
      <c r="M139" s="4">
        <f>IFERROR(AV_PLAN[[#This Row],[TERMINO REAL ACUMULADO]]/AV_PLAN[[#This Row],[TERMINO PLAN ACUMULADO]],"")</f>
        <v>0.48</v>
      </c>
      <c r="N139">
        <f>+AV_PLAN[[#This Row],[PLAN ACUMULADO]]-AV_PLAN[[#This Row],[INICIO REAL ACUMULADO]]</f>
        <v>40</v>
      </c>
      <c r="O139">
        <f>+AV_PLAN[[#This Row],[TERMINO PLAN ACUMULADO]]-AV_PLAN[[#This Row],[TERMINO REAL ACUMULADO]]</f>
        <v>52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0.15340909090909091</v>
      </c>
      <c r="S139" s="7">
        <f>+AV_PLAN[[#This Row],[TERMINO PLAN ACUMULADO]]/$G$471</f>
        <v>0.14204545454545456</v>
      </c>
      <c r="T139" s="7">
        <f t="shared" si="5"/>
        <v>6.8181818181818177E-2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108</v>
      </c>
      <c r="F140">
        <v>2</v>
      </c>
      <c r="G140">
        <v>102</v>
      </c>
      <c r="H140">
        <v>0</v>
      </c>
      <c r="I140">
        <v>48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0.72972972972972971</v>
      </c>
      <c r="M140" s="4">
        <f>IFERROR(AV_PLAN[[#This Row],[TERMINO REAL ACUMULADO]]/AV_PLAN[[#This Row],[TERMINO PLAN ACUMULADO]],"")</f>
        <v>0.47058823529411764</v>
      </c>
      <c r="N140">
        <f>+AV_PLAN[[#This Row],[PLAN ACUMULADO]]-AV_PLAN[[#This Row],[INICIO REAL ACUMULADO]]</f>
        <v>40</v>
      </c>
      <c r="O140">
        <f>+AV_PLAN[[#This Row],[TERMINO PLAN ACUMULADO]]-AV_PLAN[[#This Row],[TERMINO REAL ACUMULADO]]</f>
        <v>54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0.15340909090909091</v>
      </c>
      <c r="S140" s="7">
        <f>+AV_PLAN[[#This Row],[TERMINO PLAN ACUMULADO]]/$G$471</f>
        <v>0.14488636363636365</v>
      </c>
      <c r="T140" s="7">
        <f t="shared" si="5"/>
        <v>6.8181818181818177E-2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108</v>
      </c>
      <c r="F141">
        <v>1</v>
      </c>
      <c r="G141">
        <v>103</v>
      </c>
      <c r="H141">
        <v>0</v>
      </c>
      <c r="I141">
        <v>48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0.72972972972972971</v>
      </c>
      <c r="M141" s="4">
        <f>IFERROR(AV_PLAN[[#This Row],[TERMINO REAL ACUMULADO]]/AV_PLAN[[#This Row],[TERMINO PLAN ACUMULADO]],"")</f>
        <v>0.46601941747572817</v>
      </c>
      <c r="N141">
        <f>+AV_PLAN[[#This Row],[PLAN ACUMULADO]]-AV_PLAN[[#This Row],[INICIO REAL ACUMULADO]]</f>
        <v>40</v>
      </c>
      <c r="O141">
        <f>+AV_PLAN[[#This Row],[TERMINO PLAN ACUMULADO]]-AV_PLAN[[#This Row],[TERMINO REAL ACUMULADO]]</f>
        <v>55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0.15340909090909091</v>
      </c>
      <c r="S141" s="7">
        <f>+AV_PLAN[[#This Row],[TERMINO PLAN ACUMULADO]]/$G$471</f>
        <v>0.14630681818181818</v>
      </c>
      <c r="T141" s="7">
        <f t="shared" si="5"/>
        <v>6.8181818181818177E-2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108</v>
      </c>
      <c r="F142">
        <v>2</v>
      </c>
      <c r="G142">
        <v>105</v>
      </c>
      <c r="H142">
        <v>0</v>
      </c>
      <c r="I142">
        <v>48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0.72</v>
      </c>
      <c r="M142" s="4">
        <f>IFERROR(AV_PLAN[[#This Row],[TERMINO REAL ACUMULADO]]/AV_PLAN[[#This Row],[TERMINO PLAN ACUMULADO]],"")</f>
        <v>0.45714285714285713</v>
      </c>
      <c r="N142">
        <f>+AV_PLAN[[#This Row],[PLAN ACUMULADO]]-AV_PLAN[[#This Row],[INICIO REAL ACUMULADO]]</f>
        <v>42</v>
      </c>
      <c r="O142">
        <f>+AV_PLAN[[#This Row],[TERMINO PLAN ACUMULADO]]-AV_PLAN[[#This Row],[TERMINO REAL ACUMULADO]]</f>
        <v>57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0.15340909090909091</v>
      </c>
      <c r="S142" s="7">
        <f>+AV_PLAN[[#This Row],[TERMINO PLAN ACUMULADO]]/$G$471</f>
        <v>0.14914772727272727</v>
      </c>
      <c r="T142" s="7">
        <f t="shared" si="5"/>
        <v>6.8181818181818177E-2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108</v>
      </c>
      <c r="F143">
        <v>2</v>
      </c>
      <c r="G143">
        <v>107</v>
      </c>
      <c r="H143">
        <v>0</v>
      </c>
      <c r="I143">
        <v>48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0.70588235294117652</v>
      </c>
      <c r="M143" s="4">
        <f>IFERROR(AV_PLAN[[#This Row],[TERMINO REAL ACUMULADO]]/AV_PLAN[[#This Row],[TERMINO PLAN ACUMULADO]],"")</f>
        <v>0.44859813084112149</v>
      </c>
      <c r="N143">
        <f>+AV_PLAN[[#This Row],[PLAN ACUMULADO]]-AV_PLAN[[#This Row],[INICIO REAL ACUMULADO]]</f>
        <v>45</v>
      </c>
      <c r="O143">
        <f>+AV_PLAN[[#This Row],[TERMINO PLAN ACUMULADO]]-AV_PLAN[[#This Row],[TERMINO REAL ACUMULADO]]</f>
        <v>59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0.15340909090909091</v>
      </c>
      <c r="S143" s="7">
        <f>+AV_PLAN[[#This Row],[TERMINO PLAN ACUMULADO]]/$G$471</f>
        <v>0.15198863636363635</v>
      </c>
      <c r="T143" s="7">
        <f t="shared" si="5"/>
        <v>6.8181818181818177E-2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108</v>
      </c>
      <c r="F144">
        <v>1</v>
      </c>
      <c r="G144">
        <v>108</v>
      </c>
      <c r="H144">
        <v>0</v>
      </c>
      <c r="I144">
        <v>48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0.6967741935483871</v>
      </c>
      <c r="M144" s="4">
        <f>IFERROR(AV_PLAN[[#This Row],[TERMINO REAL ACUMULADO]]/AV_PLAN[[#This Row],[TERMINO PLAN ACUMULADO]],"")</f>
        <v>0.44444444444444442</v>
      </c>
      <c r="N144">
        <f>+AV_PLAN[[#This Row],[PLAN ACUMULADO]]-AV_PLAN[[#This Row],[INICIO REAL ACUMULADO]]</f>
        <v>47</v>
      </c>
      <c r="O144">
        <f>+AV_PLAN[[#This Row],[TERMINO PLAN ACUMULADO]]-AV_PLAN[[#This Row],[TERMINO REAL ACUMULADO]]</f>
        <v>60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0.15340909090909091</v>
      </c>
      <c r="S144" s="7">
        <f>+AV_PLAN[[#This Row],[TERMINO PLAN ACUMULADO]]/$G$471</f>
        <v>0.15340909090909091</v>
      </c>
      <c r="T144" s="7">
        <f t="shared" si="5"/>
        <v>6.8181818181818177E-2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108</v>
      </c>
      <c r="F145">
        <v>2</v>
      </c>
      <c r="G145">
        <v>110</v>
      </c>
      <c r="H145">
        <v>0</v>
      </c>
      <c r="I145">
        <v>48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0.68354430379746833</v>
      </c>
      <c r="M145" s="4">
        <f>IFERROR(AV_PLAN[[#This Row],[TERMINO REAL ACUMULADO]]/AV_PLAN[[#This Row],[TERMINO PLAN ACUMULADO]],"")</f>
        <v>0.43636363636363634</v>
      </c>
      <c r="N145">
        <f>+AV_PLAN[[#This Row],[PLAN ACUMULADO]]-AV_PLAN[[#This Row],[INICIO REAL ACUMULADO]]</f>
        <v>50</v>
      </c>
      <c r="O145">
        <f>+AV_PLAN[[#This Row],[TERMINO PLAN ACUMULADO]]-AV_PLAN[[#This Row],[TERMINO REAL ACUMULADO]]</f>
        <v>62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0.15340909090909091</v>
      </c>
      <c r="S145" s="7">
        <f>+AV_PLAN[[#This Row],[TERMINO PLAN ACUMULADO]]/$G$471</f>
        <v>0.15625</v>
      </c>
      <c r="T145" s="7">
        <f t="shared" si="5"/>
        <v>6.8181818181818177E-2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108</v>
      </c>
      <c r="F146">
        <v>1</v>
      </c>
      <c r="G146">
        <v>111</v>
      </c>
      <c r="H146">
        <v>0</v>
      </c>
      <c r="I146">
        <v>48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0.67500000000000004</v>
      </c>
      <c r="M146" s="4">
        <f>IFERROR(AV_PLAN[[#This Row],[TERMINO REAL ACUMULADO]]/AV_PLAN[[#This Row],[TERMINO PLAN ACUMULADO]],"")</f>
        <v>0.43243243243243246</v>
      </c>
      <c r="N146">
        <f>+AV_PLAN[[#This Row],[PLAN ACUMULADO]]-AV_PLAN[[#This Row],[INICIO REAL ACUMULADO]]</f>
        <v>52</v>
      </c>
      <c r="O146">
        <f>+AV_PLAN[[#This Row],[TERMINO PLAN ACUMULADO]]-AV_PLAN[[#This Row],[TERMINO REAL ACUMULADO]]</f>
        <v>63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0.15340909090909091</v>
      </c>
      <c r="S146" s="7">
        <f>+AV_PLAN[[#This Row],[TERMINO PLAN ACUMULADO]]/$G$471</f>
        <v>0.15767045454545456</v>
      </c>
      <c r="T146" s="7">
        <f t="shared" si="5"/>
        <v>6.8181818181818177E-2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108</v>
      </c>
      <c r="F147">
        <v>1</v>
      </c>
      <c r="G147">
        <v>112</v>
      </c>
      <c r="H147">
        <v>0</v>
      </c>
      <c r="I147">
        <v>48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0.67500000000000004</v>
      </c>
      <c r="M147" s="4">
        <f>IFERROR(AV_PLAN[[#This Row],[TERMINO REAL ACUMULADO]]/AV_PLAN[[#This Row],[TERMINO PLAN ACUMULADO]],"")</f>
        <v>0.42857142857142855</v>
      </c>
      <c r="N147">
        <f>+AV_PLAN[[#This Row],[PLAN ACUMULADO]]-AV_PLAN[[#This Row],[INICIO REAL ACUMULADO]]</f>
        <v>52</v>
      </c>
      <c r="O147">
        <f>+AV_PLAN[[#This Row],[TERMINO PLAN ACUMULADO]]-AV_PLAN[[#This Row],[TERMINO REAL ACUMULADO]]</f>
        <v>64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0.15340909090909091</v>
      </c>
      <c r="S147" s="7">
        <f>+AV_PLAN[[#This Row],[TERMINO PLAN ACUMULADO]]/$G$471</f>
        <v>0.15909090909090909</v>
      </c>
      <c r="T147" s="7">
        <f t="shared" si="5"/>
        <v>6.8181818181818177E-2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108</v>
      </c>
      <c r="F148">
        <v>2</v>
      </c>
      <c r="G148">
        <v>114</v>
      </c>
      <c r="H148">
        <v>0</v>
      </c>
      <c r="I148">
        <v>48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0.67500000000000004</v>
      </c>
      <c r="M148" s="4">
        <f>IFERROR(AV_PLAN[[#This Row],[TERMINO REAL ACUMULADO]]/AV_PLAN[[#This Row],[TERMINO PLAN ACUMULADO]],"")</f>
        <v>0.42105263157894735</v>
      </c>
      <c r="N148">
        <f>+AV_PLAN[[#This Row],[PLAN ACUMULADO]]-AV_PLAN[[#This Row],[INICIO REAL ACUMULADO]]</f>
        <v>52</v>
      </c>
      <c r="O148">
        <f>+AV_PLAN[[#This Row],[TERMINO PLAN ACUMULADO]]-AV_PLAN[[#This Row],[TERMINO REAL ACUMULADO]]</f>
        <v>66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0.15340909090909091</v>
      </c>
      <c r="S148" s="7">
        <f>+AV_PLAN[[#This Row],[TERMINO PLAN ACUMULADO]]/$G$471</f>
        <v>0.16193181818181818</v>
      </c>
      <c r="T148" s="7">
        <f t="shared" si="5"/>
        <v>6.8181818181818177E-2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108</v>
      </c>
      <c r="F149">
        <v>2</v>
      </c>
      <c r="G149">
        <v>116</v>
      </c>
      <c r="H149">
        <v>0</v>
      </c>
      <c r="I149">
        <v>48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0.66257668711656437</v>
      </c>
      <c r="M149" s="4">
        <f>IFERROR(AV_PLAN[[#This Row],[TERMINO REAL ACUMULADO]]/AV_PLAN[[#This Row],[TERMINO PLAN ACUMULADO]],"")</f>
        <v>0.41379310344827586</v>
      </c>
      <c r="N149">
        <f>+AV_PLAN[[#This Row],[PLAN ACUMULADO]]-AV_PLAN[[#This Row],[INICIO REAL ACUMULADO]]</f>
        <v>55</v>
      </c>
      <c r="O149">
        <f>+AV_PLAN[[#This Row],[TERMINO PLAN ACUMULADO]]-AV_PLAN[[#This Row],[TERMINO REAL ACUMULADO]]</f>
        <v>68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0.15340909090909091</v>
      </c>
      <c r="S149" s="7">
        <f>+AV_PLAN[[#This Row],[TERMINO PLAN ACUMULADO]]/$G$471</f>
        <v>0.16477272727272727</v>
      </c>
      <c r="T149" s="7">
        <f t="shared" si="5"/>
        <v>6.8181818181818177E-2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108</v>
      </c>
      <c r="F150">
        <v>1</v>
      </c>
      <c r="G150">
        <v>117</v>
      </c>
      <c r="H150">
        <v>0</v>
      </c>
      <c r="I150">
        <v>48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0.65454545454545454</v>
      </c>
      <c r="M150" s="4">
        <f>IFERROR(AV_PLAN[[#This Row],[TERMINO REAL ACUMULADO]]/AV_PLAN[[#This Row],[TERMINO PLAN ACUMULADO]],"")</f>
        <v>0.41025641025641024</v>
      </c>
      <c r="N150">
        <f>+AV_PLAN[[#This Row],[PLAN ACUMULADO]]-AV_PLAN[[#This Row],[INICIO REAL ACUMULADO]]</f>
        <v>57</v>
      </c>
      <c r="O150">
        <f>+AV_PLAN[[#This Row],[TERMINO PLAN ACUMULADO]]-AV_PLAN[[#This Row],[TERMINO REAL ACUMULADO]]</f>
        <v>69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0.15340909090909091</v>
      </c>
      <c r="S150" s="7">
        <f>+AV_PLAN[[#This Row],[TERMINO PLAN ACUMULADO]]/$G$471</f>
        <v>0.16619318181818182</v>
      </c>
      <c r="T150" s="7">
        <f t="shared" si="5"/>
        <v>6.8181818181818177E-2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108</v>
      </c>
      <c r="F151">
        <v>1</v>
      </c>
      <c r="G151">
        <v>118</v>
      </c>
      <c r="H151">
        <v>0</v>
      </c>
      <c r="I151">
        <v>48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0.6428571428571429</v>
      </c>
      <c r="M151" s="4">
        <f>IFERROR(AV_PLAN[[#This Row],[TERMINO REAL ACUMULADO]]/AV_PLAN[[#This Row],[TERMINO PLAN ACUMULADO]],"")</f>
        <v>0.40677966101694918</v>
      </c>
      <c r="N151">
        <f>+AV_PLAN[[#This Row],[PLAN ACUMULADO]]-AV_PLAN[[#This Row],[INICIO REAL ACUMULADO]]</f>
        <v>60</v>
      </c>
      <c r="O151">
        <f>+AV_PLAN[[#This Row],[TERMINO PLAN ACUMULADO]]-AV_PLAN[[#This Row],[TERMINO REAL ACUMULADO]]</f>
        <v>70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0.15340909090909091</v>
      </c>
      <c r="S151" s="7">
        <f>+AV_PLAN[[#This Row],[TERMINO PLAN ACUMULADO]]/$G$471</f>
        <v>0.16761363636363635</v>
      </c>
      <c r="T151" s="7">
        <f t="shared" si="5"/>
        <v>6.8181818181818177E-2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108</v>
      </c>
      <c r="F152">
        <v>3</v>
      </c>
      <c r="G152">
        <v>121</v>
      </c>
      <c r="H152">
        <v>0</v>
      </c>
      <c r="I152">
        <v>48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0.63529411764705879</v>
      </c>
      <c r="M152" s="4">
        <f>IFERROR(AV_PLAN[[#This Row],[TERMINO REAL ACUMULADO]]/AV_PLAN[[#This Row],[TERMINO PLAN ACUMULADO]],"")</f>
        <v>0.39669421487603307</v>
      </c>
      <c r="N152">
        <f>+AV_PLAN[[#This Row],[PLAN ACUMULADO]]-AV_PLAN[[#This Row],[INICIO REAL ACUMULADO]]</f>
        <v>62</v>
      </c>
      <c r="O152">
        <f>+AV_PLAN[[#This Row],[TERMINO PLAN ACUMULADO]]-AV_PLAN[[#This Row],[TERMINO REAL ACUMULADO]]</f>
        <v>73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0.15340909090909091</v>
      </c>
      <c r="S152" s="7">
        <f>+AV_PLAN[[#This Row],[TERMINO PLAN ACUMULADO]]/$G$471</f>
        <v>0.171875</v>
      </c>
      <c r="T152" s="7">
        <f t="shared" si="5"/>
        <v>6.8181818181818177E-2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108</v>
      </c>
      <c r="F153">
        <v>3</v>
      </c>
      <c r="G153">
        <v>124</v>
      </c>
      <c r="H153">
        <v>0</v>
      </c>
      <c r="I153">
        <v>48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0.62427745664739887</v>
      </c>
      <c r="M153" s="4">
        <f>IFERROR(AV_PLAN[[#This Row],[TERMINO REAL ACUMULADO]]/AV_PLAN[[#This Row],[TERMINO PLAN ACUMULADO]],"")</f>
        <v>0.38709677419354838</v>
      </c>
      <c r="N153">
        <f>+AV_PLAN[[#This Row],[PLAN ACUMULADO]]-AV_PLAN[[#This Row],[INICIO REAL ACUMULADO]]</f>
        <v>65</v>
      </c>
      <c r="O153">
        <f>+AV_PLAN[[#This Row],[TERMINO PLAN ACUMULADO]]-AV_PLAN[[#This Row],[TERMINO REAL ACUMULADO]]</f>
        <v>76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0.15340909090909091</v>
      </c>
      <c r="S153" s="7">
        <f>+AV_PLAN[[#This Row],[TERMINO PLAN ACUMULADO]]/$G$471</f>
        <v>0.17613636363636365</v>
      </c>
      <c r="T153" s="7">
        <f t="shared" si="5"/>
        <v>6.8181818181818177E-2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108</v>
      </c>
      <c r="F154">
        <v>0</v>
      </c>
      <c r="G154">
        <v>124</v>
      </c>
      <c r="H154">
        <v>0</v>
      </c>
      <c r="I154">
        <v>48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0.62427745664739887</v>
      </c>
      <c r="M154" s="4">
        <f>IFERROR(AV_PLAN[[#This Row],[TERMINO REAL ACUMULADO]]/AV_PLAN[[#This Row],[TERMINO PLAN ACUMULADO]],"")</f>
        <v>0.38709677419354838</v>
      </c>
      <c r="N154">
        <f>+AV_PLAN[[#This Row],[PLAN ACUMULADO]]-AV_PLAN[[#This Row],[INICIO REAL ACUMULADO]]</f>
        <v>65</v>
      </c>
      <c r="O154">
        <f>+AV_PLAN[[#This Row],[TERMINO PLAN ACUMULADO]]-AV_PLAN[[#This Row],[TERMINO REAL ACUMULADO]]</f>
        <v>76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0.15340909090909091</v>
      </c>
      <c r="S154" s="7">
        <f>+AV_PLAN[[#This Row],[TERMINO PLAN ACUMULADO]]/$G$471</f>
        <v>0.17613636363636365</v>
      </c>
      <c r="T154" s="7">
        <f t="shared" si="5"/>
        <v>6.8181818181818177E-2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108</v>
      </c>
      <c r="F155">
        <v>1</v>
      </c>
      <c r="G155">
        <v>125</v>
      </c>
      <c r="H155">
        <v>0</v>
      </c>
      <c r="I155">
        <v>48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0.62427745664739887</v>
      </c>
      <c r="M155" s="4">
        <f>IFERROR(AV_PLAN[[#This Row],[TERMINO REAL ACUMULADO]]/AV_PLAN[[#This Row],[TERMINO PLAN ACUMULADO]],"")</f>
        <v>0.38400000000000001</v>
      </c>
      <c r="N155">
        <f>+AV_PLAN[[#This Row],[PLAN ACUMULADO]]-AV_PLAN[[#This Row],[INICIO REAL ACUMULADO]]</f>
        <v>65</v>
      </c>
      <c r="O155">
        <f>+AV_PLAN[[#This Row],[TERMINO PLAN ACUMULADO]]-AV_PLAN[[#This Row],[TERMINO REAL ACUMULADO]]</f>
        <v>77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0.15340909090909091</v>
      </c>
      <c r="S155" s="7">
        <f>+AV_PLAN[[#This Row],[TERMINO PLAN ACUMULADO]]/$G$471</f>
        <v>0.17755681818181818</v>
      </c>
      <c r="T155" s="7">
        <f t="shared" si="5"/>
        <v>6.8181818181818177E-2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108</v>
      </c>
      <c r="F156">
        <v>1</v>
      </c>
      <c r="G156">
        <v>126</v>
      </c>
      <c r="H156">
        <v>0</v>
      </c>
      <c r="I156">
        <v>48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0.6171428571428571</v>
      </c>
      <c r="M156" s="4">
        <f>IFERROR(AV_PLAN[[#This Row],[TERMINO REAL ACUMULADO]]/AV_PLAN[[#This Row],[TERMINO PLAN ACUMULADO]],"")</f>
        <v>0.38095238095238093</v>
      </c>
      <c r="N156">
        <f>+AV_PLAN[[#This Row],[PLAN ACUMULADO]]-AV_PLAN[[#This Row],[INICIO REAL ACUMULADO]]</f>
        <v>67</v>
      </c>
      <c r="O156">
        <f>+AV_PLAN[[#This Row],[TERMINO PLAN ACUMULADO]]-AV_PLAN[[#This Row],[TERMINO REAL ACUMULADO]]</f>
        <v>78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0.15340909090909091</v>
      </c>
      <c r="S156" s="7">
        <f>+AV_PLAN[[#This Row],[TERMINO PLAN ACUMULADO]]/$G$471</f>
        <v>0.17897727272727273</v>
      </c>
      <c r="T156" s="7">
        <f t="shared" si="5"/>
        <v>6.8181818181818177E-2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108</v>
      </c>
      <c r="F157">
        <v>3</v>
      </c>
      <c r="G157">
        <v>129</v>
      </c>
      <c r="H157">
        <v>0</v>
      </c>
      <c r="I157">
        <v>48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0.6067415730337079</v>
      </c>
      <c r="M157" s="4">
        <f>IFERROR(AV_PLAN[[#This Row],[TERMINO REAL ACUMULADO]]/AV_PLAN[[#This Row],[TERMINO PLAN ACUMULADO]],"")</f>
        <v>0.37209302325581395</v>
      </c>
      <c r="N157">
        <f>+AV_PLAN[[#This Row],[PLAN ACUMULADO]]-AV_PLAN[[#This Row],[INICIO REAL ACUMULADO]]</f>
        <v>70</v>
      </c>
      <c r="O157">
        <f>+AV_PLAN[[#This Row],[TERMINO PLAN ACUMULADO]]-AV_PLAN[[#This Row],[TERMINO REAL ACUMULADO]]</f>
        <v>81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0.15340909090909091</v>
      </c>
      <c r="S157" s="7">
        <f>+AV_PLAN[[#This Row],[TERMINO PLAN ACUMULADO]]/$G$471</f>
        <v>0.18323863636363635</v>
      </c>
      <c r="T157" s="7">
        <f t="shared" si="5"/>
        <v>6.8181818181818177E-2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108</v>
      </c>
      <c r="F158">
        <v>2</v>
      </c>
      <c r="G158">
        <v>131</v>
      </c>
      <c r="H158">
        <v>0</v>
      </c>
      <c r="I158">
        <v>48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</v>
      </c>
      <c r="M158" s="4">
        <f>IFERROR(AV_PLAN[[#This Row],[TERMINO REAL ACUMULADO]]/AV_PLAN[[#This Row],[TERMINO PLAN ACUMULADO]],"")</f>
        <v>0.36641221374045801</v>
      </c>
      <c r="N158">
        <f>+AV_PLAN[[#This Row],[PLAN ACUMULADO]]-AV_PLAN[[#This Row],[INICIO REAL ACUMULADO]]</f>
        <v>72</v>
      </c>
      <c r="O158">
        <f>+AV_PLAN[[#This Row],[TERMINO PLAN ACUMULADO]]-AV_PLAN[[#This Row],[TERMINO REAL ACUMULADO]]</f>
        <v>83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0.15340909090909091</v>
      </c>
      <c r="S158" s="7">
        <f>+AV_PLAN[[#This Row],[TERMINO PLAN ACUMULADO]]/$G$471</f>
        <v>0.18607954545454544</v>
      </c>
      <c r="T158" s="7">
        <f t="shared" si="5"/>
        <v>6.8181818181818177E-2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108</v>
      </c>
      <c r="F159">
        <v>2</v>
      </c>
      <c r="G159">
        <v>133</v>
      </c>
      <c r="H159">
        <v>0</v>
      </c>
      <c r="I159">
        <v>48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0.5901639344262295</v>
      </c>
      <c r="M159" s="4">
        <f>IFERROR(AV_PLAN[[#This Row],[TERMINO REAL ACUMULADO]]/AV_PLAN[[#This Row],[TERMINO PLAN ACUMULADO]],"")</f>
        <v>0.36090225563909772</v>
      </c>
      <c r="N159">
        <f>+AV_PLAN[[#This Row],[PLAN ACUMULADO]]-AV_PLAN[[#This Row],[INICIO REAL ACUMULADO]]</f>
        <v>75</v>
      </c>
      <c r="O159">
        <f>+AV_PLAN[[#This Row],[TERMINO PLAN ACUMULADO]]-AV_PLAN[[#This Row],[TERMINO REAL ACUMULADO]]</f>
        <v>85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0.15340909090909091</v>
      </c>
      <c r="S159" s="7">
        <f>+AV_PLAN[[#This Row],[TERMINO PLAN ACUMULADO]]/$G$471</f>
        <v>0.18892045454545456</v>
      </c>
      <c r="T159" s="7">
        <f t="shared" si="5"/>
        <v>6.8181818181818177E-2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108</v>
      </c>
      <c r="F160">
        <v>2</v>
      </c>
      <c r="G160">
        <v>135</v>
      </c>
      <c r="H160">
        <v>0</v>
      </c>
      <c r="I160">
        <v>48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0.58378378378378382</v>
      </c>
      <c r="M160" s="4">
        <f>IFERROR(AV_PLAN[[#This Row],[TERMINO REAL ACUMULADO]]/AV_PLAN[[#This Row],[TERMINO PLAN ACUMULADO]],"")</f>
        <v>0.35555555555555557</v>
      </c>
      <c r="N160">
        <f>+AV_PLAN[[#This Row],[PLAN ACUMULADO]]-AV_PLAN[[#This Row],[INICIO REAL ACUMULADO]]</f>
        <v>77</v>
      </c>
      <c r="O160">
        <f>+AV_PLAN[[#This Row],[TERMINO PLAN ACUMULADO]]-AV_PLAN[[#This Row],[TERMINO REAL ACUMULADO]]</f>
        <v>87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0.15340909090909091</v>
      </c>
      <c r="S160" s="7">
        <f>+AV_PLAN[[#This Row],[TERMINO PLAN ACUMULADO]]/$G$471</f>
        <v>0.19176136363636365</v>
      </c>
      <c r="T160" s="7">
        <f t="shared" si="5"/>
        <v>6.8181818181818177E-2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108</v>
      </c>
      <c r="F161">
        <v>1</v>
      </c>
      <c r="G161">
        <v>136</v>
      </c>
      <c r="H161">
        <v>0</v>
      </c>
      <c r="I161">
        <v>48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0.58378378378378382</v>
      </c>
      <c r="M161" s="4">
        <f>IFERROR(AV_PLAN[[#This Row],[TERMINO REAL ACUMULADO]]/AV_PLAN[[#This Row],[TERMINO PLAN ACUMULADO]],"")</f>
        <v>0.35294117647058826</v>
      </c>
      <c r="N161">
        <f>+AV_PLAN[[#This Row],[PLAN ACUMULADO]]-AV_PLAN[[#This Row],[INICIO REAL ACUMULADO]]</f>
        <v>77</v>
      </c>
      <c r="O161">
        <f>+AV_PLAN[[#This Row],[TERMINO PLAN ACUMULADO]]-AV_PLAN[[#This Row],[TERMINO REAL ACUMULADO]]</f>
        <v>88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0.15340909090909091</v>
      </c>
      <c r="S161" s="7">
        <f>+AV_PLAN[[#This Row],[TERMINO PLAN ACUMULADO]]/$G$471</f>
        <v>0.19318181818181818</v>
      </c>
      <c r="T161" s="7">
        <f t="shared" si="5"/>
        <v>6.8181818181818177E-2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108</v>
      </c>
      <c r="F162">
        <v>2</v>
      </c>
      <c r="G162">
        <v>138</v>
      </c>
      <c r="H162">
        <v>0</v>
      </c>
      <c r="I162">
        <v>48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0.58378378378378382</v>
      </c>
      <c r="M162" s="4">
        <f>IFERROR(AV_PLAN[[#This Row],[TERMINO REAL ACUMULADO]]/AV_PLAN[[#This Row],[TERMINO PLAN ACUMULADO]],"")</f>
        <v>0.34782608695652173</v>
      </c>
      <c r="N162">
        <f>+AV_PLAN[[#This Row],[PLAN ACUMULADO]]-AV_PLAN[[#This Row],[INICIO REAL ACUMULADO]]</f>
        <v>77</v>
      </c>
      <c r="O162">
        <f>+AV_PLAN[[#This Row],[TERMINO PLAN ACUMULADO]]-AV_PLAN[[#This Row],[TERMINO REAL ACUMULADO]]</f>
        <v>90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0.15340909090909091</v>
      </c>
      <c r="S162" s="7">
        <f>+AV_PLAN[[#This Row],[TERMINO PLAN ACUMULADO]]/$G$471</f>
        <v>0.19602272727272727</v>
      </c>
      <c r="T162" s="7">
        <f t="shared" si="5"/>
        <v>6.8181818181818177E-2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108</v>
      </c>
      <c r="F163">
        <v>2</v>
      </c>
      <c r="G163">
        <v>140</v>
      </c>
      <c r="H163">
        <v>0</v>
      </c>
      <c r="I163">
        <v>48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0.57446808510638303</v>
      </c>
      <c r="M163" s="4">
        <f>IFERROR(AV_PLAN[[#This Row],[TERMINO REAL ACUMULADO]]/AV_PLAN[[#This Row],[TERMINO PLAN ACUMULADO]],"")</f>
        <v>0.34285714285714286</v>
      </c>
      <c r="N163">
        <f>+AV_PLAN[[#This Row],[PLAN ACUMULADO]]-AV_PLAN[[#This Row],[INICIO REAL ACUMULADO]]</f>
        <v>80</v>
      </c>
      <c r="O163">
        <f>+AV_PLAN[[#This Row],[TERMINO PLAN ACUMULADO]]-AV_PLAN[[#This Row],[TERMINO REAL ACUMULADO]]</f>
        <v>92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0.15340909090909091</v>
      </c>
      <c r="S163" s="7">
        <f>+AV_PLAN[[#This Row],[TERMINO PLAN ACUMULADO]]/$G$471</f>
        <v>0.19886363636363635</v>
      </c>
      <c r="T163" s="7">
        <f t="shared" si="5"/>
        <v>6.8181818181818177E-2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108</v>
      </c>
      <c r="F164">
        <v>3</v>
      </c>
      <c r="G164">
        <v>143</v>
      </c>
      <c r="H164">
        <v>0</v>
      </c>
      <c r="I164">
        <v>48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0.56842105263157894</v>
      </c>
      <c r="M164" s="4">
        <f>IFERROR(AV_PLAN[[#This Row],[TERMINO REAL ACUMULADO]]/AV_PLAN[[#This Row],[TERMINO PLAN ACUMULADO]],"")</f>
        <v>0.33566433566433568</v>
      </c>
      <c r="N164">
        <f>+AV_PLAN[[#This Row],[PLAN ACUMULADO]]-AV_PLAN[[#This Row],[INICIO REAL ACUMULADO]]</f>
        <v>82</v>
      </c>
      <c r="O164">
        <f>+AV_PLAN[[#This Row],[TERMINO PLAN ACUMULADO]]-AV_PLAN[[#This Row],[TERMINO REAL ACUMULADO]]</f>
        <v>95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0.15340909090909091</v>
      </c>
      <c r="S164" s="7">
        <f>+AV_PLAN[[#This Row],[TERMINO PLAN ACUMULADO]]/$G$471</f>
        <v>0.203125</v>
      </c>
      <c r="T164" s="7">
        <f t="shared" si="5"/>
        <v>6.8181818181818177E-2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108</v>
      </c>
      <c r="F165">
        <v>2</v>
      </c>
      <c r="G165">
        <v>145</v>
      </c>
      <c r="H165">
        <v>0</v>
      </c>
      <c r="I165">
        <v>48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0.55958549222797926</v>
      </c>
      <c r="M165" s="4">
        <f>IFERROR(AV_PLAN[[#This Row],[TERMINO REAL ACUMULADO]]/AV_PLAN[[#This Row],[TERMINO PLAN ACUMULADO]],"")</f>
        <v>0.33103448275862069</v>
      </c>
      <c r="N165">
        <f>+AV_PLAN[[#This Row],[PLAN ACUMULADO]]-AV_PLAN[[#This Row],[INICIO REAL ACUMULADO]]</f>
        <v>85</v>
      </c>
      <c r="O165">
        <f>+AV_PLAN[[#This Row],[TERMINO PLAN ACUMULADO]]-AV_PLAN[[#This Row],[TERMINO REAL ACUMULADO]]</f>
        <v>97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0.15340909090909091</v>
      </c>
      <c r="S165" s="7">
        <f>+AV_PLAN[[#This Row],[TERMINO PLAN ACUMULADO]]/$G$471</f>
        <v>0.20596590909090909</v>
      </c>
      <c r="T165" s="7">
        <f t="shared" si="5"/>
        <v>6.8181818181818177E-2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108</v>
      </c>
      <c r="F166">
        <v>0</v>
      </c>
      <c r="G166">
        <v>145</v>
      </c>
      <c r="H166">
        <v>0</v>
      </c>
      <c r="I166">
        <v>48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0.55384615384615388</v>
      </c>
      <c r="M166" s="4">
        <f>IFERROR(AV_PLAN[[#This Row],[TERMINO REAL ACUMULADO]]/AV_PLAN[[#This Row],[TERMINO PLAN ACUMULADO]],"")</f>
        <v>0.33103448275862069</v>
      </c>
      <c r="N166">
        <f>+AV_PLAN[[#This Row],[PLAN ACUMULADO]]-AV_PLAN[[#This Row],[INICIO REAL ACUMULADO]]</f>
        <v>87</v>
      </c>
      <c r="O166">
        <f>+AV_PLAN[[#This Row],[TERMINO PLAN ACUMULADO]]-AV_PLAN[[#This Row],[TERMINO REAL ACUMULADO]]</f>
        <v>97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0.15340909090909091</v>
      </c>
      <c r="S166" s="7">
        <f>+AV_PLAN[[#This Row],[TERMINO PLAN ACUMULADO]]/$G$471</f>
        <v>0.20596590909090909</v>
      </c>
      <c r="T166" s="7">
        <f t="shared" si="5"/>
        <v>6.8181818181818177E-2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108</v>
      </c>
      <c r="F167">
        <v>3</v>
      </c>
      <c r="G167">
        <v>148</v>
      </c>
      <c r="H167">
        <v>0</v>
      </c>
      <c r="I167">
        <v>48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0.54545454545454541</v>
      </c>
      <c r="M167" s="4">
        <f>IFERROR(AV_PLAN[[#This Row],[TERMINO REAL ACUMULADO]]/AV_PLAN[[#This Row],[TERMINO PLAN ACUMULADO]],"")</f>
        <v>0.32432432432432434</v>
      </c>
      <c r="N167">
        <f>+AV_PLAN[[#This Row],[PLAN ACUMULADO]]-AV_PLAN[[#This Row],[INICIO REAL ACUMULADO]]</f>
        <v>90</v>
      </c>
      <c r="O167">
        <f>+AV_PLAN[[#This Row],[TERMINO PLAN ACUMULADO]]-AV_PLAN[[#This Row],[TERMINO REAL ACUMULADO]]</f>
        <v>100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0.15340909090909091</v>
      </c>
      <c r="S167" s="7">
        <f>+AV_PLAN[[#This Row],[TERMINO PLAN ACUMULADO]]/$G$471</f>
        <v>0.21022727272727273</v>
      </c>
      <c r="T167" s="7">
        <f t="shared" si="5"/>
        <v>6.8181818181818177E-2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108</v>
      </c>
      <c r="F168">
        <v>2</v>
      </c>
      <c r="G168">
        <v>150</v>
      </c>
      <c r="H168">
        <v>0</v>
      </c>
      <c r="I168">
        <v>48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0.54545454545454541</v>
      </c>
      <c r="M168" s="4">
        <f>IFERROR(AV_PLAN[[#This Row],[TERMINO REAL ACUMULADO]]/AV_PLAN[[#This Row],[TERMINO PLAN ACUMULADO]],"")</f>
        <v>0.32</v>
      </c>
      <c r="N168">
        <f>+AV_PLAN[[#This Row],[PLAN ACUMULADO]]-AV_PLAN[[#This Row],[INICIO REAL ACUMULADO]]</f>
        <v>90</v>
      </c>
      <c r="O168">
        <f>+AV_PLAN[[#This Row],[TERMINO PLAN ACUMULADO]]-AV_PLAN[[#This Row],[TERMINO REAL ACUMULADO]]</f>
        <v>102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0.15340909090909091</v>
      </c>
      <c r="S168" s="7">
        <f>+AV_PLAN[[#This Row],[TERMINO PLAN ACUMULADO]]/$G$471</f>
        <v>0.21306818181818182</v>
      </c>
      <c r="T168" s="7">
        <f t="shared" si="5"/>
        <v>6.8181818181818177E-2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108</v>
      </c>
      <c r="F169">
        <v>3</v>
      </c>
      <c r="G169">
        <v>153</v>
      </c>
      <c r="H169">
        <v>0</v>
      </c>
      <c r="I169">
        <v>48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0.54545454545454541</v>
      </c>
      <c r="M169" s="4">
        <f>IFERROR(AV_PLAN[[#This Row],[TERMINO REAL ACUMULADO]]/AV_PLAN[[#This Row],[TERMINO PLAN ACUMULADO]],"")</f>
        <v>0.31372549019607843</v>
      </c>
      <c r="N169">
        <f>+AV_PLAN[[#This Row],[PLAN ACUMULADO]]-AV_PLAN[[#This Row],[INICIO REAL ACUMULADO]]</f>
        <v>90</v>
      </c>
      <c r="O169">
        <f>+AV_PLAN[[#This Row],[TERMINO PLAN ACUMULADO]]-AV_PLAN[[#This Row],[TERMINO REAL ACUMULADO]]</f>
        <v>105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0.15340909090909091</v>
      </c>
      <c r="S169" s="7">
        <f>+AV_PLAN[[#This Row],[TERMINO PLAN ACUMULADO]]/$G$471</f>
        <v>0.21732954545454544</v>
      </c>
      <c r="T169" s="7">
        <f t="shared" si="5"/>
        <v>6.8181818181818177E-2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108</v>
      </c>
      <c r="F170">
        <v>2</v>
      </c>
      <c r="G170">
        <v>155</v>
      </c>
      <c r="H170">
        <v>0</v>
      </c>
      <c r="I170">
        <v>48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0.54</v>
      </c>
      <c r="M170" s="4">
        <f>IFERROR(AV_PLAN[[#This Row],[TERMINO REAL ACUMULADO]]/AV_PLAN[[#This Row],[TERMINO PLAN ACUMULADO]],"")</f>
        <v>0.30967741935483872</v>
      </c>
      <c r="N170">
        <f>+AV_PLAN[[#This Row],[PLAN ACUMULADO]]-AV_PLAN[[#This Row],[INICIO REAL ACUMULADO]]</f>
        <v>92</v>
      </c>
      <c r="O170">
        <f>+AV_PLAN[[#This Row],[TERMINO PLAN ACUMULADO]]-AV_PLAN[[#This Row],[TERMINO REAL ACUMULADO]]</f>
        <v>107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0.15340909090909091</v>
      </c>
      <c r="S170" s="7">
        <f>+AV_PLAN[[#This Row],[TERMINO PLAN ACUMULADO]]/$G$471</f>
        <v>0.22017045454545456</v>
      </c>
      <c r="T170" s="7">
        <f t="shared" si="5"/>
        <v>6.8181818181818177E-2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108</v>
      </c>
      <c r="F171">
        <v>3</v>
      </c>
      <c r="G171">
        <v>158</v>
      </c>
      <c r="H171">
        <v>0</v>
      </c>
      <c r="I171">
        <v>48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0.53201970443349755</v>
      </c>
      <c r="M171" s="4">
        <f>IFERROR(AV_PLAN[[#This Row],[TERMINO REAL ACUMULADO]]/AV_PLAN[[#This Row],[TERMINO PLAN ACUMULADO]],"")</f>
        <v>0.30379746835443039</v>
      </c>
      <c r="N171">
        <f>+AV_PLAN[[#This Row],[PLAN ACUMULADO]]-AV_PLAN[[#This Row],[INICIO REAL ACUMULADO]]</f>
        <v>95</v>
      </c>
      <c r="O171">
        <f>+AV_PLAN[[#This Row],[TERMINO PLAN ACUMULADO]]-AV_PLAN[[#This Row],[TERMINO REAL ACUMULADO]]</f>
        <v>110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0.15340909090909091</v>
      </c>
      <c r="S171" s="7">
        <f>+AV_PLAN[[#This Row],[TERMINO PLAN ACUMULADO]]/$G$471</f>
        <v>0.22443181818181818</v>
      </c>
      <c r="T171" s="7">
        <f t="shared" si="5"/>
        <v>6.8181818181818177E-2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108</v>
      </c>
      <c r="F172">
        <v>1</v>
      </c>
      <c r="G172">
        <v>159</v>
      </c>
      <c r="H172">
        <v>0</v>
      </c>
      <c r="I172">
        <v>48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0.52682926829268295</v>
      </c>
      <c r="M172" s="4">
        <f>IFERROR(AV_PLAN[[#This Row],[TERMINO REAL ACUMULADO]]/AV_PLAN[[#This Row],[TERMINO PLAN ACUMULADO]],"")</f>
        <v>0.30188679245283018</v>
      </c>
      <c r="N172">
        <f>+AV_PLAN[[#This Row],[PLAN ACUMULADO]]-AV_PLAN[[#This Row],[INICIO REAL ACUMULADO]]</f>
        <v>97</v>
      </c>
      <c r="O172">
        <f>+AV_PLAN[[#This Row],[TERMINO PLAN ACUMULADO]]-AV_PLAN[[#This Row],[TERMINO REAL ACUMULADO]]</f>
        <v>111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0.15340909090909091</v>
      </c>
      <c r="S172" s="7">
        <f>+AV_PLAN[[#This Row],[TERMINO PLAN ACUMULADO]]/$G$471</f>
        <v>0.22585227272727273</v>
      </c>
      <c r="T172" s="7">
        <f t="shared" si="5"/>
        <v>6.8181818181818177E-2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108</v>
      </c>
      <c r="F173">
        <v>2</v>
      </c>
      <c r="G173">
        <v>161</v>
      </c>
      <c r="H173">
        <v>0</v>
      </c>
      <c r="I173">
        <v>48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0.51923076923076927</v>
      </c>
      <c r="M173" s="4">
        <f>IFERROR(AV_PLAN[[#This Row],[TERMINO REAL ACUMULADO]]/AV_PLAN[[#This Row],[TERMINO PLAN ACUMULADO]],"")</f>
        <v>0.29813664596273293</v>
      </c>
      <c r="N173">
        <f>+AV_PLAN[[#This Row],[PLAN ACUMULADO]]-AV_PLAN[[#This Row],[INICIO REAL ACUMULADO]]</f>
        <v>100</v>
      </c>
      <c r="O173">
        <f>+AV_PLAN[[#This Row],[TERMINO PLAN ACUMULADO]]-AV_PLAN[[#This Row],[TERMINO REAL ACUMULADO]]</f>
        <v>113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0.15340909090909091</v>
      </c>
      <c r="S173" s="7">
        <f>+AV_PLAN[[#This Row],[TERMINO PLAN ACUMULADO]]/$G$471</f>
        <v>0.22869318181818182</v>
      </c>
      <c r="T173" s="7">
        <f t="shared" si="5"/>
        <v>6.8181818181818177E-2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108</v>
      </c>
      <c r="F174">
        <v>1</v>
      </c>
      <c r="G174">
        <v>162</v>
      </c>
      <c r="H174">
        <v>0</v>
      </c>
      <c r="I174">
        <v>48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0.51428571428571423</v>
      </c>
      <c r="M174" s="4">
        <f>IFERROR(AV_PLAN[[#This Row],[TERMINO REAL ACUMULADO]]/AV_PLAN[[#This Row],[TERMINO PLAN ACUMULADO]],"")</f>
        <v>0.29629629629629628</v>
      </c>
      <c r="N174">
        <f>+AV_PLAN[[#This Row],[PLAN ACUMULADO]]-AV_PLAN[[#This Row],[INICIO REAL ACUMULADO]]</f>
        <v>102</v>
      </c>
      <c r="O174">
        <f>+AV_PLAN[[#This Row],[TERMINO PLAN ACUMULADO]]-AV_PLAN[[#This Row],[TERMINO REAL ACUMULADO]]</f>
        <v>114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0.15340909090909091</v>
      </c>
      <c r="S174" s="7">
        <f>+AV_PLAN[[#This Row],[TERMINO PLAN ACUMULADO]]/$G$471</f>
        <v>0.23011363636363635</v>
      </c>
      <c r="T174" s="7">
        <f t="shared" si="5"/>
        <v>6.8181818181818177E-2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108</v>
      </c>
      <c r="F175">
        <v>1</v>
      </c>
      <c r="G175">
        <v>163</v>
      </c>
      <c r="H175">
        <v>0</v>
      </c>
      <c r="I175">
        <v>48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0.51428571428571423</v>
      </c>
      <c r="M175" s="4">
        <f>IFERROR(AV_PLAN[[#This Row],[TERMINO REAL ACUMULADO]]/AV_PLAN[[#This Row],[TERMINO PLAN ACUMULADO]],"")</f>
        <v>0.29447852760736198</v>
      </c>
      <c r="N175">
        <f>+AV_PLAN[[#This Row],[PLAN ACUMULADO]]-AV_PLAN[[#This Row],[INICIO REAL ACUMULADO]]</f>
        <v>102</v>
      </c>
      <c r="O175">
        <f>+AV_PLAN[[#This Row],[TERMINO PLAN ACUMULADO]]-AV_PLAN[[#This Row],[TERMINO REAL ACUMULADO]]</f>
        <v>115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0.15340909090909091</v>
      </c>
      <c r="S175" s="7">
        <f>+AV_PLAN[[#This Row],[TERMINO PLAN ACUMULADO]]/$G$471</f>
        <v>0.23153409090909091</v>
      </c>
      <c r="T175" s="7">
        <f t="shared" si="5"/>
        <v>6.8181818181818177E-2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108</v>
      </c>
      <c r="F176">
        <v>2</v>
      </c>
      <c r="G176">
        <v>165</v>
      </c>
      <c r="H176">
        <v>0</v>
      </c>
      <c r="I176">
        <v>48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0.51428571428571423</v>
      </c>
      <c r="M176" s="4">
        <f>IFERROR(AV_PLAN[[#This Row],[TERMINO REAL ACUMULADO]]/AV_PLAN[[#This Row],[TERMINO PLAN ACUMULADO]],"")</f>
        <v>0.29090909090909089</v>
      </c>
      <c r="N176">
        <f>+AV_PLAN[[#This Row],[PLAN ACUMULADO]]-AV_PLAN[[#This Row],[INICIO REAL ACUMULADO]]</f>
        <v>102</v>
      </c>
      <c r="O176">
        <f>+AV_PLAN[[#This Row],[TERMINO PLAN ACUMULADO]]-AV_PLAN[[#This Row],[TERMINO REAL ACUMULADO]]</f>
        <v>117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0.15340909090909091</v>
      </c>
      <c r="S176" s="7">
        <f>+AV_PLAN[[#This Row],[TERMINO PLAN ACUMULADO]]/$G$471</f>
        <v>0.234375</v>
      </c>
      <c r="T176" s="7">
        <f t="shared" si="5"/>
        <v>6.8181818181818177E-2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108</v>
      </c>
      <c r="F177">
        <v>3</v>
      </c>
      <c r="G177">
        <v>168</v>
      </c>
      <c r="H177">
        <v>0</v>
      </c>
      <c r="I177">
        <v>48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0.50704225352112675</v>
      </c>
      <c r="M177" s="4">
        <f>IFERROR(AV_PLAN[[#This Row],[TERMINO REAL ACUMULADO]]/AV_PLAN[[#This Row],[TERMINO PLAN ACUMULADO]],"")</f>
        <v>0.2857142857142857</v>
      </c>
      <c r="N177">
        <f>+AV_PLAN[[#This Row],[PLAN ACUMULADO]]-AV_PLAN[[#This Row],[INICIO REAL ACUMULADO]]</f>
        <v>105</v>
      </c>
      <c r="O177">
        <f>+AV_PLAN[[#This Row],[TERMINO PLAN ACUMULADO]]-AV_PLAN[[#This Row],[TERMINO REAL ACUMULADO]]</f>
        <v>120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0.15340909090909091</v>
      </c>
      <c r="S177" s="7">
        <f>+AV_PLAN[[#This Row],[TERMINO PLAN ACUMULADO]]/$G$471</f>
        <v>0.23863636363636365</v>
      </c>
      <c r="T177" s="7">
        <f t="shared" si="5"/>
        <v>6.8181818181818177E-2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108</v>
      </c>
      <c r="F178">
        <v>2</v>
      </c>
      <c r="G178">
        <v>170</v>
      </c>
      <c r="H178">
        <v>0</v>
      </c>
      <c r="I178">
        <v>48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0.50232558139534889</v>
      </c>
      <c r="M178" s="4">
        <f>IFERROR(AV_PLAN[[#This Row],[TERMINO REAL ACUMULADO]]/AV_PLAN[[#This Row],[TERMINO PLAN ACUMULADO]],"")</f>
        <v>0.28235294117647058</v>
      </c>
      <c r="N178">
        <f>+AV_PLAN[[#This Row],[PLAN ACUMULADO]]-AV_PLAN[[#This Row],[INICIO REAL ACUMULADO]]</f>
        <v>107</v>
      </c>
      <c r="O178">
        <f>+AV_PLAN[[#This Row],[TERMINO PLAN ACUMULADO]]-AV_PLAN[[#This Row],[TERMINO REAL ACUMULADO]]</f>
        <v>122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0.15340909090909091</v>
      </c>
      <c r="S178" s="7">
        <f>+AV_PLAN[[#This Row],[TERMINO PLAN ACUMULADO]]/$G$471</f>
        <v>0.24147727272727273</v>
      </c>
      <c r="T178" s="7">
        <f t="shared" si="5"/>
        <v>6.8181818181818177E-2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108</v>
      </c>
      <c r="F179">
        <v>3</v>
      </c>
      <c r="G179">
        <v>173</v>
      </c>
      <c r="H179">
        <v>0</v>
      </c>
      <c r="I179">
        <v>48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0.49541284403669728</v>
      </c>
      <c r="M179" s="4">
        <f>IFERROR(AV_PLAN[[#This Row],[TERMINO REAL ACUMULADO]]/AV_PLAN[[#This Row],[TERMINO PLAN ACUMULADO]],"")</f>
        <v>0.2774566473988439</v>
      </c>
      <c r="N179">
        <f>+AV_PLAN[[#This Row],[PLAN ACUMULADO]]-AV_PLAN[[#This Row],[INICIO REAL ACUMULADO]]</f>
        <v>110</v>
      </c>
      <c r="O179">
        <f>+AV_PLAN[[#This Row],[TERMINO PLAN ACUMULADO]]-AV_PLAN[[#This Row],[TERMINO REAL ACUMULADO]]</f>
        <v>125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0.15340909090909091</v>
      </c>
      <c r="S179" s="7">
        <f>+AV_PLAN[[#This Row],[TERMINO PLAN ACUMULADO]]/$G$471</f>
        <v>0.24573863636363635</v>
      </c>
      <c r="T179" s="7">
        <f t="shared" si="5"/>
        <v>6.8181818181818177E-2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108</v>
      </c>
      <c r="F180">
        <v>2</v>
      </c>
      <c r="G180">
        <v>175</v>
      </c>
      <c r="H180">
        <v>0</v>
      </c>
      <c r="I180">
        <v>48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0.49090909090909091</v>
      </c>
      <c r="M180" s="4">
        <f>IFERROR(AV_PLAN[[#This Row],[TERMINO REAL ACUMULADO]]/AV_PLAN[[#This Row],[TERMINO PLAN ACUMULADO]],"")</f>
        <v>0.2742857142857143</v>
      </c>
      <c r="N180">
        <f>+AV_PLAN[[#This Row],[PLAN ACUMULADO]]-AV_PLAN[[#This Row],[INICIO REAL ACUMULADO]]</f>
        <v>112</v>
      </c>
      <c r="O180">
        <f>+AV_PLAN[[#This Row],[TERMINO PLAN ACUMULADO]]-AV_PLAN[[#This Row],[TERMINO REAL ACUMULADO]]</f>
        <v>127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0.15340909090909091</v>
      </c>
      <c r="S180" s="7">
        <f>+AV_PLAN[[#This Row],[TERMINO PLAN ACUMULADO]]/$G$471</f>
        <v>0.24857954545454544</v>
      </c>
      <c r="T180" s="7">
        <f t="shared" si="5"/>
        <v>6.8181818181818177E-2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108</v>
      </c>
      <c r="F181">
        <v>2</v>
      </c>
      <c r="G181">
        <v>177</v>
      </c>
      <c r="H181">
        <v>0</v>
      </c>
      <c r="I181">
        <v>48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0.48430493273542602</v>
      </c>
      <c r="M181" s="4">
        <f>IFERROR(AV_PLAN[[#This Row],[TERMINO REAL ACUMULADO]]/AV_PLAN[[#This Row],[TERMINO PLAN ACUMULADO]],"")</f>
        <v>0.2711864406779661</v>
      </c>
      <c r="N181">
        <f>+AV_PLAN[[#This Row],[PLAN ACUMULADO]]-AV_PLAN[[#This Row],[INICIO REAL ACUMULADO]]</f>
        <v>115</v>
      </c>
      <c r="O181">
        <f>+AV_PLAN[[#This Row],[TERMINO PLAN ACUMULADO]]-AV_PLAN[[#This Row],[TERMINO REAL ACUMULADO]]</f>
        <v>129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0.15340909090909091</v>
      </c>
      <c r="S181" s="7">
        <f>+AV_PLAN[[#This Row],[TERMINO PLAN ACUMULADO]]/$G$471</f>
        <v>0.25142045454545453</v>
      </c>
      <c r="T181" s="7">
        <f t="shared" si="5"/>
        <v>6.8181818181818177E-2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108</v>
      </c>
      <c r="F182">
        <v>1</v>
      </c>
      <c r="G182">
        <v>178</v>
      </c>
      <c r="H182">
        <v>0</v>
      </c>
      <c r="I182">
        <v>48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0.48430493273542602</v>
      </c>
      <c r="M182" s="4">
        <f>IFERROR(AV_PLAN[[#This Row],[TERMINO REAL ACUMULADO]]/AV_PLAN[[#This Row],[TERMINO PLAN ACUMULADO]],"")</f>
        <v>0.2696629213483146</v>
      </c>
      <c r="N182">
        <f>+AV_PLAN[[#This Row],[PLAN ACUMULADO]]-AV_PLAN[[#This Row],[INICIO REAL ACUMULADO]]</f>
        <v>115</v>
      </c>
      <c r="O182">
        <f>+AV_PLAN[[#This Row],[TERMINO PLAN ACUMULADO]]-AV_PLAN[[#This Row],[TERMINO REAL ACUMULADO]]</f>
        <v>130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0.15340909090909091</v>
      </c>
      <c r="S182" s="7">
        <f>+AV_PLAN[[#This Row],[TERMINO PLAN ACUMULADO]]/$G$471</f>
        <v>0.25284090909090912</v>
      </c>
      <c r="T182" s="7">
        <f t="shared" si="5"/>
        <v>6.8181818181818177E-2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108</v>
      </c>
      <c r="F183">
        <v>2</v>
      </c>
      <c r="G183">
        <v>180</v>
      </c>
      <c r="H183">
        <v>0</v>
      </c>
      <c r="I183">
        <v>48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0.48430493273542602</v>
      </c>
      <c r="M183" s="4">
        <f>IFERROR(AV_PLAN[[#This Row],[TERMINO REAL ACUMULADO]]/AV_PLAN[[#This Row],[TERMINO PLAN ACUMULADO]],"")</f>
        <v>0.26666666666666666</v>
      </c>
      <c r="N183">
        <f>+AV_PLAN[[#This Row],[PLAN ACUMULADO]]-AV_PLAN[[#This Row],[INICIO REAL ACUMULADO]]</f>
        <v>115</v>
      </c>
      <c r="O183">
        <f>+AV_PLAN[[#This Row],[TERMINO PLAN ACUMULADO]]-AV_PLAN[[#This Row],[TERMINO REAL ACUMULADO]]</f>
        <v>132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0.15340909090909091</v>
      </c>
      <c r="S183" s="7">
        <f>+AV_PLAN[[#This Row],[TERMINO PLAN ACUMULADO]]/$G$471</f>
        <v>0.25568181818181818</v>
      </c>
      <c r="T183" s="7">
        <f t="shared" si="5"/>
        <v>6.8181818181818177E-2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108</v>
      </c>
      <c r="F184">
        <v>1</v>
      </c>
      <c r="G184">
        <v>181</v>
      </c>
      <c r="H184">
        <v>0</v>
      </c>
      <c r="I184">
        <v>48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0.48</v>
      </c>
      <c r="M184" s="4">
        <f>IFERROR(AV_PLAN[[#This Row],[TERMINO REAL ACUMULADO]]/AV_PLAN[[#This Row],[TERMINO PLAN ACUMULADO]],"")</f>
        <v>0.26519337016574585</v>
      </c>
      <c r="N184">
        <f>+AV_PLAN[[#This Row],[PLAN ACUMULADO]]-AV_PLAN[[#This Row],[INICIO REAL ACUMULADO]]</f>
        <v>117</v>
      </c>
      <c r="O184">
        <f>+AV_PLAN[[#This Row],[TERMINO PLAN ACUMULADO]]-AV_PLAN[[#This Row],[TERMINO REAL ACUMULADO]]</f>
        <v>133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0.15340909090909091</v>
      </c>
      <c r="S184" s="7">
        <f>+AV_PLAN[[#This Row],[TERMINO PLAN ACUMULADO]]/$G$471</f>
        <v>0.25710227272727271</v>
      </c>
      <c r="T184" s="7">
        <f t="shared" si="5"/>
        <v>6.8181818181818177E-2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108</v>
      </c>
      <c r="F185">
        <v>2</v>
      </c>
      <c r="G185">
        <v>183</v>
      </c>
      <c r="H185">
        <v>0</v>
      </c>
      <c r="I185">
        <v>48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0.47368421052631576</v>
      </c>
      <c r="M185" s="4">
        <f>IFERROR(AV_PLAN[[#This Row],[TERMINO REAL ACUMULADO]]/AV_PLAN[[#This Row],[TERMINO PLAN ACUMULADO]],"")</f>
        <v>0.26229508196721313</v>
      </c>
      <c r="N185">
        <f>+AV_PLAN[[#This Row],[PLAN ACUMULADO]]-AV_PLAN[[#This Row],[INICIO REAL ACUMULADO]]</f>
        <v>120</v>
      </c>
      <c r="O185">
        <f>+AV_PLAN[[#This Row],[TERMINO PLAN ACUMULADO]]-AV_PLAN[[#This Row],[TERMINO REAL ACUMULADO]]</f>
        <v>135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0.15340909090909091</v>
      </c>
      <c r="S185" s="7">
        <f>+AV_PLAN[[#This Row],[TERMINO PLAN ACUMULADO]]/$G$471</f>
        <v>0.25994318181818182</v>
      </c>
      <c r="T185" s="7">
        <f t="shared" si="5"/>
        <v>6.8181818181818177E-2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108</v>
      </c>
      <c r="F186">
        <v>2</v>
      </c>
      <c r="G186">
        <v>185</v>
      </c>
      <c r="H186">
        <v>0</v>
      </c>
      <c r="I186">
        <v>48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0.46956521739130436</v>
      </c>
      <c r="M186" s="4">
        <f>IFERROR(AV_PLAN[[#This Row],[TERMINO REAL ACUMULADO]]/AV_PLAN[[#This Row],[TERMINO PLAN ACUMULADO]],"")</f>
        <v>0.25945945945945947</v>
      </c>
      <c r="N186">
        <f>+AV_PLAN[[#This Row],[PLAN ACUMULADO]]-AV_PLAN[[#This Row],[INICIO REAL ACUMULADO]]</f>
        <v>122</v>
      </c>
      <c r="O186">
        <f>+AV_PLAN[[#This Row],[TERMINO PLAN ACUMULADO]]-AV_PLAN[[#This Row],[TERMINO REAL ACUMULADO]]</f>
        <v>137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0.15340909090909091</v>
      </c>
      <c r="S186" s="7">
        <f>+AV_PLAN[[#This Row],[TERMINO PLAN ACUMULADO]]/$G$471</f>
        <v>0.26278409090909088</v>
      </c>
      <c r="T186" s="7">
        <f t="shared" si="5"/>
        <v>6.8181818181818177E-2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108</v>
      </c>
      <c r="F187">
        <v>3</v>
      </c>
      <c r="G187">
        <v>188</v>
      </c>
      <c r="H187">
        <v>0</v>
      </c>
      <c r="I187">
        <v>48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0.46351931330472101</v>
      </c>
      <c r="M187" s="4">
        <f>IFERROR(AV_PLAN[[#This Row],[TERMINO REAL ACUMULADO]]/AV_PLAN[[#This Row],[TERMINO PLAN ACUMULADO]],"")</f>
        <v>0.25531914893617019</v>
      </c>
      <c r="N187">
        <f>+AV_PLAN[[#This Row],[PLAN ACUMULADO]]-AV_PLAN[[#This Row],[INICIO REAL ACUMULADO]]</f>
        <v>125</v>
      </c>
      <c r="O187">
        <f>+AV_PLAN[[#This Row],[TERMINO PLAN ACUMULADO]]-AV_PLAN[[#This Row],[TERMINO REAL ACUMULADO]]</f>
        <v>140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0.15340909090909091</v>
      </c>
      <c r="S187" s="7">
        <f>+AV_PLAN[[#This Row],[TERMINO PLAN ACUMULADO]]/$G$471</f>
        <v>0.26704545454545453</v>
      </c>
      <c r="T187" s="7">
        <f t="shared" si="5"/>
        <v>6.8181818181818177E-2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108</v>
      </c>
      <c r="F188">
        <v>1</v>
      </c>
      <c r="G188">
        <v>189</v>
      </c>
      <c r="H188">
        <v>0</v>
      </c>
      <c r="I188">
        <v>48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0.45957446808510638</v>
      </c>
      <c r="M188" s="4">
        <f>IFERROR(AV_PLAN[[#This Row],[TERMINO REAL ACUMULADO]]/AV_PLAN[[#This Row],[TERMINO PLAN ACUMULADO]],"")</f>
        <v>0.25396825396825395</v>
      </c>
      <c r="N188">
        <f>+AV_PLAN[[#This Row],[PLAN ACUMULADO]]-AV_PLAN[[#This Row],[INICIO REAL ACUMULADO]]</f>
        <v>127</v>
      </c>
      <c r="O188">
        <f>+AV_PLAN[[#This Row],[TERMINO PLAN ACUMULADO]]-AV_PLAN[[#This Row],[TERMINO REAL ACUMULADO]]</f>
        <v>141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0.15340909090909091</v>
      </c>
      <c r="S188" s="7">
        <f>+AV_PLAN[[#This Row],[TERMINO PLAN ACUMULADO]]/$G$471</f>
        <v>0.26846590909090912</v>
      </c>
      <c r="T188" s="7">
        <f t="shared" si="5"/>
        <v>6.8181818181818177E-2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108</v>
      </c>
      <c r="F189">
        <v>2</v>
      </c>
      <c r="G189">
        <v>191</v>
      </c>
      <c r="H189">
        <v>0</v>
      </c>
      <c r="I189">
        <v>48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0.45957446808510638</v>
      </c>
      <c r="M189" s="4">
        <f>IFERROR(AV_PLAN[[#This Row],[TERMINO REAL ACUMULADO]]/AV_PLAN[[#This Row],[TERMINO PLAN ACUMULADO]],"")</f>
        <v>0.2513089005235602</v>
      </c>
      <c r="N189">
        <f>+AV_PLAN[[#This Row],[PLAN ACUMULADO]]-AV_PLAN[[#This Row],[INICIO REAL ACUMULADO]]</f>
        <v>127</v>
      </c>
      <c r="O189">
        <f>+AV_PLAN[[#This Row],[TERMINO PLAN ACUMULADO]]-AV_PLAN[[#This Row],[TERMINO REAL ACUMULADO]]</f>
        <v>143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0.15340909090909091</v>
      </c>
      <c r="S189" s="7">
        <f>+AV_PLAN[[#This Row],[TERMINO PLAN ACUMULADO]]/$G$471</f>
        <v>0.27130681818181818</v>
      </c>
      <c r="T189" s="7">
        <f t="shared" si="5"/>
        <v>6.8181818181818177E-2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108</v>
      </c>
      <c r="F190">
        <v>1</v>
      </c>
      <c r="G190">
        <v>192</v>
      </c>
      <c r="H190">
        <v>0</v>
      </c>
      <c r="I190">
        <v>48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0.45957446808510638</v>
      </c>
      <c r="M190" s="4">
        <f>IFERROR(AV_PLAN[[#This Row],[TERMINO REAL ACUMULADO]]/AV_PLAN[[#This Row],[TERMINO PLAN ACUMULADO]],"")</f>
        <v>0.25</v>
      </c>
      <c r="N190">
        <f>+AV_PLAN[[#This Row],[PLAN ACUMULADO]]-AV_PLAN[[#This Row],[INICIO REAL ACUMULADO]]</f>
        <v>127</v>
      </c>
      <c r="O190">
        <f>+AV_PLAN[[#This Row],[TERMINO PLAN ACUMULADO]]-AV_PLAN[[#This Row],[TERMINO REAL ACUMULADO]]</f>
        <v>144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0.15340909090909091</v>
      </c>
      <c r="S190" s="7">
        <f>+AV_PLAN[[#This Row],[TERMINO PLAN ACUMULADO]]/$G$471</f>
        <v>0.27272727272727271</v>
      </c>
      <c r="T190" s="7">
        <f t="shared" si="5"/>
        <v>6.8181818181818177E-2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108</v>
      </c>
      <c r="F191">
        <v>1</v>
      </c>
      <c r="G191">
        <v>193</v>
      </c>
      <c r="H191">
        <v>0</v>
      </c>
      <c r="I191">
        <v>48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0.45378151260504201</v>
      </c>
      <c r="M191" s="4">
        <f>IFERROR(AV_PLAN[[#This Row],[TERMINO REAL ACUMULADO]]/AV_PLAN[[#This Row],[TERMINO PLAN ACUMULADO]],"")</f>
        <v>0.24870466321243523</v>
      </c>
      <c r="N191">
        <f>+AV_PLAN[[#This Row],[PLAN ACUMULADO]]-AV_PLAN[[#This Row],[INICIO REAL ACUMULADO]]</f>
        <v>130</v>
      </c>
      <c r="O191">
        <f>+AV_PLAN[[#This Row],[TERMINO PLAN ACUMULADO]]-AV_PLAN[[#This Row],[TERMINO REAL ACUMULADO]]</f>
        <v>145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0.15340909090909091</v>
      </c>
      <c r="S191" s="7">
        <f>+AV_PLAN[[#This Row],[TERMINO PLAN ACUMULADO]]/$G$471</f>
        <v>0.27414772727272729</v>
      </c>
      <c r="T191" s="7">
        <f t="shared" si="5"/>
        <v>6.8181818181818177E-2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108</v>
      </c>
      <c r="F192">
        <v>2</v>
      </c>
      <c r="G192">
        <v>195</v>
      </c>
      <c r="H192">
        <v>0</v>
      </c>
      <c r="I192">
        <v>48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0.45</v>
      </c>
      <c r="M192" s="4">
        <f>IFERROR(AV_PLAN[[#This Row],[TERMINO REAL ACUMULADO]]/AV_PLAN[[#This Row],[TERMINO PLAN ACUMULADO]],"")</f>
        <v>0.24615384615384617</v>
      </c>
      <c r="N192">
        <f>+AV_PLAN[[#This Row],[PLAN ACUMULADO]]-AV_PLAN[[#This Row],[INICIO REAL ACUMULADO]]</f>
        <v>132</v>
      </c>
      <c r="O192">
        <f>+AV_PLAN[[#This Row],[TERMINO PLAN ACUMULADO]]-AV_PLAN[[#This Row],[TERMINO REAL ACUMULADO]]</f>
        <v>147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0.15340909090909091</v>
      </c>
      <c r="S192" s="7">
        <f>+AV_PLAN[[#This Row],[TERMINO PLAN ACUMULADO]]/$G$471</f>
        <v>0.27698863636363635</v>
      </c>
      <c r="T192" s="7">
        <f t="shared" si="5"/>
        <v>6.8181818181818177E-2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108</v>
      </c>
      <c r="F193">
        <v>3</v>
      </c>
      <c r="G193">
        <v>198</v>
      </c>
      <c r="H193">
        <v>0</v>
      </c>
      <c r="I193">
        <v>48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0.44444444444444442</v>
      </c>
      <c r="M193" s="4">
        <f>IFERROR(AV_PLAN[[#This Row],[TERMINO REAL ACUMULADO]]/AV_PLAN[[#This Row],[TERMINO PLAN ACUMULADO]],"")</f>
        <v>0.24242424242424243</v>
      </c>
      <c r="N193">
        <f>+AV_PLAN[[#This Row],[PLAN ACUMULADO]]-AV_PLAN[[#This Row],[INICIO REAL ACUMULADO]]</f>
        <v>135</v>
      </c>
      <c r="O193">
        <f>+AV_PLAN[[#This Row],[TERMINO PLAN ACUMULADO]]-AV_PLAN[[#This Row],[TERMINO REAL ACUMULADO]]</f>
        <v>150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0.15340909090909091</v>
      </c>
      <c r="S193" s="7">
        <f>+AV_PLAN[[#This Row],[TERMINO PLAN ACUMULADO]]/$G$471</f>
        <v>0.28125</v>
      </c>
      <c r="T193" s="7">
        <f t="shared" si="5"/>
        <v>6.8181818181818177E-2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108</v>
      </c>
      <c r="F194">
        <v>2</v>
      </c>
      <c r="G194">
        <v>200</v>
      </c>
      <c r="H194">
        <v>0</v>
      </c>
      <c r="I194">
        <v>48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0.44081632653061226</v>
      </c>
      <c r="M194" s="4">
        <f>IFERROR(AV_PLAN[[#This Row],[TERMINO REAL ACUMULADO]]/AV_PLAN[[#This Row],[TERMINO PLAN ACUMULADO]],"")</f>
        <v>0.24</v>
      </c>
      <c r="N194">
        <f>+AV_PLAN[[#This Row],[PLAN ACUMULADO]]-AV_PLAN[[#This Row],[INICIO REAL ACUMULADO]]</f>
        <v>137</v>
      </c>
      <c r="O194">
        <f>+AV_PLAN[[#This Row],[TERMINO PLAN ACUMULADO]]-AV_PLAN[[#This Row],[TERMINO REAL ACUMULADO]]</f>
        <v>152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0.15340909090909091</v>
      </c>
      <c r="S194" s="7">
        <f>+AV_PLAN[[#This Row],[TERMINO PLAN ACUMULADO]]/$G$471</f>
        <v>0.28409090909090912</v>
      </c>
      <c r="T194" s="7">
        <f t="shared" ref="T194:T257" si="7">IF(H194="",NA(),I194/$G$471)</f>
        <v>6.8181818181818177E-2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108</v>
      </c>
      <c r="F195">
        <v>1</v>
      </c>
      <c r="G195">
        <v>201</v>
      </c>
      <c r="H195">
        <v>0</v>
      </c>
      <c r="I195">
        <v>48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0.43548387096774194</v>
      </c>
      <c r="M195" s="4">
        <f>IFERROR(AV_PLAN[[#This Row],[TERMINO REAL ACUMULADO]]/AV_PLAN[[#This Row],[TERMINO PLAN ACUMULADO]],"")</f>
        <v>0.23880597014925373</v>
      </c>
      <c r="N195">
        <f>+AV_PLAN[[#This Row],[PLAN ACUMULADO]]-AV_PLAN[[#This Row],[INICIO REAL ACUMULADO]]</f>
        <v>140</v>
      </c>
      <c r="O195">
        <f>+AV_PLAN[[#This Row],[TERMINO PLAN ACUMULADO]]-AV_PLAN[[#This Row],[TERMINO REAL ACUMULADO]]</f>
        <v>153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0.15340909090909091</v>
      </c>
      <c r="S195" s="7">
        <f>+AV_PLAN[[#This Row],[TERMINO PLAN ACUMULADO]]/$G$471</f>
        <v>0.28551136363636365</v>
      </c>
      <c r="T195" s="7">
        <f t="shared" si="7"/>
        <v>6.8181818181818177E-2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108</v>
      </c>
      <c r="F196">
        <v>2</v>
      </c>
      <c r="G196">
        <v>203</v>
      </c>
      <c r="H196">
        <v>0</v>
      </c>
      <c r="I196">
        <v>48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0.43548387096774194</v>
      </c>
      <c r="M196" s="4">
        <f>IFERROR(AV_PLAN[[#This Row],[TERMINO REAL ACUMULADO]]/AV_PLAN[[#This Row],[TERMINO PLAN ACUMULADO]],"")</f>
        <v>0.23645320197044334</v>
      </c>
      <c r="N196">
        <f>+AV_PLAN[[#This Row],[PLAN ACUMULADO]]-AV_PLAN[[#This Row],[INICIO REAL ACUMULADO]]</f>
        <v>140</v>
      </c>
      <c r="O196">
        <f>+AV_PLAN[[#This Row],[TERMINO PLAN ACUMULADO]]-AV_PLAN[[#This Row],[TERMINO REAL ACUMULADO]]</f>
        <v>155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0.15340909090909091</v>
      </c>
      <c r="S196" s="7">
        <f>+AV_PLAN[[#This Row],[TERMINO PLAN ACUMULADO]]/$G$471</f>
        <v>0.28835227272727271</v>
      </c>
      <c r="T196" s="7">
        <f t="shared" si="7"/>
        <v>6.8181818181818177E-2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108</v>
      </c>
      <c r="F197">
        <v>3</v>
      </c>
      <c r="G197">
        <v>206</v>
      </c>
      <c r="H197">
        <v>0</v>
      </c>
      <c r="I197">
        <v>48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0.43548387096774194</v>
      </c>
      <c r="M197" s="4">
        <f>IFERROR(AV_PLAN[[#This Row],[TERMINO REAL ACUMULADO]]/AV_PLAN[[#This Row],[TERMINO PLAN ACUMULADO]],"")</f>
        <v>0.23300970873786409</v>
      </c>
      <c r="N197">
        <f>+AV_PLAN[[#This Row],[PLAN ACUMULADO]]-AV_PLAN[[#This Row],[INICIO REAL ACUMULADO]]</f>
        <v>140</v>
      </c>
      <c r="O197">
        <f>+AV_PLAN[[#This Row],[TERMINO PLAN ACUMULADO]]-AV_PLAN[[#This Row],[TERMINO REAL ACUMULADO]]</f>
        <v>158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0.15340909090909091</v>
      </c>
      <c r="S197" s="7">
        <f>+AV_PLAN[[#This Row],[TERMINO PLAN ACUMULADO]]/$G$471</f>
        <v>0.29261363636363635</v>
      </c>
      <c r="T197" s="7">
        <f t="shared" si="7"/>
        <v>6.8181818181818177E-2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108</v>
      </c>
      <c r="F198">
        <v>0</v>
      </c>
      <c r="G198">
        <v>206</v>
      </c>
      <c r="H198">
        <v>0</v>
      </c>
      <c r="I198">
        <v>48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0.432</v>
      </c>
      <c r="M198" s="4">
        <f>IFERROR(AV_PLAN[[#This Row],[TERMINO REAL ACUMULADO]]/AV_PLAN[[#This Row],[TERMINO PLAN ACUMULADO]],"")</f>
        <v>0.23300970873786409</v>
      </c>
      <c r="N198">
        <f>+AV_PLAN[[#This Row],[PLAN ACUMULADO]]-AV_PLAN[[#This Row],[INICIO REAL ACUMULADO]]</f>
        <v>142</v>
      </c>
      <c r="O198">
        <f>+AV_PLAN[[#This Row],[TERMINO PLAN ACUMULADO]]-AV_PLAN[[#This Row],[TERMINO REAL ACUMULADO]]</f>
        <v>158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0.15340909090909091</v>
      </c>
      <c r="S198" s="7">
        <f>+AV_PLAN[[#This Row],[TERMINO PLAN ACUMULADO]]/$G$471</f>
        <v>0.29261363636363635</v>
      </c>
      <c r="T198" s="7">
        <f t="shared" si="7"/>
        <v>6.8181818181818177E-2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108</v>
      </c>
      <c r="F199">
        <v>2</v>
      </c>
      <c r="G199">
        <v>208</v>
      </c>
      <c r="H199">
        <v>0</v>
      </c>
      <c r="I199">
        <v>48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0.4268774703557312</v>
      </c>
      <c r="M199" s="4">
        <f>IFERROR(AV_PLAN[[#This Row],[TERMINO REAL ACUMULADO]]/AV_PLAN[[#This Row],[TERMINO PLAN ACUMULADO]],"")</f>
        <v>0.23076923076923078</v>
      </c>
      <c r="N199">
        <f>+AV_PLAN[[#This Row],[PLAN ACUMULADO]]-AV_PLAN[[#This Row],[INICIO REAL ACUMULADO]]</f>
        <v>145</v>
      </c>
      <c r="O199">
        <f>+AV_PLAN[[#This Row],[TERMINO PLAN ACUMULADO]]-AV_PLAN[[#This Row],[TERMINO REAL ACUMULADO]]</f>
        <v>160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0.15340909090909091</v>
      </c>
      <c r="S199" s="7">
        <f>+AV_PLAN[[#This Row],[TERMINO PLAN ACUMULADO]]/$G$471</f>
        <v>0.29545454545454547</v>
      </c>
      <c r="T199" s="7">
        <f t="shared" si="7"/>
        <v>6.8181818181818177E-2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108</v>
      </c>
      <c r="F200">
        <v>2</v>
      </c>
      <c r="G200">
        <v>210</v>
      </c>
      <c r="H200">
        <v>0</v>
      </c>
      <c r="I200">
        <v>48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0.421875</v>
      </c>
      <c r="M200" s="4">
        <f>IFERROR(AV_PLAN[[#This Row],[TERMINO REAL ACUMULADO]]/AV_PLAN[[#This Row],[TERMINO PLAN ACUMULADO]],"")</f>
        <v>0.22857142857142856</v>
      </c>
      <c r="N200">
        <f>+AV_PLAN[[#This Row],[PLAN ACUMULADO]]-AV_PLAN[[#This Row],[INICIO REAL ACUMULADO]]</f>
        <v>148</v>
      </c>
      <c r="O200">
        <f>+AV_PLAN[[#This Row],[TERMINO PLAN ACUMULADO]]-AV_PLAN[[#This Row],[TERMINO REAL ACUMULADO]]</f>
        <v>162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0.15340909090909091</v>
      </c>
      <c r="S200" s="7">
        <f>+AV_PLAN[[#This Row],[TERMINO PLAN ACUMULADO]]/$G$471</f>
        <v>0.29829545454545453</v>
      </c>
      <c r="T200" s="7">
        <f t="shared" si="7"/>
        <v>6.8181818181818177E-2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108</v>
      </c>
      <c r="F201">
        <v>3</v>
      </c>
      <c r="G201">
        <v>213</v>
      </c>
      <c r="H201">
        <v>0</v>
      </c>
      <c r="I201">
        <v>48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0.41698841698841699</v>
      </c>
      <c r="M201" s="4">
        <f>IFERROR(AV_PLAN[[#This Row],[TERMINO REAL ACUMULADO]]/AV_PLAN[[#This Row],[TERMINO PLAN ACUMULADO]],"")</f>
        <v>0.22535211267605634</v>
      </c>
      <c r="N201">
        <f>+AV_PLAN[[#This Row],[PLAN ACUMULADO]]-AV_PLAN[[#This Row],[INICIO REAL ACUMULADO]]</f>
        <v>151</v>
      </c>
      <c r="O201">
        <f>+AV_PLAN[[#This Row],[TERMINO PLAN ACUMULADO]]-AV_PLAN[[#This Row],[TERMINO REAL ACUMULADO]]</f>
        <v>165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0.15340909090909091</v>
      </c>
      <c r="S201" s="7">
        <f>+AV_PLAN[[#This Row],[TERMINO PLAN ACUMULADO]]/$G$471</f>
        <v>0.30255681818181818</v>
      </c>
      <c r="T201" s="7">
        <f t="shared" si="7"/>
        <v>6.8181818181818177E-2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108</v>
      </c>
      <c r="F202">
        <v>0</v>
      </c>
      <c r="G202">
        <v>213</v>
      </c>
      <c r="H202">
        <v>0</v>
      </c>
      <c r="I202">
        <v>48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0.41221374045801529</v>
      </c>
      <c r="M202" s="4">
        <f>IFERROR(AV_PLAN[[#This Row],[TERMINO REAL ACUMULADO]]/AV_PLAN[[#This Row],[TERMINO PLAN ACUMULADO]],"")</f>
        <v>0.22535211267605634</v>
      </c>
      <c r="N202">
        <f>+AV_PLAN[[#This Row],[PLAN ACUMULADO]]-AV_PLAN[[#This Row],[INICIO REAL ACUMULADO]]</f>
        <v>154</v>
      </c>
      <c r="O202">
        <f>+AV_PLAN[[#This Row],[TERMINO PLAN ACUMULADO]]-AV_PLAN[[#This Row],[TERMINO REAL ACUMULADO]]</f>
        <v>165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0.15340909090909091</v>
      </c>
      <c r="S202" s="7">
        <f>+AV_PLAN[[#This Row],[TERMINO PLAN ACUMULADO]]/$G$471</f>
        <v>0.30255681818181818</v>
      </c>
      <c r="T202" s="7">
        <f t="shared" si="7"/>
        <v>6.8181818181818177E-2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108</v>
      </c>
      <c r="F203">
        <v>2</v>
      </c>
      <c r="G203">
        <v>215</v>
      </c>
      <c r="H203">
        <v>0</v>
      </c>
      <c r="I203">
        <v>48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0.41221374045801529</v>
      </c>
      <c r="M203" s="4">
        <f>IFERROR(AV_PLAN[[#This Row],[TERMINO REAL ACUMULADO]]/AV_PLAN[[#This Row],[TERMINO PLAN ACUMULADO]],"")</f>
        <v>0.22325581395348837</v>
      </c>
      <c r="N203">
        <f>+AV_PLAN[[#This Row],[PLAN ACUMULADO]]-AV_PLAN[[#This Row],[INICIO REAL ACUMULADO]]</f>
        <v>154</v>
      </c>
      <c r="O203">
        <f>+AV_PLAN[[#This Row],[TERMINO PLAN ACUMULADO]]-AV_PLAN[[#This Row],[TERMINO REAL ACUMULADO]]</f>
        <v>167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0.15340909090909091</v>
      </c>
      <c r="S203" s="7">
        <f>+AV_PLAN[[#This Row],[TERMINO PLAN ACUMULADO]]/$G$471</f>
        <v>0.30539772727272729</v>
      </c>
      <c r="T203" s="7">
        <f t="shared" si="7"/>
        <v>6.8181818181818177E-2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108</v>
      </c>
      <c r="F204">
        <v>3</v>
      </c>
      <c r="G204">
        <v>218</v>
      </c>
      <c r="H204">
        <v>0</v>
      </c>
      <c r="I204">
        <v>48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0.41221374045801529</v>
      </c>
      <c r="M204" s="4">
        <f>IFERROR(AV_PLAN[[#This Row],[TERMINO REAL ACUMULADO]]/AV_PLAN[[#This Row],[TERMINO PLAN ACUMULADO]],"")</f>
        <v>0.22018348623853212</v>
      </c>
      <c r="N204">
        <f>+AV_PLAN[[#This Row],[PLAN ACUMULADO]]-AV_PLAN[[#This Row],[INICIO REAL ACUMULADO]]</f>
        <v>154</v>
      </c>
      <c r="O204">
        <f>+AV_PLAN[[#This Row],[TERMINO PLAN ACUMULADO]]-AV_PLAN[[#This Row],[TERMINO REAL ACUMULADO]]</f>
        <v>170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0.15340909090909091</v>
      </c>
      <c r="S204" s="7">
        <f>+AV_PLAN[[#This Row],[TERMINO PLAN ACUMULADO]]/$G$471</f>
        <v>0.30965909090909088</v>
      </c>
      <c r="T204" s="7">
        <f t="shared" si="7"/>
        <v>6.8181818181818177E-2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108</v>
      </c>
      <c r="F205">
        <v>1</v>
      </c>
      <c r="G205">
        <v>219</v>
      </c>
      <c r="H205">
        <v>0</v>
      </c>
      <c r="I205">
        <v>48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0.40754716981132078</v>
      </c>
      <c r="M205" s="4">
        <f>IFERROR(AV_PLAN[[#This Row],[TERMINO REAL ACUMULADO]]/AV_PLAN[[#This Row],[TERMINO PLAN ACUMULADO]],"")</f>
        <v>0.21917808219178081</v>
      </c>
      <c r="N205">
        <f>+AV_PLAN[[#This Row],[PLAN ACUMULADO]]-AV_PLAN[[#This Row],[INICIO REAL ACUMULADO]]</f>
        <v>157</v>
      </c>
      <c r="O205">
        <f>+AV_PLAN[[#This Row],[TERMINO PLAN ACUMULADO]]-AV_PLAN[[#This Row],[TERMINO REAL ACUMULADO]]</f>
        <v>171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0.15340909090909091</v>
      </c>
      <c r="S205" s="7">
        <f>+AV_PLAN[[#This Row],[TERMINO PLAN ACUMULADO]]/$G$471</f>
        <v>0.31107954545454547</v>
      </c>
      <c r="T205" s="7">
        <f t="shared" si="7"/>
        <v>6.8181818181818177E-2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108</v>
      </c>
      <c r="F206">
        <v>1</v>
      </c>
      <c r="G206">
        <v>220</v>
      </c>
      <c r="H206">
        <v>0</v>
      </c>
      <c r="I206">
        <v>48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0.40298507462686567</v>
      </c>
      <c r="M206" s="4">
        <f>IFERROR(AV_PLAN[[#This Row],[TERMINO REAL ACUMULADO]]/AV_PLAN[[#This Row],[TERMINO PLAN ACUMULADO]],"")</f>
        <v>0.21818181818181817</v>
      </c>
      <c r="N206">
        <f>+AV_PLAN[[#This Row],[PLAN ACUMULADO]]-AV_PLAN[[#This Row],[INICIO REAL ACUMULADO]]</f>
        <v>160</v>
      </c>
      <c r="O206">
        <f>+AV_PLAN[[#This Row],[TERMINO PLAN ACUMULADO]]-AV_PLAN[[#This Row],[TERMINO REAL ACUMULADO]]</f>
        <v>172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0.15340909090909091</v>
      </c>
      <c r="S206" s="7">
        <f>+AV_PLAN[[#This Row],[TERMINO PLAN ACUMULADO]]/$G$471</f>
        <v>0.3125</v>
      </c>
      <c r="T206" s="7">
        <f t="shared" si="7"/>
        <v>6.8181818181818177E-2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108</v>
      </c>
      <c r="F207">
        <v>3</v>
      </c>
      <c r="G207">
        <v>223</v>
      </c>
      <c r="H207">
        <v>0</v>
      </c>
      <c r="I207">
        <v>48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0.39852398523985239</v>
      </c>
      <c r="M207" s="4">
        <f>IFERROR(AV_PLAN[[#This Row],[TERMINO REAL ACUMULADO]]/AV_PLAN[[#This Row],[TERMINO PLAN ACUMULADO]],"")</f>
        <v>0.21524663677130046</v>
      </c>
      <c r="N207">
        <f>+AV_PLAN[[#This Row],[PLAN ACUMULADO]]-AV_PLAN[[#This Row],[INICIO REAL ACUMULADO]]</f>
        <v>163</v>
      </c>
      <c r="O207">
        <f>+AV_PLAN[[#This Row],[TERMINO PLAN ACUMULADO]]-AV_PLAN[[#This Row],[TERMINO REAL ACUMULADO]]</f>
        <v>175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0.15340909090909091</v>
      </c>
      <c r="S207" s="7">
        <f>+AV_PLAN[[#This Row],[TERMINO PLAN ACUMULADO]]/$G$471</f>
        <v>0.31676136363636365</v>
      </c>
      <c r="T207" s="7">
        <f t="shared" si="7"/>
        <v>6.8181818181818177E-2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108</v>
      </c>
      <c r="F208">
        <v>2</v>
      </c>
      <c r="G208">
        <v>225</v>
      </c>
      <c r="H208">
        <v>0</v>
      </c>
      <c r="I208">
        <v>48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0.39416058394160586</v>
      </c>
      <c r="M208" s="4">
        <f>IFERROR(AV_PLAN[[#This Row],[TERMINO REAL ACUMULADO]]/AV_PLAN[[#This Row],[TERMINO PLAN ACUMULADO]],"")</f>
        <v>0.21333333333333335</v>
      </c>
      <c r="N208">
        <f>+AV_PLAN[[#This Row],[PLAN ACUMULADO]]-AV_PLAN[[#This Row],[INICIO REAL ACUMULADO]]</f>
        <v>166</v>
      </c>
      <c r="O208">
        <f>+AV_PLAN[[#This Row],[TERMINO PLAN ACUMULADO]]-AV_PLAN[[#This Row],[TERMINO REAL ACUMULADO]]</f>
        <v>177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0.15340909090909091</v>
      </c>
      <c r="S208" s="7">
        <f>+AV_PLAN[[#This Row],[TERMINO PLAN ACUMULADO]]/$G$471</f>
        <v>0.31960227272727271</v>
      </c>
      <c r="T208" s="7">
        <f t="shared" si="7"/>
        <v>6.8181818181818177E-2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108</v>
      </c>
      <c r="F209">
        <v>1</v>
      </c>
      <c r="G209">
        <v>226</v>
      </c>
      <c r="H209">
        <v>0</v>
      </c>
      <c r="I209">
        <v>48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0.38989169675090252</v>
      </c>
      <c r="M209" s="4">
        <f>IFERROR(AV_PLAN[[#This Row],[TERMINO REAL ACUMULADO]]/AV_PLAN[[#This Row],[TERMINO PLAN ACUMULADO]],"")</f>
        <v>0.21238938053097345</v>
      </c>
      <c r="N209">
        <f>+AV_PLAN[[#This Row],[PLAN ACUMULADO]]-AV_PLAN[[#This Row],[INICIO REAL ACUMULADO]]</f>
        <v>169</v>
      </c>
      <c r="O209">
        <f>+AV_PLAN[[#This Row],[TERMINO PLAN ACUMULADO]]-AV_PLAN[[#This Row],[TERMINO REAL ACUMULADO]]</f>
        <v>178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0.15340909090909091</v>
      </c>
      <c r="S209" s="7">
        <f>+AV_PLAN[[#This Row],[TERMINO PLAN ACUMULADO]]/$G$471</f>
        <v>0.32102272727272729</v>
      </c>
      <c r="T209" s="7">
        <f t="shared" si="7"/>
        <v>6.8181818181818177E-2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108</v>
      </c>
      <c r="F210">
        <v>1</v>
      </c>
      <c r="G210">
        <v>227</v>
      </c>
      <c r="H210">
        <v>0</v>
      </c>
      <c r="I210">
        <v>48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0.38989169675090252</v>
      </c>
      <c r="M210" s="4">
        <f>IFERROR(AV_PLAN[[#This Row],[TERMINO REAL ACUMULADO]]/AV_PLAN[[#This Row],[TERMINO PLAN ACUMULADO]],"")</f>
        <v>0.21145374449339208</v>
      </c>
      <c r="N210">
        <f>+AV_PLAN[[#This Row],[PLAN ACUMULADO]]-AV_PLAN[[#This Row],[INICIO REAL ACUMULADO]]</f>
        <v>169</v>
      </c>
      <c r="O210">
        <f>+AV_PLAN[[#This Row],[TERMINO PLAN ACUMULADO]]-AV_PLAN[[#This Row],[TERMINO REAL ACUMULADO]]</f>
        <v>179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0.15340909090909091</v>
      </c>
      <c r="S210" s="7">
        <f>+AV_PLAN[[#This Row],[TERMINO PLAN ACUMULADO]]/$G$471</f>
        <v>0.32244318181818182</v>
      </c>
      <c r="T210" s="7">
        <f t="shared" si="7"/>
        <v>6.8181818181818177E-2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108</v>
      </c>
      <c r="F211">
        <v>4</v>
      </c>
      <c r="G211">
        <v>231</v>
      </c>
      <c r="H211">
        <v>0</v>
      </c>
      <c r="I211">
        <v>48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0.38989169675090252</v>
      </c>
      <c r="M211" s="4">
        <f>IFERROR(AV_PLAN[[#This Row],[TERMINO REAL ACUMULADO]]/AV_PLAN[[#This Row],[TERMINO PLAN ACUMULADO]],"")</f>
        <v>0.20779220779220781</v>
      </c>
      <c r="N211">
        <f>+AV_PLAN[[#This Row],[PLAN ACUMULADO]]-AV_PLAN[[#This Row],[INICIO REAL ACUMULADO]]</f>
        <v>169</v>
      </c>
      <c r="O211">
        <f>+AV_PLAN[[#This Row],[TERMINO PLAN ACUMULADO]]-AV_PLAN[[#This Row],[TERMINO REAL ACUMULADO]]</f>
        <v>183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0.15340909090909091</v>
      </c>
      <c r="S211" s="7">
        <f>+AV_PLAN[[#This Row],[TERMINO PLAN ACUMULADO]]/$G$471</f>
        <v>0.328125</v>
      </c>
      <c r="T211" s="7">
        <f t="shared" si="7"/>
        <v>6.8181818181818177E-2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108</v>
      </c>
      <c r="F212">
        <v>1</v>
      </c>
      <c r="G212">
        <v>232</v>
      </c>
      <c r="H212">
        <v>0</v>
      </c>
      <c r="I212">
        <v>48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0.38571428571428573</v>
      </c>
      <c r="M212" s="4">
        <f>IFERROR(AV_PLAN[[#This Row],[TERMINO REAL ACUMULADO]]/AV_PLAN[[#This Row],[TERMINO PLAN ACUMULADO]],"")</f>
        <v>0.20689655172413793</v>
      </c>
      <c r="N212">
        <f>+AV_PLAN[[#This Row],[PLAN ACUMULADO]]-AV_PLAN[[#This Row],[INICIO REAL ACUMULADO]]</f>
        <v>172</v>
      </c>
      <c r="O212">
        <f>+AV_PLAN[[#This Row],[TERMINO PLAN ACUMULADO]]-AV_PLAN[[#This Row],[TERMINO REAL ACUMULADO]]</f>
        <v>184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0.15340909090909091</v>
      </c>
      <c r="S212" s="7">
        <f>+AV_PLAN[[#This Row],[TERMINO PLAN ACUMULADO]]/$G$471</f>
        <v>0.32954545454545453</v>
      </c>
      <c r="T212" s="7">
        <f t="shared" si="7"/>
        <v>6.8181818181818177E-2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108</v>
      </c>
      <c r="F213">
        <v>1</v>
      </c>
      <c r="G213">
        <v>233</v>
      </c>
      <c r="H213">
        <v>0</v>
      </c>
      <c r="I213">
        <v>48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0.38162544169611307</v>
      </c>
      <c r="M213" s="4">
        <f>IFERROR(AV_PLAN[[#This Row],[TERMINO REAL ACUMULADO]]/AV_PLAN[[#This Row],[TERMINO PLAN ACUMULADO]],"")</f>
        <v>0.20600858369098712</v>
      </c>
      <c r="N213">
        <f>+AV_PLAN[[#This Row],[PLAN ACUMULADO]]-AV_PLAN[[#This Row],[INICIO REAL ACUMULADO]]</f>
        <v>175</v>
      </c>
      <c r="O213">
        <f>+AV_PLAN[[#This Row],[TERMINO PLAN ACUMULADO]]-AV_PLAN[[#This Row],[TERMINO REAL ACUMULADO]]</f>
        <v>185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0.15340909090909091</v>
      </c>
      <c r="S213" s="7">
        <f>+AV_PLAN[[#This Row],[TERMINO PLAN ACUMULADO]]/$G$471</f>
        <v>0.33096590909090912</v>
      </c>
      <c r="T213" s="7">
        <f t="shared" si="7"/>
        <v>6.8181818181818177E-2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108</v>
      </c>
      <c r="F214">
        <v>2</v>
      </c>
      <c r="G214">
        <v>235</v>
      </c>
      <c r="H214">
        <v>0</v>
      </c>
      <c r="I214">
        <v>48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0.38162544169611307</v>
      </c>
      <c r="M214" s="4">
        <f>IFERROR(AV_PLAN[[#This Row],[TERMINO REAL ACUMULADO]]/AV_PLAN[[#This Row],[TERMINO PLAN ACUMULADO]],"")</f>
        <v>0.20425531914893616</v>
      </c>
      <c r="N214">
        <f>+AV_PLAN[[#This Row],[PLAN ACUMULADO]]-AV_PLAN[[#This Row],[INICIO REAL ACUMULADO]]</f>
        <v>175</v>
      </c>
      <c r="O214">
        <f>+AV_PLAN[[#This Row],[TERMINO PLAN ACUMULADO]]-AV_PLAN[[#This Row],[TERMINO REAL ACUMULADO]]</f>
        <v>187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0.15340909090909091</v>
      </c>
      <c r="S214" s="7">
        <f>+AV_PLAN[[#This Row],[TERMINO PLAN ACUMULADO]]/$G$471</f>
        <v>0.33380681818181818</v>
      </c>
      <c r="T214" s="7">
        <f t="shared" si="7"/>
        <v>6.8181818181818177E-2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108</v>
      </c>
      <c r="F215">
        <v>3</v>
      </c>
      <c r="G215">
        <v>238</v>
      </c>
      <c r="H215">
        <v>0</v>
      </c>
      <c r="I215">
        <v>48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0.38162544169611307</v>
      </c>
      <c r="M215" s="4">
        <f>IFERROR(AV_PLAN[[#This Row],[TERMINO REAL ACUMULADO]]/AV_PLAN[[#This Row],[TERMINO PLAN ACUMULADO]],"")</f>
        <v>0.20168067226890757</v>
      </c>
      <c r="N215">
        <f>+AV_PLAN[[#This Row],[PLAN ACUMULADO]]-AV_PLAN[[#This Row],[INICIO REAL ACUMULADO]]</f>
        <v>175</v>
      </c>
      <c r="O215">
        <f>+AV_PLAN[[#This Row],[TERMINO PLAN ACUMULADO]]-AV_PLAN[[#This Row],[TERMINO REAL ACUMULADO]]</f>
        <v>190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0.15340909090909091</v>
      </c>
      <c r="S215" s="7">
        <f>+AV_PLAN[[#This Row],[TERMINO PLAN ACUMULADO]]/$G$471</f>
        <v>0.33806818181818182</v>
      </c>
      <c r="T215" s="7">
        <f t="shared" si="7"/>
        <v>6.8181818181818177E-2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108</v>
      </c>
      <c r="F216">
        <v>1</v>
      </c>
      <c r="G216">
        <v>239</v>
      </c>
      <c r="H216">
        <v>0</v>
      </c>
      <c r="I216">
        <v>48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0.38162544169611307</v>
      </c>
      <c r="M216" s="4">
        <f>IFERROR(AV_PLAN[[#This Row],[TERMINO REAL ACUMULADO]]/AV_PLAN[[#This Row],[TERMINO PLAN ACUMULADO]],"")</f>
        <v>0.20083682008368201</v>
      </c>
      <c r="N216">
        <f>+AV_PLAN[[#This Row],[PLAN ACUMULADO]]-AV_PLAN[[#This Row],[INICIO REAL ACUMULADO]]</f>
        <v>175</v>
      </c>
      <c r="O216">
        <f>+AV_PLAN[[#This Row],[TERMINO PLAN ACUMULADO]]-AV_PLAN[[#This Row],[TERMINO REAL ACUMULADO]]</f>
        <v>191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0.15340909090909091</v>
      </c>
      <c r="S216" s="7">
        <f>+AV_PLAN[[#This Row],[TERMINO PLAN ACUMULADO]]/$G$471</f>
        <v>0.33948863636363635</v>
      </c>
      <c r="T216" s="7">
        <f t="shared" si="7"/>
        <v>6.8181818181818177E-2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108</v>
      </c>
      <c r="F217">
        <v>1</v>
      </c>
      <c r="G217">
        <v>240</v>
      </c>
      <c r="H217">
        <v>0</v>
      </c>
      <c r="I217">
        <v>48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0.38162544169611307</v>
      </c>
      <c r="M217" s="4">
        <f>IFERROR(AV_PLAN[[#This Row],[TERMINO REAL ACUMULADO]]/AV_PLAN[[#This Row],[TERMINO PLAN ACUMULADO]],"")</f>
        <v>0.2</v>
      </c>
      <c r="N217">
        <f>+AV_PLAN[[#This Row],[PLAN ACUMULADO]]-AV_PLAN[[#This Row],[INICIO REAL ACUMULADO]]</f>
        <v>175</v>
      </c>
      <c r="O217">
        <f>+AV_PLAN[[#This Row],[TERMINO PLAN ACUMULADO]]-AV_PLAN[[#This Row],[TERMINO REAL ACUMULADO]]</f>
        <v>192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0.15340909090909091</v>
      </c>
      <c r="S217" s="7">
        <f>+AV_PLAN[[#This Row],[TERMINO PLAN ACUMULADO]]/$G$471</f>
        <v>0.34090909090909088</v>
      </c>
      <c r="T217" s="7">
        <f t="shared" si="7"/>
        <v>6.8181818181818177E-2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108</v>
      </c>
      <c r="F218">
        <v>3</v>
      </c>
      <c r="G218">
        <v>243</v>
      </c>
      <c r="H218">
        <v>0</v>
      </c>
      <c r="I218">
        <v>48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0.38162544169611307</v>
      </c>
      <c r="M218" s="4">
        <f>IFERROR(AV_PLAN[[#This Row],[TERMINO REAL ACUMULADO]]/AV_PLAN[[#This Row],[TERMINO PLAN ACUMULADO]],"")</f>
        <v>0.19753086419753085</v>
      </c>
      <c r="N218">
        <f>+AV_PLAN[[#This Row],[PLAN ACUMULADO]]-AV_PLAN[[#This Row],[INICIO REAL ACUMULADO]]</f>
        <v>175</v>
      </c>
      <c r="O218">
        <f>+AV_PLAN[[#This Row],[TERMINO PLAN ACUMULADO]]-AV_PLAN[[#This Row],[TERMINO REAL ACUMULADO]]</f>
        <v>195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0.15340909090909091</v>
      </c>
      <c r="S218" s="7">
        <f>+AV_PLAN[[#This Row],[TERMINO PLAN ACUMULADO]]/$G$471</f>
        <v>0.34517045454545453</v>
      </c>
      <c r="T218" s="7">
        <f t="shared" si="7"/>
        <v>6.8181818181818177E-2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108</v>
      </c>
      <c r="F219">
        <v>2</v>
      </c>
      <c r="G219">
        <v>245</v>
      </c>
      <c r="H219">
        <v>0</v>
      </c>
      <c r="I219">
        <v>48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0.3776223776223776</v>
      </c>
      <c r="M219" s="4">
        <f>IFERROR(AV_PLAN[[#This Row],[TERMINO REAL ACUMULADO]]/AV_PLAN[[#This Row],[TERMINO PLAN ACUMULADO]],"")</f>
        <v>0.19591836734693877</v>
      </c>
      <c r="N219">
        <f>+AV_PLAN[[#This Row],[PLAN ACUMULADO]]-AV_PLAN[[#This Row],[INICIO REAL ACUMULADO]]</f>
        <v>178</v>
      </c>
      <c r="O219">
        <f>+AV_PLAN[[#This Row],[TERMINO PLAN ACUMULADO]]-AV_PLAN[[#This Row],[TERMINO REAL ACUMULADO]]</f>
        <v>197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0.15340909090909091</v>
      </c>
      <c r="S219" s="7">
        <f>+AV_PLAN[[#This Row],[TERMINO PLAN ACUMULADO]]/$G$471</f>
        <v>0.34801136363636365</v>
      </c>
      <c r="T219" s="7">
        <f t="shared" si="7"/>
        <v>6.8181818181818177E-2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108</v>
      </c>
      <c r="F220">
        <v>1</v>
      </c>
      <c r="G220">
        <v>246</v>
      </c>
      <c r="H220">
        <v>0</v>
      </c>
      <c r="I220">
        <v>48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0.37370242214532873</v>
      </c>
      <c r="M220" s="4">
        <f>IFERROR(AV_PLAN[[#This Row],[TERMINO REAL ACUMULADO]]/AV_PLAN[[#This Row],[TERMINO PLAN ACUMULADO]],"")</f>
        <v>0.1951219512195122</v>
      </c>
      <c r="N220">
        <f>+AV_PLAN[[#This Row],[PLAN ACUMULADO]]-AV_PLAN[[#This Row],[INICIO REAL ACUMULADO]]</f>
        <v>181</v>
      </c>
      <c r="O220">
        <f>+AV_PLAN[[#This Row],[TERMINO PLAN ACUMULADO]]-AV_PLAN[[#This Row],[TERMINO REAL ACUMULADO]]</f>
        <v>198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0.15340909090909091</v>
      </c>
      <c r="S220" s="7">
        <f>+AV_PLAN[[#This Row],[TERMINO PLAN ACUMULADO]]/$G$471</f>
        <v>0.34943181818181818</v>
      </c>
      <c r="T220" s="7">
        <f t="shared" si="7"/>
        <v>6.8181818181818177E-2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108</v>
      </c>
      <c r="F221">
        <v>2</v>
      </c>
      <c r="G221">
        <v>248</v>
      </c>
      <c r="H221">
        <v>0</v>
      </c>
      <c r="I221">
        <v>48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0.36986301369863012</v>
      </c>
      <c r="M221" s="4">
        <f>IFERROR(AV_PLAN[[#This Row],[TERMINO REAL ACUMULADO]]/AV_PLAN[[#This Row],[TERMINO PLAN ACUMULADO]],"")</f>
        <v>0.19354838709677419</v>
      </c>
      <c r="N221">
        <f>+AV_PLAN[[#This Row],[PLAN ACUMULADO]]-AV_PLAN[[#This Row],[INICIO REAL ACUMULADO]]</f>
        <v>184</v>
      </c>
      <c r="O221">
        <f>+AV_PLAN[[#This Row],[TERMINO PLAN ACUMULADO]]-AV_PLAN[[#This Row],[TERMINO REAL ACUMULADO]]</f>
        <v>200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0.15340909090909091</v>
      </c>
      <c r="S221" s="7">
        <f>+AV_PLAN[[#This Row],[TERMINO PLAN ACUMULADO]]/$G$471</f>
        <v>0.35227272727272729</v>
      </c>
      <c r="T221" s="7">
        <f t="shared" si="7"/>
        <v>6.8181818181818177E-2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108</v>
      </c>
      <c r="F222">
        <v>3</v>
      </c>
      <c r="G222">
        <v>251</v>
      </c>
      <c r="H222">
        <v>0</v>
      </c>
      <c r="I222">
        <v>48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0.36610169491525424</v>
      </c>
      <c r="M222" s="4">
        <f>IFERROR(AV_PLAN[[#This Row],[TERMINO REAL ACUMULADO]]/AV_PLAN[[#This Row],[TERMINO PLAN ACUMULADO]],"")</f>
        <v>0.19123505976095617</v>
      </c>
      <c r="N222">
        <f>+AV_PLAN[[#This Row],[PLAN ACUMULADO]]-AV_PLAN[[#This Row],[INICIO REAL ACUMULADO]]</f>
        <v>187</v>
      </c>
      <c r="O222">
        <f>+AV_PLAN[[#This Row],[TERMINO PLAN ACUMULADO]]-AV_PLAN[[#This Row],[TERMINO REAL ACUMULADO]]</f>
        <v>203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0.15340909090909091</v>
      </c>
      <c r="S222" s="7">
        <f>+AV_PLAN[[#This Row],[TERMINO PLAN ACUMULADO]]/$G$471</f>
        <v>0.35653409090909088</v>
      </c>
      <c r="T222" s="7">
        <f t="shared" si="7"/>
        <v>6.8181818181818177E-2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108</v>
      </c>
      <c r="F223">
        <v>2</v>
      </c>
      <c r="G223">
        <v>253</v>
      </c>
      <c r="H223">
        <v>0</v>
      </c>
      <c r="I223">
        <v>48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0.36241610738255031</v>
      </c>
      <c r="M223" s="4">
        <f>IFERROR(AV_PLAN[[#This Row],[TERMINO REAL ACUMULADO]]/AV_PLAN[[#This Row],[TERMINO PLAN ACUMULADO]],"")</f>
        <v>0.18972332015810275</v>
      </c>
      <c r="N223">
        <f>+AV_PLAN[[#This Row],[PLAN ACUMULADO]]-AV_PLAN[[#This Row],[INICIO REAL ACUMULADO]]</f>
        <v>190</v>
      </c>
      <c r="O223">
        <f>+AV_PLAN[[#This Row],[TERMINO PLAN ACUMULADO]]-AV_PLAN[[#This Row],[TERMINO REAL ACUMULADO]]</f>
        <v>205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0.15340909090909091</v>
      </c>
      <c r="S223" s="7">
        <f>+AV_PLAN[[#This Row],[TERMINO PLAN ACUMULADO]]/$G$471</f>
        <v>0.359375</v>
      </c>
      <c r="T223" s="7">
        <f t="shared" si="7"/>
        <v>6.8181818181818177E-2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108</v>
      </c>
      <c r="F224">
        <v>0</v>
      </c>
      <c r="G224">
        <v>253</v>
      </c>
      <c r="H224">
        <v>0</v>
      </c>
      <c r="I224">
        <v>48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0.36241610738255031</v>
      </c>
      <c r="M224" s="4">
        <f>IFERROR(AV_PLAN[[#This Row],[TERMINO REAL ACUMULADO]]/AV_PLAN[[#This Row],[TERMINO PLAN ACUMULADO]],"")</f>
        <v>0.18972332015810275</v>
      </c>
      <c r="N224">
        <f>+AV_PLAN[[#This Row],[PLAN ACUMULADO]]-AV_PLAN[[#This Row],[INICIO REAL ACUMULADO]]</f>
        <v>190</v>
      </c>
      <c r="O224">
        <f>+AV_PLAN[[#This Row],[TERMINO PLAN ACUMULADO]]-AV_PLAN[[#This Row],[TERMINO REAL ACUMULADO]]</f>
        <v>205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0.15340909090909091</v>
      </c>
      <c r="S224" s="7">
        <f>+AV_PLAN[[#This Row],[TERMINO PLAN ACUMULADO]]/$G$471</f>
        <v>0.359375</v>
      </c>
      <c r="T224" s="7">
        <f t="shared" si="7"/>
        <v>6.8181818181818177E-2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108</v>
      </c>
      <c r="F225">
        <v>4</v>
      </c>
      <c r="G225">
        <v>257</v>
      </c>
      <c r="H225">
        <v>0</v>
      </c>
      <c r="I225">
        <v>48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0.36241610738255031</v>
      </c>
      <c r="M225" s="4">
        <f>IFERROR(AV_PLAN[[#This Row],[TERMINO REAL ACUMULADO]]/AV_PLAN[[#This Row],[TERMINO PLAN ACUMULADO]],"")</f>
        <v>0.1867704280155642</v>
      </c>
      <c r="N225">
        <f>+AV_PLAN[[#This Row],[PLAN ACUMULADO]]-AV_PLAN[[#This Row],[INICIO REAL ACUMULADO]]</f>
        <v>190</v>
      </c>
      <c r="O225">
        <f>+AV_PLAN[[#This Row],[TERMINO PLAN ACUMULADO]]-AV_PLAN[[#This Row],[TERMINO REAL ACUMULADO]]</f>
        <v>209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0.15340909090909091</v>
      </c>
      <c r="S225" s="7">
        <f>+AV_PLAN[[#This Row],[TERMINO PLAN ACUMULADO]]/$G$471</f>
        <v>0.36505681818181818</v>
      </c>
      <c r="T225" s="7">
        <f t="shared" si="7"/>
        <v>6.8181818181818177E-2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108</v>
      </c>
      <c r="F226">
        <v>1</v>
      </c>
      <c r="G226">
        <v>258</v>
      </c>
      <c r="H226">
        <v>0</v>
      </c>
      <c r="I226">
        <v>48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0.35880398671096347</v>
      </c>
      <c r="M226" s="4">
        <f>IFERROR(AV_PLAN[[#This Row],[TERMINO REAL ACUMULADO]]/AV_PLAN[[#This Row],[TERMINO PLAN ACUMULADO]],"")</f>
        <v>0.18604651162790697</v>
      </c>
      <c r="N226">
        <f>+AV_PLAN[[#This Row],[PLAN ACUMULADO]]-AV_PLAN[[#This Row],[INICIO REAL ACUMULADO]]</f>
        <v>193</v>
      </c>
      <c r="O226">
        <f>+AV_PLAN[[#This Row],[TERMINO PLAN ACUMULADO]]-AV_PLAN[[#This Row],[TERMINO REAL ACUMULADO]]</f>
        <v>210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0.15340909090909091</v>
      </c>
      <c r="S226" s="7">
        <f>+AV_PLAN[[#This Row],[TERMINO PLAN ACUMULADO]]/$G$471</f>
        <v>0.36647727272727271</v>
      </c>
      <c r="T226" s="7">
        <f t="shared" si="7"/>
        <v>6.8181818181818177E-2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108</v>
      </c>
      <c r="F227">
        <v>1</v>
      </c>
      <c r="G227">
        <v>259</v>
      </c>
      <c r="H227">
        <v>0</v>
      </c>
      <c r="I227">
        <v>48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0.35526315789473684</v>
      </c>
      <c r="M227" s="4">
        <f>IFERROR(AV_PLAN[[#This Row],[TERMINO REAL ACUMULADO]]/AV_PLAN[[#This Row],[TERMINO PLAN ACUMULADO]],"")</f>
        <v>0.18532818532818532</v>
      </c>
      <c r="N227">
        <f>+AV_PLAN[[#This Row],[PLAN ACUMULADO]]-AV_PLAN[[#This Row],[INICIO REAL ACUMULADO]]</f>
        <v>196</v>
      </c>
      <c r="O227">
        <f>+AV_PLAN[[#This Row],[TERMINO PLAN ACUMULADO]]-AV_PLAN[[#This Row],[TERMINO REAL ACUMULADO]]</f>
        <v>211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0.15340909090909091</v>
      </c>
      <c r="S227" s="7">
        <f>+AV_PLAN[[#This Row],[TERMINO PLAN ACUMULADO]]/$G$471</f>
        <v>0.36789772727272729</v>
      </c>
      <c r="T227" s="7">
        <f t="shared" si="7"/>
        <v>6.8181818181818177E-2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108</v>
      </c>
      <c r="F228">
        <v>3</v>
      </c>
      <c r="G228">
        <v>262</v>
      </c>
      <c r="H228">
        <v>0</v>
      </c>
      <c r="I228">
        <v>48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0.3517915309446254</v>
      </c>
      <c r="M228" s="4">
        <f>IFERROR(AV_PLAN[[#This Row],[TERMINO REAL ACUMULADO]]/AV_PLAN[[#This Row],[TERMINO PLAN ACUMULADO]],"")</f>
        <v>0.18320610687022901</v>
      </c>
      <c r="N228">
        <f>+AV_PLAN[[#This Row],[PLAN ACUMULADO]]-AV_PLAN[[#This Row],[INICIO REAL ACUMULADO]]</f>
        <v>199</v>
      </c>
      <c r="O228">
        <f>+AV_PLAN[[#This Row],[TERMINO PLAN ACUMULADO]]-AV_PLAN[[#This Row],[TERMINO REAL ACUMULADO]]</f>
        <v>214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0.15340909090909091</v>
      </c>
      <c r="S228" s="7">
        <f>+AV_PLAN[[#This Row],[TERMINO PLAN ACUMULADO]]/$G$471</f>
        <v>0.37215909090909088</v>
      </c>
      <c r="T228" s="7">
        <f t="shared" si="7"/>
        <v>6.8181818181818177E-2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108</v>
      </c>
      <c r="F229">
        <v>3</v>
      </c>
      <c r="G229">
        <v>265</v>
      </c>
      <c r="H229">
        <v>0</v>
      </c>
      <c r="I229">
        <v>48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0.34838709677419355</v>
      </c>
      <c r="M229" s="4">
        <f>IFERROR(AV_PLAN[[#This Row],[TERMINO REAL ACUMULADO]]/AV_PLAN[[#This Row],[TERMINO PLAN ACUMULADO]],"")</f>
        <v>0.1811320754716981</v>
      </c>
      <c r="N229">
        <f>+AV_PLAN[[#This Row],[PLAN ACUMULADO]]-AV_PLAN[[#This Row],[INICIO REAL ACUMULADO]]</f>
        <v>202</v>
      </c>
      <c r="O229">
        <f>+AV_PLAN[[#This Row],[TERMINO PLAN ACUMULADO]]-AV_PLAN[[#This Row],[TERMINO REAL ACUMULADO]]</f>
        <v>217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0.15340909090909091</v>
      </c>
      <c r="S229" s="7">
        <f>+AV_PLAN[[#This Row],[TERMINO PLAN ACUMULADO]]/$G$471</f>
        <v>0.37642045454545453</v>
      </c>
      <c r="T229" s="7">
        <f t="shared" si="7"/>
        <v>6.8181818181818177E-2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108</v>
      </c>
      <c r="F230">
        <v>2</v>
      </c>
      <c r="G230">
        <v>267</v>
      </c>
      <c r="H230">
        <v>0</v>
      </c>
      <c r="I230">
        <v>48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0.34504792332268369</v>
      </c>
      <c r="M230" s="4">
        <f>IFERROR(AV_PLAN[[#This Row],[TERMINO REAL ACUMULADO]]/AV_PLAN[[#This Row],[TERMINO PLAN ACUMULADO]],"")</f>
        <v>0.1797752808988764</v>
      </c>
      <c r="N230">
        <f>+AV_PLAN[[#This Row],[PLAN ACUMULADO]]-AV_PLAN[[#This Row],[INICIO REAL ACUMULADO]]</f>
        <v>205</v>
      </c>
      <c r="O230">
        <f>+AV_PLAN[[#This Row],[TERMINO PLAN ACUMULADO]]-AV_PLAN[[#This Row],[TERMINO REAL ACUMULADO]]</f>
        <v>219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0.15340909090909091</v>
      </c>
      <c r="S230" s="7">
        <f>+AV_PLAN[[#This Row],[TERMINO PLAN ACUMULADO]]/$G$471</f>
        <v>0.37926136363636365</v>
      </c>
      <c r="T230" s="7">
        <f t="shared" si="7"/>
        <v>6.8181818181818177E-2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108</v>
      </c>
      <c r="F231">
        <v>2</v>
      </c>
      <c r="G231">
        <v>269</v>
      </c>
      <c r="H231">
        <v>0</v>
      </c>
      <c r="I231">
        <v>48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0.34504792332268369</v>
      </c>
      <c r="M231" s="4">
        <f>IFERROR(AV_PLAN[[#This Row],[TERMINO REAL ACUMULADO]]/AV_PLAN[[#This Row],[TERMINO PLAN ACUMULADO]],"")</f>
        <v>0.17843866171003717</v>
      </c>
      <c r="N231">
        <f>+AV_PLAN[[#This Row],[PLAN ACUMULADO]]-AV_PLAN[[#This Row],[INICIO REAL ACUMULADO]]</f>
        <v>205</v>
      </c>
      <c r="O231">
        <f>+AV_PLAN[[#This Row],[TERMINO PLAN ACUMULADO]]-AV_PLAN[[#This Row],[TERMINO REAL ACUMULADO]]</f>
        <v>221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0.15340909090909091</v>
      </c>
      <c r="S231" s="7">
        <f>+AV_PLAN[[#This Row],[TERMINO PLAN ACUMULADO]]/$G$471</f>
        <v>0.38210227272727271</v>
      </c>
      <c r="T231" s="7">
        <f t="shared" si="7"/>
        <v>6.8181818181818177E-2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108</v>
      </c>
      <c r="F232">
        <v>2</v>
      </c>
      <c r="G232">
        <v>271</v>
      </c>
      <c r="H232">
        <v>0</v>
      </c>
      <c r="I232">
        <v>48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0.34504792332268369</v>
      </c>
      <c r="M232" s="4">
        <f>IFERROR(AV_PLAN[[#This Row],[TERMINO REAL ACUMULADO]]/AV_PLAN[[#This Row],[TERMINO PLAN ACUMULADO]],"")</f>
        <v>0.17712177121771217</v>
      </c>
      <c r="N232">
        <f>+AV_PLAN[[#This Row],[PLAN ACUMULADO]]-AV_PLAN[[#This Row],[INICIO REAL ACUMULADO]]</f>
        <v>205</v>
      </c>
      <c r="O232">
        <f>+AV_PLAN[[#This Row],[TERMINO PLAN ACUMULADO]]-AV_PLAN[[#This Row],[TERMINO REAL ACUMULADO]]</f>
        <v>223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0.15340909090909091</v>
      </c>
      <c r="S232" s="7">
        <f>+AV_PLAN[[#This Row],[TERMINO PLAN ACUMULADO]]/$G$471</f>
        <v>0.38494318181818182</v>
      </c>
      <c r="T232" s="7">
        <f t="shared" si="7"/>
        <v>6.8181818181818177E-2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108</v>
      </c>
      <c r="F233">
        <v>1</v>
      </c>
      <c r="G233">
        <v>272</v>
      </c>
      <c r="H233">
        <v>0</v>
      </c>
      <c r="I233">
        <v>48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0.34177215189873417</v>
      </c>
      <c r="M233" s="4">
        <f>IFERROR(AV_PLAN[[#This Row],[TERMINO REAL ACUMULADO]]/AV_PLAN[[#This Row],[TERMINO PLAN ACUMULADO]],"")</f>
        <v>0.17647058823529413</v>
      </c>
      <c r="N233">
        <f>+AV_PLAN[[#This Row],[PLAN ACUMULADO]]-AV_PLAN[[#This Row],[INICIO REAL ACUMULADO]]</f>
        <v>208</v>
      </c>
      <c r="O233">
        <f>+AV_PLAN[[#This Row],[TERMINO PLAN ACUMULADO]]-AV_PLAN[[#This Row],[TERMINO REAL ACUMULADO]]</f>
        <v>224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0.15340909090909091</v>
      </c>
      <c r="S233" s="7">
        <f>+AV_PLAN[[#This Row],[TERMINO PLAN ACUMULADO]]/$G$471</f>
        <v>0.38636363636363635</v>
      </c>
      <c r="T233" s="7">
        <f t="shared" si="7"/>
        <v>6.8181818181818177E-2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108</v>
      </c>
      <c r="F234">
        <v>0</v>
      </c>
      <c r="G234">
        <v>272</v>
      </c>
      <c r="H234">
        <v>0</v>
      </c>
      <c r="I234">
        <v>48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0.33855799373040751</v>
      </c>
      <c r="M234" s="4">
        <f>IFERROR(AV_PLAN[[#This Row],[TERMINO REAL ACUMULADO]]/AV_PLAN[[#This Row],[TERMINO PLAN ACUMULADO]],"")</f>
        <v>0.17647058823529413</v>
      </c>
      <c r="N234">
        <f>+AV_PLAN[[#This Row],[PLAN ACUMULADO]]-AV_PLAN[[#This Row],[INICIO REAL ACUMULADO]]</f>
        <v>211</v>
      </c>
      <c r="O234">
        <f>+AV_PLAN[[#This Row],[TERMINO PLAN ACUMULADO]]-AV_PLAN[[#This Row],[TERMINO REAL ACUMULADO]]</f>
        <v>224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0.15340909090909091</v>
      </c>
      <c r="S234" s="7">
        <f>+AV_PLAN[[#This Row],[TERMINO PLAN ACUMULADO]]/$G$471</f>
        <v>0.38636363636363635</v>
      </c>
      <c r="T234" s="7">
        <f t="shared" si="7"/>
        <v>6.8181818181818177E-2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108</v>
      </c>
      <c r="F235">
        <v>1</v>
      </c>
      <c r="G235">
        <v>273</v>
      </c>
      <c r="H235">
        <v>0</v>
      </c>
      <c r="I235">
        <v>48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0.33540372670807456</v>
      </c>
      <c r="M235" s="4">
        <f>IFERROR(AV_PLAN[[#This Row],[TERMINO REAL ACUMULADO]]/AV_PLAN[[#This Row],[TERMINO PLAN ACUMULADO]],"")</f>
        <v>0.17582417582417584</v>
      </c>
      <c r="N235">
        <f>+AV_PLAN[[#This Row],[PLAN ACUMULADO]]-AV_PLAN[[#This Row],[INICIO REAL ACUMULADO]]</f>
        <v>214</v>
      </c>
      <c r="O235">
        <f>+AV_PLAN[[#This Row],[TERMINO PLAN ACUMULADO]]-AV_PLAN[[#This Row],[TERMINO REAL ACUMULADO]]</f>
        <v>225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0.15340909090909091</v>
      </c>
      <c r="S235" s="7">
        <f>+AV_PLAN[[#This Row],[TERMINO PLAN ACUMULADO]]/$G$471</f>
        <v>0.38778409090909088</v>
      </c>
      <c r="T235" s="7">
        <f t="shared" si="7"/>
        <v>6.8181818181818177E-2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108</v>
      </c>
      <c r="F236">
        <v>2</v>
      </c>
      <c r="G236">
        <v>275</v>
      </c>
      <c r="H236">
        <v>0</v>
      </c>
      <c r="I236">
        <v>48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0.3323076923076923</v>
      </c>
      <c r="M236" s="4">
        <f>IFERROR(AV_PLAN[[#This Row],[TERMINO REAL ACUMULADO]]/AV_PLAN[[#This Row],[TERMINO PLAN ACUMULADO]],"")</f>
        <v>0.17454545454545456</v>
      </c>
      <c r="N236">
        <f>+AV_PLAN[[#This Row],[PLAN ACUMULADO]]-AV_PLAN[[#This Row],[INICIO REAL ACUMULADO]]</f>
        <v>217</v>
      </c>
      <c r="O236">
        <f>+AV_PLAN[[#This Row],[TERMINO PLAN ACUMULADO]]-AV_PLAN[[#This Row],[TERMINO REAL ACUMULADO]]</f>
        <v>227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0.15340909090909091</v>
      </c>
      <c r="S236" s="7">
        <f>+AV_PLAN[[#This Row],[TERMINO PLAN ACUMULADO]]/$G$471</f>
        <v>0.390625</v>
      </c>
      <c r="T236" s="7">
        <f t="shared" si="7"/>
        <v>6.8181818181818177E-2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108</v>
      </c>
      <c r="F237">
        <v>2</v>
      </c>
      <c r="G237">
        <v>277</v>
      </c>
      <c r="H237">
        <v>0</v>
      </c>
      <c r="I237">
        <v>48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0.32926829268292684</v>
      </c>
      <c r="M237" s="4">
        <f>IFERROR(AV_PLAN[[#This Row],[TERMINO REAL ACUMULADO]]/AV_PLAN[[#This Row],[TERMINO PLAN ACUMULADO]],"")</f>
        <v>0.17328519855595667</v>
      </c>
      <c r="N237">
        <f>+AV_PLAN[[#This Row],[PLAN ACUMULADO]]-AV_PLAN[[#This Row],[INICIO REAL ACUMULADO]]</f>
        <v>220</v>
      </c>
      <c r="O237">
        <f>+AV_PLAN[[#This Row],[TERMINO PLAN ACUMULADO]]-AV_PLAN[[#This Row],[TERMINO REAL ACUMULADO]]</f>
        <v>229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0.15340909090909091</v>
      </c>
      <c r="S237" s="7">
        <f>+AV_PLAN[[#This Row],[TERMINO PLAN ACUMULADO]]/$G$471</f>
        <v>0.39346590909090912</v>
      </c>
      <c r="T237" s="7">
        <f t="shared" si="7"/>
        <v>6.8181818181818177E-2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108</v>
      </c>
      <c r="F238">
        <v>1</v>
      </c>
      <c r="G238">
        <v>278</v>
      </c>
      <c r="H238">
        <v>0</v>
      </c>
      <c r="I238">
        <v>48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0.32926829268292684</v>
      </c>
      <c r="M238" s="4">
        <f>IFERROR(AV_PLAN[[#This Row],[TERMINO REAL ACUMULADO]]/AV_PLAN[[#This Row],[TERMINO PLAN ACUMULADO]],"")</f>
        <v>0.17266187050359713</v>
      </c>
      <c r="N238">
        <f>+AV_PLAN[[#This Row],[PLAN ACUMULADO]]-AV_PLAN[[#This Row],[INICIO REAL ACUMULADO]]</f>
        <v>220</v>
      </c>
      <c r="O238">
        <f>+AV_PLAN[[#This Row],[TERMINO PLAN ACUMULADO]]-AV_PLAN[[#This Row],[TERMINO REAL ACUMULADO]]</f>
        <v>230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0.15340909090909091</v>
      </c>
      <c r="S238" s="7">
        <f>+AV_PLAN[[#This Row],[TERMINO PLAN ACUMULADO]]/$G$471</f>
        <v>0.39488636363636365</v>
      </c>
      <c r="T238" s="7">
        <f t="shared" si="7"/>
        <v>6.8181818181818177E-2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108</v>
      </c>
      <c r="F239">
        <v>3</v>
      </c>
      <c r="G239">
        <v>281</v>
      </c>
      <c r="H239">
        <v>0</v>
      </c>
      <c r="I239">
        <v>48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0.32926829268292684</v>
      </c>
      <c r="M239" s="4">
        <f>IFERROR(AV_PLAN[[#This Row],[TERMINO REAL ACUMULADO]]/AV_PLAN[[#This Row],[TERMINO PLAN ACUMULADO]],"")</f>
        <v>0.1708185053380783</v>
      </c>
      <c r="N239">
        <f>+AV_PLAN[[#This Row],[PLAN ACUMULADO]]-AV_PLAN[[#This Row],[INICIO REAL ACUMULADO]]</f>
        <v>220</v>
      </c>
      <c r="O239">
        <f>+AV_PLAN[[#This Row],[TERMINO PLAN ACUMULADO]]-AV_PLAN[[#This Row],[TERMINO REAL ACUMULADO]]</f>
        <v>233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0.15340909090909091</v>
      </c>
      <c r="S239" s="7">
        <f>+AV_PLAN[[#This Row],[TERMINO PLAN ACUMULADO]]/$G$471</f>
        <v>0.39914772727272729</v>
      </c>
      <c r="T239" s="7">
        <f t="shared" si="7"/>
        <v>6.8181818181818177E-2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108</v>
      </c>
      <c r="F240">
        <v>2</v>
      </c>
      <c r="G240">
        <v>283</v>
      </c>
      <c r="H240">
        <v>0</v>
      </c>
      <c r="I240">
        <v>48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0.32628398791540786</v>
      </c>
      <c r="M240" s="4">
        <f>IFERROR(AV_PLAN[[#This Row],[TERMINO REAL ACUMULADO]]/AV_PLAN[[#This Row],[TERMINO PLAN ACUMULADO]],"")</f>
        <v>0.16961130742049471</v>
      </c>
      <c r="N240">
        <f>+AV_PLAN[[#This Row],[PLAN ACUMULADO]]-AV_PLAN[[#This Row],[INICIO REAL ACUMULADO]]</f>
        <v>223</v>
      </c>
      <c r="O240">
        <f>+AV_PLAN[[#This Row],[TERMINO PLAN ACUMULADO]]-AV_PLAN[[#This Row],[TERMINO REAL ACUMULADO]]</f>
        <v>235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0.15340909090909091</v>
      </c>
      <c r="S240" s="7">
        <f>+AV_PLAN[[#This Row],[TERMINO PLAN ACUMULADO]]/$G$471</f>
        <v>0.40198863636363635</v>
      </c>
      <c r="T240" s="7">
        <f t="shared" si="7"/>
        <v>6.8181818181818177E-2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108</v>
      </c>
      <c r="F241">
        <v>1</v>
      </c>
      <c r="G241">
        <v>284</v>
      </c>
      <c r="H241">
        <v>0</v>
      </c>
      <c r="I241">
        <v>48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0.32335329341317365</v>
      </c>
      <c r="M241" s="4">
        <f>IFERROR(AV_PLAN[[#This Row],[TERMINO REAL ACUMULADO]]/AV_PLAN[[#This Row],[TERMINO PLAN ACUMULADO]],"")</f>
        <v>0.16901408450704225</v>
      </c>
      <c r="N241">
        <f>+AV_PLAN[[#This Row],[PLAN ACUMULADO]]-AV_PLAN[[#This Row],[INICIO REAL ACUMULADO]]</f>
        <v>226</v>
      </c>
      <c r="O241">
        <f>+AV_PLAN[[#This Row],[TERMINO PLAN ACUMULADO]]-AV_PLAN[[#This Row],[TERMINO REAL ACUMULADO]]</f>
        <v>236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0.15340909090909091</v>
      </c>
      <c r="S241" s="7">
        <f>+AV_PLAN[[#This Row],[TERMINO PLAN ACUMULADO]]/$G$471</f>
        <v>0.40340909090909088</v>
      </c>
      <c r="T241" s="7">
        <f t="shared" si="7"/>
        <v>6.8181818181818177E-2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108</v>
      </c>
      <c r="F242">
        <v>3</v>
      </c>
      <c r="G242">
        <v>287</v>
      </c>
      <c r="H242">
        <v>0</v>
      </c>
      <c r="I242">
        <v>48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0.32047477744807124</v>
      </c>
      <c r="M242" s="4">
        <f>IFERROR(AV_PLAN[[#This Row],[TERMINO REAL ACUMULADO]]/AV_PLAN[[#This Row],[TERMINO PLAN ACUMULADO]],"")</f>
        <v>0.1672473867595819</v>
      </c>
      <c r="N242">
        <f>+AV_PLAN[[#This Row],[PLAN ACUMULADO]]-AV_PLAN[[#This Row],[INICIO REAL ACUMULADO]]</f>
        <v>229</v>
      </c>
      <c r="O242">
        <f>+AV_PLAN[[#This Row],[TERMINO PLAN ACUMULADO]]-AV_PLAN[[#This Row],[TERMINO REAL ACUMULADO]]</f>
        <v>239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0.15340909090909091</v>
      </c>
      <c r="S242" s="7">
        <f>+AV_PLAN[[#This Row],[TERMINO PLAN ACUMULADO]]/$G$471</f>
        <v>0.40767045454545453</v>
      </c>
      <c r="T242" s="7">
        <f t="shared" si="7"/>
        <v>6.8181818181818177E-2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108</v>
      </c>
      <c r="F243">
        <v>4</v>
      </c>
      <c r="G243">
        <v>291</v>
      </c>
      <c r="H243">
        <v>0</v>
      </c>
      <c r="I243">
        <v>48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0.31764705882352939</v>
      </c>
      <c r="M243" s="4">
        <f>IFERROR(AV_PLAN[[#This Row],[TERMINO REAL ACUMULADO]]/AV_PLAN[[#This Row],[TERMINO PLAN ACUMULADO]],"")</f>
        <v>0.16494845360824742</v>
      </c>
      <c r="N243">
        <f>+AV_PLAN[[#This Row],[PLAN ACUMULADO]]-AV_PLAN[[#This Row],[INICIO REAL ACUMULADO]]</f>
        <v>232</v>
      </c>
      <c r="O243">
        <f>+AV_PLAN[[#This Row],[TERMINO PLAN ACUMULADO]]-AV_PLAN[[#This Row],[TERMINO REAL ACUMULADO]]</f>
        <v>243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0.15340909090909091</v>
      </c>
      <c r="S243" s="7">
        <f>+AV_PLAN[[#This Row],[TERMINO PLAN ACUMULADO]]/$G$471</f>
        <v>0.41335227272727271</v>
      </c>
      <c r="T243" s="7">
        <f t="shared" si="7"/>
        <v>6.8181818181818177E-2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108</v>
      </c>
      <c r="F244">
        <v>0</v>
      </c>
      <c r="G244">
        <v>291</v>
      </c>
      <c r="H244">
        <v>0</v>
      </c>
      <c r="I244">
        <v>48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0.31486880466472306</v>
      </c>
      <c r="M244" s="4">
        <f>IFERROR(AV_PLAN[[#This Row],[TERMINO REAL ACUMULADO]]/AV_PLAN[[#This Row],[TERMINO PLAN ACUMULADO]],"")</f>
        <v>0.16494845360824742</v>
      </c>
      <c r="N244">
        <f>+AV_PLAN[[#This Row],[PLAN ACUMULADO]]-AV_PLAN[[#This Row],[INICIO REAL ACUMULADO]]</f>
        <v>235</v>
      </c>
      <c r="O244">
        <f>+AV_PLAN[[#This Row],[TERMINO PLAN ACUMULADO]]-AV_PLAN[[#This Row],[TERMINO REAL ACUMULADO]]</f>
        <v>243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0.15340909090909091</v>
      </c>
      <c r="S244" s="7">
        <f>+AV_PLAN[[#This Row],[TERMINO PLAN ACUMULADO]]/$G$471</f>
        <v>0.41335227272727271</v>
      </c>
      <c r="T244" s="7">
        <f t="shared" si="7"/>
        <v>6.8181818181818177E-2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108</v>
      </c>
      <c r="F245">
        <v>0</v>
      </c>
      <c r="G245">
        <v>291</v>
      </c>
      <c r="H245">
        <v>0</v>
      </c>
      <c r="I245">
        <v>48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0.31486880466472306</v>
      </c>
      <c r="M245" s="4">
        <f>IFERROR(AV_PLAN[[#This Row],[TERMINO REAL ACUMULADO]]/AV_PLAN[[#This Row],[TERMINO PLAN ACUMULADO]],"")</f>
        <v>0.16494845360824742</v>
      </c>
      <c r="N245">
        <f>+AV_PLAN[[#This Row],[PLAN ACUMULADO]]-AV_PLAN[[#This Row],[INICIO REAL ACUMULADO]]</f>
        <v>235</v>
      </c>
      <c r="O245">
        <f>+AV_PLAN[[#This Row],[TERMINO PLAN ACUMULADO]]-AV_PLAN[[#This Row],[TERMINO REAL ACUMULADO]]</f>
        <v>243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0.15340909090909091</v>
      </c>
      <c r="S245" s="7">
        <f>+AV_PLAN[[#This Row],[TERMINO PLAN ACUMULADO]]/$G$471</f>
        <v>0.41335227272727271</v>
      </c>
      <c r="T245" s="7">
        <f t="shared" si="7"/>
        <v>6.8181818181818177E-2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108</v>
      </c>
      <c r="F246">
        <v>2</v>
      </c>
      <c r="G246">
        <v>293</v>
      </c>
      <c r="H246">
        <v>0</v>
      </c>
      <c r="I246">
        <v>48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0.31486880466472306</v>
      </c>
      <c r="M246" s="4">
        <f>IFERROR(AV_PLAN[[#This Row],[TERMINO REAL ACUMULADO]]/AV_PLAN[[#This Row],[TERMINO PLAN ACUMULADO]],"")</f>
        <v>0.16382252559726962</v>
      </c>
      <c r="N246">
        <f>+AV_PLAN[[#This Row],[PLAN ACUMULADO]]-AV_PLAN[[#This Row],[INICIO REAL ACUMULADO]]</f>
        <v>235</v>
      </c>
      <c r="O246">
        <f>+AV_PLAN[[#This Row],[TERMINO PLAN ACUMULADO]]-AV_PLAN[[#This Row],[TERMINO REAL ACUMULADO]]</f>
        <v>245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0.15340909090909091</v>
      </c>
      <c r="S246" s="7">
        <f>+AV_PLAN[[#This Row],[TERMINO PLAN ACUMULADO]]/$G$471</f>
        <v>0.41619318181818182</v>
      </c>
      <c r="T246" s="7">
        <f t="shared" si="7"/>
        <v>6.8181818181818177E-2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108</v>
      </c>
      <c r="F247">
        <v>1</v>
      </c>
      <c r="G247">
        <v>294</v>
      </c>
      <c r="H247">
        <v>0</v>
      </c>
      <c r="I247">
        <v>48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0.31213872832369943</v>
      </c>
      <c r="M247" s="4">
        <f>IFERROR(AV_PLAN[[#This Row],[TERMINO REAL ACUMULADO]]/AV_PLAN[[#This Row],[TERMINO PLAN ACUMULADO]],"")</f>
        <v>0.16326530612244897</v>
      </c>
      <c r="N247">
        <f>+AV_PLAN[[#This Row],[PLAN ACUMULADO]]-AV_PLAN[[#This Row],[INICIO REAL ACUMULADO]]</f>
        <v>238</v>
      </c>
      <c r="O247">
        <f>+AV_PLAN[[#This Row],[TERMINO PLAN ACUMULADO]]-AV_PLAN[[#This Row],[TERMINO REAL ACUMULADO]]</f>
        <v>246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0.15340909090909091</v>
      </c>
      <c r="S247" s="7">
        <f>+AV_PLAN[[#This Row],[TERMINO PLAN ACUMULADO]]/$G$471</f>
        <v>0.41761363636363635</v>
      </c>
      <c r="T247" s="7">
        <f t="shared" si="7"/>
        <v>6.8181818181818177E-2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108</v>
      </c>
      <c r="F248">
        <v>1</v>
      </c>
      <c r="G248">
        <v>295</v>
      </c>
      <c r="H248">
        <v>0</v>
      </c>
      <c r="I248">
        <v>48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0.30945558739255014</v>
      </c>
      <c r="M248" s="4">
        <f>IFERROR(AV_PLAN[[#This Row],[TERMINO REAL ACUMULADO]]/AV_PLAN[[#This Row],[TERMINO PLAN ACUMULADO]],"")</f>
        <v>0.16271186440677965</v>
      </c>
      <c r="N248">
        <f>+AV_PLAN[[#This Row],[PLAN ACUMULADO]]-AV_PLAN[[#This Row],[INICIO REAL ACUMULADO]]</f>
        <v>241</v>
      </c>
      <c r="O248">
        <f>+AV_PLAN[[#This Row],[TERMINO PLAN ACUMULADO]]-AV_PLAN[[#This Row],[TERMINO REAL ACUMULADO]]</f>
        <v>247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0.15340909090909091</v>
      </c>
      <c r="S248" s="7">
        <f>+AV_PLAN[[#This Row],[TERMINO PLAN ACUMULADO]]/$G$471</f>
        <v>0.41903409090909088</v>
      </c>
      <c r="T248" s="7">
        <f t="shared" si="7"/>
        <v>6.8181818181818177E-2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108</v>
      </c>
      <c r="F249">
        <v>3</v>
      </c>
      <c r="G249">
        <v>298</v>
      </c>
      <c r="H249">
        <v>0</v>
      </c>
      <c r="I249">
        <v>48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0.30681818181818182</v>
      </c>
      <c r="M249" s="4">
        <f>IFERROR(AV_PLAN[[#This Row],[TERMINO REAL ACUMULADO]]/AV_PLAN[[#This Row],[TERMINO PLAN ACUMULADO]],"")</f>
        <v>0.16107382550335569</v>
      </c>
      <c r="N249">
        <f>+AV_PLAN[[#This Row],[PLAN ACUMULADO]]-AV_PLAN[[#This Row],[INICIO REAL ACUMULADO]]</f>
        <v>244</v>
      </c>
      <c r="O249">
        <f>+AV_PLAN[[#This Row],[TERMINO PLAN ACUMULADO]]-AV_PLAN[[#This Row],[TERMINO REAL ACUMULADO]]</f>
        <v>250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0.15340909090909091</v>
      </c>
      <c r="S249" s="7">
        <f>+AV_PLAN[[#This Row],[TERMINO PLAN ACUMULADO]]/$G$471</f>
        <v>0.42329545454545453</v>
      </c>
      <c r="T249" s="7">
        <f t="shared" si="7"/>
        <v>6.8181818181818177E-2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108</v>
      </c>
      <c r="F250">
        <v>3</v>
      </c>
      <c r="G250">
        <v>301</v>
      </c>
      <c r="H250">
        <v>0</v>
      </c>
      <c r="I250">
        <v>48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0.30422535211267604</v>
      </c>
      <c r="M250" s="4">
        <f>IFERROR(AV_PLAN[[#This Row],[TERMINO REAL ACUMULADO]]/AV_PLAN[[#This Row],[TERMINO PLAN ACUMULADO]],"")</f>
        <v>0.15946843853820597</v>
      </c>
      <c r="N250">
        <f>+AV_PLAN[[#This Row],[PLAN ACUMULADO]]-AV_PLAN[[#This Row],[INICIO REAL ACUMULADO]]</f>
        <v>247</v>
      </c>
      <c r="O250">
        <f>+AV_PLAN[[#This Row],[TERMINO PLAN ACUMULADO]]-AV_PLAN[[#This Row],[TERMINO REAL ACUMULADO]]</f>
        <v>253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0.15340909090909091</v>
      </c>
      <c r="S250" s="7">
        <f>+AV_PLAN[[#This Row],[TERMINO PLAN ACUMULADO]]/$G$471</f>
        <v>0.42755681818181818</v>
      </c>
      <c r="T250" s="7">
        <f t="shared" si="7"/>
        <v>6.8181818181818177E-2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108</v>
      </c>
      <c r="F251">
        <v>2</v>
      </c>
      <c r="G251">
        <v>303</v>
      </c>
      <c r="H251">
        <v>0</v>
      </c>
      <c r="I251">
        <v>48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0.3016759776536313</v>
      </c>
      <c r="M251" s="4">
        <f>IFERROR(AV_PLAN[[#This Row],[TERMINO REAL ACUMULADO]]/AV_PLAN[[#This Row],[TERMINO PLAN ACUMULADO]],"")</f>
        <v>0.15841584158415842</v>
      </c>
      <c r="N251">
        <f>+AV_PLAN[[#This Row],[PLAN ACUMULADO]]-AV_PLAN[[#This Row],[INICIO REAL ACUMULADO]]</f>
        <v>250</v>
      </c>
      <c r="O251">
        <f>+AV_PLAN[[#This Row],[TERMINO PLAN ACUMULADO]]-AV_PLAN[[#This Row],[TERMINO REAL ACUMULADO]]</f>
        <v>255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0.15340909090909091</v>
      </c>
      <c r="S251" s="7">
        <f>+AV_PLAN[[#This Row],[TERMINO PLAN ACUMULADO]]/$G$471</f>
        <v>0.43039772727272729</v>
      </c>
      <c r="T251" s="7">
        <f t="shared" si="7"/>
        <v>6.8181818181818177E-2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108</v>
      </c>
      <c r="F252">
        <v>2</v>
      </c>
      <c r="G252">
        <v>305</v>
      </c>
      <c r="H252">
        <v>0</v>
      </c>
      <c r="I252">
        <v>48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0.3016759776536313</v>
      </c>
      <c r="M252" s="4">
        <f>IFERROR(AV_PLAN[[#This Row],[TERMINO REAL ACUMULADO]]/AV_PLAN[[#This Row],[TERMINO PLAN ACUMULADO]],"")</f>
        <v>0.15737704918032788</v>
      </c>
      <c r="N252">
        <f>+AV_PLAN[[#This Row],[PLAN ACUMULADO]]-AV_PLAN[[#This Row],[INICIO REAL ACUMULADO]]</f>
        <v>250</v>
      </c>
      <c r="O252">
        <f>+AV_PLAN[[#This Row],[TERMINO PLAN ACUMULADO]]-AV_PLAN[[#This Row],[TERMINO REAL ACUMULADO]]</f>
        <v>257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0.15340909090909091</v>
      </c>
      <c r="S252" s="7">
        <f>+AV_PLAN[[#This Row],[TERMINO PLAN ACUMULADO]]/$G$471</f>
        <v>0.43323863636363635</v>
      </c>
      <c r="T252" s="7">
        <f t="shared" si="7"/>
        <v>6.8181818181818177E-2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108</v>
      </c>
      <c r="F253">
        <v>2</v>
      </c>
      <c r="G253">
        <v>307</v>
      </c>
      <c r="H253">
        <v>0</v>
      </c>
      <c r="I253">
        <v>48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0.3016759776536313</v>
      </c>
      <c r="M253" s="4">
        <f>IFERROR(AV_PLAN[[#This Row],[TERMINO REAL ACUMULADO]]/AV_PLAN[[#This Row],[TERMINO PLAN ACUMULADO]],"")</f>
        <v>0.15635179153094461</v>
      </c>
      <c r="N253">
        <f>+AV_PLAN[[#This Row],[PLAN ACUMULADO]]-AV_PLAN[[#This Row],[INICIO REAL ACUMULADO]]</f>
        <v>250</v>
      </c>
      <c r="O253">
        <f>+AV_PLAN[[#This Row],[TERMINO PLAN ACUMULADO]]-AV_PLAN[[#This Row],[TERMINO REAL ACUMULADO]]</f>
        <v>259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0.15340909090909091</v>
      </c>
      <c r="S253" s="7">
        <f>+AV_PLAN[[#This Row],[TERMINO PLAN ACUMULADO]]/$G$471</f>
        <v>0.43607954545454547</v>
      </c>
      <c r="T253" s="7">
        <f t="shared" si="7"/>
        <v>6.8181818181818177E-2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108</v>
      </c>
      <c r="F254">
        <v>1</v>
      </c>
      <c r="G254">
        <v>308</v>
      </c>
      <c r="H254">
        <v>0</v>
      </c>
      <c r="I254">
        <v>48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0.29916897506925205</v>
      </c>
      <c r="M254" s="4">
        <f>IFERROR(AV_PLAN[[#This Row],[TERMINO REAL ACUMULADO]]/AV_PLAN[[#This Row],[TERMINO PLAN ACUMULADO]],"")</f>
        <v>0.15584415584415584</v>
      </c>
      <c r="N254">
        <f>+AV_PLAN[[#This Row],[PLAN ACUMULADO]]-AV_PLAN[[#This Row],[INICIO REAL ACUMULADO]]</f>
        <v>253</v>
      </c>
      <c r="O254">
        <f>+AV_PLAN[[#This Row],[TERMINO PLAN ACUMULADO]]-AV_PLAN[[#This Row],[TERMINO REAL ACUMULADO]]</f>
        <v>260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0.15340909090909091</v>
      </c>
      <c r="S254" s="7">
        <f>+AV_PLAN[[#This Row],[TERMINO PLAN ACUMULADO]]/$G$471</f>
        <v>0.4375</v>
      </c>
      <c r="T254" s="7">
        <f t="shared" si="7"/>
        <v>6.8181818181818177E-2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108</v>
      </c>
      <c r="F255">
        <v>2</v>
      </c>
      <c r="G255">
        <v>310</v>
      </c>
      <c r="H255">
        <v>0</v>
      </c>
      <c r="I255">
        <v>48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0.2967032967032967</v>
      </c>
      <c r="M255" s="4">
        <f>IFERROR(AV_PLAN[[#This Row],[TERMINO REAL ACUMULADO]]/AV_PLAN[[#This Row],[TERMINO PLAN ACUMULADO]],"")</f>
        <v>0.15483870967741936</v>
      </c>
      <c r="N255">
        <f>+AV_PLAN[[#This Row],[PLAN ACUMULADO]]-AV_PLAN[[#This Row],[INICIO REAL ACUMULADO]]</f>
        <v>256</v>
      </c>
      <c r="O255">
        <f>+AV_PLAN[[#This Row],[TERMINO PLAN ACUMULADO]]-AV_PLAN[[#This Row],[TERMINO REAL ACUMULADO]]</f>
        <v>262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0.15340909090909091</v>
      </c>
      <c r="S255" s="7">
        <f>+AV_PLAN[[#This Row],[TERMINO PLAN ACUMULADO]]/$G$471</f>
        <v>0.44034090909090912</v>
      </c>
      <c r="T255" s="7">
        <f t="shared" si="7"/>
        <v>6.8181818181818177E-2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108</v>
      </c>
      <c r="F256">
        <v>3</v>
      </c>
      <c r="G256">
        <v>313</v>
      </c>
      <c r="H256">
        <v>0</v>
      </c>
      <c r="I256">
        <v>48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0.29427792915531337</v>
      </c>
      <c r="M256" s="4">
        <f>IFERROR(AV_PLAN[[#This Row],[TERMINO REAL ACUMULADO]]/AV_PLAN[[#This Row],[TERMINO PLAN ACUMULADO]],"")</f>
        <v>0.15335463258785942</v>
      </c>
      <c r="N256">
        <f>+AV_PLAN[[#This Row],[PLAN ACUMULADO]]-AV_PLAN[[#This Row],[INICIO REAL ACUMULADO]]</f>
        <v>259</v>
      </c>
      <c r="O256">
        <f>+AV_PLAN[[#This Row],[TERMINO PLAN ACUMULADO]]-AV_PLAN[[#This Row],[TERMINO REAL ACUMULADO]]</f>
        <v>265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0.15340909090909091</v>
      </c>
      <c r="S256" s="7">
        <f>+AV_PLAN[[#This Row],[TERMINO PLAN ACUMULADO]]/$G$471</f>
        <v>0.44460227272727271</v>
      </c>
      <c r="T256" s="7">
        <f t="shared" si="7"/>
        <v>6.8181818181818177E-2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108</v>
      </c>
      <c r="F257">
        <v>3</v>
      </c>
      <c r="G257">
        <v>316</v>
      </c>
      <c r="H257">
        <v>0</v>
      </c>
      <c r="I257">
        <v>48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0.29189189189189191</v>
      </c>
      <c r="M257" s="4">
        <f>IFERROR(AV_PLAN[[#This Row],[TERMINO REAL ACUMULADO]]/AV_PLAN[[#This Row],[TERMINO PLAN ACUMULADO]],"")</f>
        <v>0.15189873417721519</v>
      </c>
      <c r="N257">
        <f>+AV_PLAN[[#This Row],[PLAN ACUMULADO]]-AV_PLAN[[#This Row],[INICIO REAL ACUMULADO]]</f>
        <v>262</v>
      </c>
      <c r="O257">
        <f>+AV_PLAN[[#This Row],[TERMINO PLAN ACUMULADO]]-AV_PLAN[[#This Row],[TERMINO REAL ACUMULADO]]</f>
        <v>268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0.15340909090909091</v>
      </c>
      <c r="S257" s="7">
        <f>+AV_PLAN[[#This Row],[TERMINO PLAN ACUMULADO]]/$G$471</f>
        <v>0.44886363636363635</v>
      </c>
      <c r="T257" s="7">
        <f t="shared" si="7"/>
        <v>6.8181818181818177E-2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108</v>
      </c>
      <c r="F258">
        <v>2</v>
      </c>
      <c r="G258">
        <v>318</v>
      </c>
      <c r="H258">
        <v>0</v>
      </c>
      <c r="I258">
        <v>48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0.289544235924933</v>
      </c>
      <c r="M258" s="4">
        <f>IFERROR(AV_PLAN[[#This Row],[TERMINO REAL ACUMULADO]]/AV_PLAN[[#This Row],[TERMINO PLAN ACUMULADO]],"")</f>
        <v>0.15094339622641509</v>
      </c>
      <c r="N258">
        <f>+AV_PLAN[[#This Row],[PLAN ACUMULADO]]-AV_PLAN[[#This Row],[INICIO REAL ACUMULADO]]</f>
        <v>265</v>
      </c>
      <c r="O258">
        <f>+AV_PLAN[[#This Row],[TERMINO PLAN ACUMULADO]]-AV_PLAN[[#This Row],[TERMINO REAL ACUMULADO]]</f>
        <v>270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0.15340909090909091</v>
      </c>
      <c r="S258" s="7">
        <f>+AV_PLAN[[#This Row],[TERMINO PLAN ACUMULADO]]/$G$471</f>
        <v>0.45170454545454547</v>
      </c>
      <c r="T258" s="7">
        <f t="shared" ref="T258:T321" si="9">IF(H258="",NA(),I258/$G$471)</f>
        <v>6.8181818181818177E-2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108</v>
      </c>
      <c r="F259">
        <v>1</v>
      </c>
      <c r="G259">
        <v>319</v>
      </c>
      <c r="H259">
        <v>0</v>
      </c>
      <c r="I259">
        <v>48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0.289544235924933</v>
      </c>
      <c r="M259" s="4">
        <f>IFERROR(AV_PLAN[[#This Row],[TERMINO REAL ACUMULADO]]/AV_PLAN[[#This Row],[TERMINO PLAN ACUMULADO]],"")</f>
        <v>0.15047021943573669</v>
      </c>
      <c r="N259">
        <f>+AV_PLAN[[#This Row],[PLAN ACUMULADO]]-AV_PLAN[[#This Row],[INICIO REAL ACUMULADO]]</f>
        <v>265</v>
      </c>
      <c r="O259">
        <f>+AV_PLAN[[#This Row],[TERMINO PLAN ACUMULADO]]-AV_PLAN[[#This Row],[TERMINO REAL ACUMULADO]]</f>
        <v>271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0.15340909090909091</v>
      </c>
      <c r="S259" s="7">
        <f>+AV_PLAN[[#This Row],[TERMINO PLAN ACUMULADO]]/$G$471</f>
        <v>0.453125</v>
      </c>
      <c r="T259" s="7">
        <f t="shared" si="9"/>
        <v>6.8181818181818177E-2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108</v>
      </c>
      <c r="F260">
        <v>2</v>
      </c>
      <c r="G260">
        <v>321</v>
      </c>
      <c r="H260">
        <v>0</v>
      </c>
      <c r="I260">
        <v>48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0.289544235924933</v>
      </c>
      <c r="M260" s="4">
        <f>IFERROR(AV_PLAN[[#This Row],[TERMINO REAL ACUMULADO]]/AV_PLAN[[#This Row],[TERMINO PLAN ACUMULADO]],"")</f>
        <v>0.14953271028037382</v>
      </c>
      <c r="N260">
        <f>+AV_PLAN[[#This Row],[PLAN ACUMULADO]]-AV_PLAN[[#This Row],[INICIO REAL ACUMULADO]]</f>
        <v>265</v>
      </c>
      <c r="O260">
        <f>+AV_PLAN[[#This Row],[TERMINO PLAN ACUMULADO]]-AV_PLAN[[#This Row],[TERMINO REAL ACUMULADO]]</f>
        <v>273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0.15340909090909091</v>
      </c>
      <c r="S260" s="7">
        <f>+AV_PLAN[[#This Row],[TERMINO PLAN ACUMULADO]]/$G$471</f>
        <v>0.45596590909090912</v>
      </c>
      <c r="T260" s="7">
        <f t="shared" si="9"/>
        <v>6.8181818181818177E-2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108</v>
      </c>
      <c r="F261">
        <v>2</v>
      </c>
      <c r="G261">
        <v>323</v>
      </c>
      <c r="H261">
        <v>0</v>
      </c>
      <c r="I261">
        <v>48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0.28723404255319152</v>
      </c>
      <c r="M261" s="4">
        <f>IFERROR(AV_PLAN[[#This Row],[TERMINO REAL ACUMULADO]]/AV_PLAN[[#This Row],[TERMINO PLAN ACUMULADO]],"")</f>
        <v>0.14860681114551083</v>
      </c>
      <c r="N261">
        <f>+AV_PLAN[[#This Row],[PLAN ACUMULADO]]-AV_PLAN[[#This Row],[INICIO REAL ACUMULADO]]</f>
        <v>268</v>
      </c>
      <c r="O261">
        <f>+AV_PLAN[[#This Row],[TERMINO PLAN ACUMULADO]]-AV_PLAN[[#This Row],[TERMINO REAL ACUMULADO]]</f>
        <v>275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0.15340909090909091</v>
      </c>
      <c r="S261" s="7">
        <f>+AV_PLAN[[#This Row],[TERMINO PLAN ACUMULADO]]/$G$471</f>
        <v>0.45880681818181818</v>
      </c>
      <c r="T261" s="7">
        <f t="shared" si="9"/>
        <v>6.8181818181818177E-2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108</v>
      </c>
      <c r="F262">
        <v>2</v>
      </c>
      <c r="G262">
        <v>325</v>
      </c>
      <c r="H262">
        <v>0</v>
      </c>
      <c r="I262">
        <v>48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0.28496042216358841</v>
      </c>
      <c r="M262" s="4">
        <f>IFERROR(AV_PLAN[[#This Row],[TERMINO REAL ACUMULADO]]/AV_PLAN[[#This Row],[TERMINO PLAN ACUMULADO]],"")</f>
        <v>0.14769230769230771</v>
      </c>
      <c r="N262">
        <f>+AV_PLAN[[#This Row],[PLAN ACUMULADO]]-AV_PLAN[[#This Row],[INICIO REAL ACUMULADO]]</f>
        <v>271</v>
      </c>
      <c r="O262">
        <f>+AV_PLAN[[#This Row],[TERMINO PLAN ACUMULADO]]-AV_PLAN[[#This Row],[TERMINO REAL ACUMULADO]]</f>
        <v>277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0.15340909090909091</v>
      </c>
      <c r="S262" s="7">
        <f>+AV_PLAN[[#This Row],[TERMINO PLAN ACUMULADO]]/$G$471</f>
        <v>0.46164772727272729</v>
      </c>
      <c r="T262" s="7">
        <f t="shared" si="9"/>
        <v>6.8181818181818177E-2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108</v>
      </c>
      <c r="F263">
        <v>3</v>
      </c>
      <c r="G263">
        <v>328</v>
      </c>
      <c r="H263">
        <v>0</v>
      </c>
      <c r="I263">
        <v>48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0.28272251308900526</v>
      </c>
      <c r="M263" s="4">
        <f>IFERROR(AV_PLAN[[#This Row],[TERMINO REAL ACUMULADO]]/AV_PLAN[[#This Row],[TERMINO PLAN ACUMULADO]],"")</f>
        <v>0.14634146341463414</v>
      </c>
      <c r="N263">
        <f>+AV_PLAN[[#This Row],[PLAN ACUMULADO]]-AV_PLAN[[#This Row],[INICIO REAL ACUMULADO]]</f>
        <v>274</v>
      </c>
      <c r="O263">
        <f>+AV_PLAN[[#This Row],[TERMINO PLAN ACUMULADO]]-AV_PLAN[[#This Row],[TERMINO REAL ACUMULADO]]</f>
        <v>280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0.15340909090909091</v>
      </c>
      <c r="S263" s="7">
        <f>+AV_PLAN[[#This Row],[TERMINO PLAN ACUMULADO]]/$G$471</f>
        <v>0.46590909090909088</v>
      </c>
      <c r="T263" s="7">
        <f t="shared" si="9"/>
        <v>6.8181818181818177E-2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108</v>
      </c>
      <c r="F264">
        <v>3</v>
      </c>
      <c r="G264">
        <v>331</v>
      </c>
      <c r="H264">
        <v>0</v>
      </c>
      <c r="I264">
        <v>48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0.2805194805194805</v>
      </c>
      <c r="M264" s="4">
        <f>IFERROR(AV_PLAN[[#This Row],[TERMINO REAL ACUMULADO]]/AV_PLAN[[#This Row],[TERMINO PLAN ACUMULADO]],"")</f>
        <v>0.14501510574018128</v>
      </c>
      <c r="N264">
        <f>+AV_PLAN[[#This Row],[PLAN ACUMULADO]]-AV_PLAN[[#This Row],[INICIO REAL ACUMULADO]]</f>
        <v>277</v>
      </c>
      <c r="O264">
        <f>+AV_PLAN[[#This Row],[TERMINO PLAN ACUMULADO]]-AV_PLAN[[#This Row],[TERMINO REAL ACUMULADO]]</f>
        <v>283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0.15340909090909091</v>
      </c>
      <c r="S264" s="7">
        <f>+AV_PLAN[[#This Row],[TERMINO PLAN ACUMULADO]]/$G$471</f>
        <v>0.47017045454545453</v>
      </c>
      <c r="T264" s="7">
        <f t="shared" si="9"/>
        <v>6.8181818181818177E-2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108</v>
      </c>
      <c r="F265">
        <v>1</v>
      </c>
      <c r="G265">
        <v>332</v>
      </c>
      <c r="H265">
        <v>0</v>
      </c>
      <c r="I265">
        <v>48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0.27835051546391754</v>
      </c>
      <c r="M265" s="4">
        <f>IFERROR(AV_PLAN[[#This Row],[TERMINO REAL ACUMULADO]]/AV_PLAN[[#This Row],[TERMINO PLAN ACUMULADO]],"")</f>
        <v>0.14457831325301204</v>
      </c>
      <c r="N265">
        <f>+AV_PLAN[[#This Row],[PLAN ACUMULADO]]-AV_PLAN[[#This Row],[INICIO REAL ACUMULADO]]</f>
        <v>280</v>
      </c>
      <c r="O265">
        <f>+AV_PLAN[[#This Row],[TERMINO PLAN ACUMULADO]]-AV_PLAN[[#This Row],[TERMINO REAL ACUMULADO]]</f>
        <v>284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0.15340909090909091</v>
      </c>
      <c r="S265" s="7">
        <f>+AV_PLAN[[#This Row],[TERMINO PLAN ACUMULADO]]/$G$471</f>
        <v>0.47159090909090912</v>
      </c>
      <c r="T265" s="7">
        <f t="shared" si="9"/>
        <v>6.8181818181818177E-2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108</v>
      </c>
      <c r="F266">
        <v>1</v>
      </c>
      <c r="G266">
        <v>333</v>
      </c>
      <c r="H266">
        <v>0</v>
      </c>
      <c r="I266">
        <v>48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0.27835051546391754</v>
      </c>
      <c r="M266" s="4">
        <f>IFERROR(AV_PLAN[[#This Row],[TERMINO REAL ACUMULADO]]/AV_PLAN[[#This Row],[TERMINO PLAN ACUMULADO]],"")</f>
        <v>0.14414414414414414</v>
      </c>
      <c r="N266">
        <f>+AV_PLAN[[#This Row],[PLAN ACUMULADO]]-AV_PLAN[[#This Row],[INICIO REAL ACUMULADO]]</f>
        <v>280</v>
      </c>
      <c r="O266">
        <f>+AV_PLAN[[#This Row],[TERMINO PLAN ACUMULADO]]-AV_PLAN[[#This Row],[TERMINO REAL ACUMULADO]]</f>
        <v>285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0.15340909090909091</v>
      </c>
      <c r="S266" s="7">
        <f>+AV_PLAN[[#This Row],[TERMINO PLAN ACUMULADO]]/$G$471</f>
        <v>0.47301136363636365</v>
      </c>
      <c r="T266" s="7">
        <f t="shared" si="9"/>
        <v>6.8181818181818177E-2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108</v>
      </c>
      <c r="F267">
        <v>4</v>
      </c>
      <c r="G267">
        <v>337</v>
      </c>
      <c r="H267">
        <v>0</v>
      </c>
      <c r="I267">
        <v>48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0.27835051546391754</v>
      </c>
      <c r="M267" s="4">
        <f>IFERROR(AV_PLAN[[#This Row],[TERMINO REAL ACUMULADO]]/AV_PLAN[[#This Row],[TERMINO PLAN ACUMULADO]],"")</f>
        <v>0.14243323442136499</v>
      </c>
      <c r="N267">
        <f>+AV_PLAN[[#This Row],[PLAN ACUMULADO]]-AV_PLAN[[#This Row],[INICIO REAL ACUMULADO]]</f>
        <v>280</v>
      </c>
      <c r="O267">
        <f>+AV_PLAN[[#This Row],[TERMINO PLAN ACUMULADO]]-AV_PLAN[[#This Row],[TERMINO REAL ACUMULADO]]</f>
        <v>289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0.15340909090909091</v>
      </c>
      <c r="S267" s="7">
        <f>+AV_PLAN[[#This Row],[TERMINO PLAN ACUMULADO]]/$G$471</f>
        <v>0.47869318181818182</v>
      </c>
      <c r="T267" s="7">
        <f t="shared" si="9"/>
        <v>6.8181818181818177E-2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108</v>
      </c>
      <c r="F268">
        <v>2</v>
      </c>
      <c r="G268">
        <v>339</v>
      </c>
      <c r="H268">
        <v>0</v>
      </c>
      <c r="I268">
        <v>48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0.27621483375959077</v>
      </c>
      <c r="M268" s="4">
        <f>IFERROR(AV_PLAN[[#This Row],[TERMINO REAL ACUMULADO]]/AV_PLAN[[#This Row],[TERMINO PLAN ACUMULADO]],"")</f>
        <v>0.1415929203539823</v>
      </c>
      <c r="N268">
        <f>+AV_PLAN[[#This Row],[PLAN ACUMULADO]]-AV_PLAN[[#This Row],[INICIO REAL ACUMULADO]]</f>
        <v>283</v>
      </c>
      <c r="O268">
        <f>+AV_PLAN[[#This Row],[TERMINO PLAN ACUMULADO]]-AV_PLAN[[#This Row],[TERMINO REAL ACUMULADO]]</f>
        <v>291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0.15340909090909091</v>
      </c>
      <c r="S268" s="7">
        <f>+AV_PLAN[[#This Row],[TERMINO PLAN ACUMULADO]]/$G$471</f>
        <v>0.48153409090909088</v>
      </c>
      <c r="T268" s="7">
        <f t="shared" si="9"/>
        <v>6.8181818181818177E-2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108</v>
      </c>
      <c r="F269">
        <v>1</v>
      </c>
      <c r="G269">
        <v>340</v>
      </c>
      <c r="H269">
        <v>0</v>
      </c>
      <c r="I269">
        <v>48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0.27411167512690354</v>
      </c>
      <c r="M269" s="4">
        <f>IFERROR(AV_PLAN[[#This Row],[TERMINO REAL ACUMULADO]]/AV_PLAN[[#This Row],[TERMINO PLAN ACUMULADO]],"")</f>
        <v>0.14117647058823529</v>
      </c>
      <c r="N269">
        <f>+AV_PLAN[[#This Row],[PLAN ACUMULADO]]-AV_PLAN[[#This Row],[INICIO REAL ACUMULADO]]</f>
        <v>286</v>
      </c>
      <c r="O269">
        <f>+AV_PLAN[[#This Row],[TERMINO PLAN ACUMULADO]]-AV_PLAN[[#This Row],[TERMINO REAL ACUMULADO]]</f>
        <v>292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0.15340909090909091</v>
      </c>
      <c r="S269" s="7">
        <f>+AV_PLAN[[#This Row],[TERMINO PLAN ACUMULADO]]/$G$471</f>
        <v>0.48295454545454547</v>
      </c>
      <c r="T269" s="7">
        <f t="shared" si="9"/>
        <v>6.8181818181818177E-2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108</v>
      </c>
      <c r="F270">
        <v>3</v>
      </c>
      <c r="G270">
        <v>343</v>
      </c>
      <c r="H270">
        <v>0</v>
      </c>
      <c r="I270">
        <v>48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0.27204030226700254</v>
      </c>
      <c r="M270" s="4">
        <f>IFERROR(AV_PLAN[[#This Row],[TERMINO REAL ACUMULADO]]/AV_PLAN[[#This Row],[TERMINO PLAN ACUMULADO]],"")</f>
        <v>0.13994169096209913</v>
      </c>
      <c r="N270">
        <f>+AV_PLAN[[#This Row],[PLAN ACUMULADO]]-AV_PLAN[[#This Row],[INICIO REAL ACUMULADO]]</f>
        <v>289</v>
      </c>
      <c r="O270">
        <f>+AV_PLAN[[#This Row],[TERMINO PLAN ACUMULADO]]-AV_PLAN[[#This Row],[TERMINO REAL ACUMULADO]]</f>
        <v>295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0.15340909090909091</v>
      </c>
      <c r="S270" s="7">
        <f>+AV_PLAN[[#This Row],[TERMINO PLAN ACUMULADO]]/$G$471</f>
        <v>0.48721590909090912</v>
      </c>
      <c r="T270" s="7">
        <f t="shared" si="9"/>
        <v>6.8181818181818177E-2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108</v>
      </c>
      <c r="F271">
        <v>3</v>
      </c>
      <c r="G271">
        <v>346</v>
      </c>
      <c r="H271">
        <v>0</v>
      </c>
      <c r="I271">
        <v>48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0.27</v>
      </c>
      <c r="M271" s="4">
        <f>IFERROR(AV_PLAN[[#This Row],[TERMINO REAL ACUMULADO]]/AV_PLAN[[#This Row],[TERMINO PLAN ACUMULADO]],"")</f>
        <v>0.13872832369942195</v>
      </c>
      <c r="N271">
        <f>+AV_PLAN[[#This Row],[PLAN ACUMULADO]]-AV_PLAN[[#This Row],[INICIO REAL ACUMULADO]]</f>
        <v>292</v>
      </c>
      <c r="O271">
        <f>+AV_PLAN[[#This Row],[TERMINO PLAN ACUMULADO]]-AV_PLAN[[#This Row],[TERMINO REAL ACUMULADO]]</f>
        <v>298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0.15340909090909091</v>
      </c>
      <c r="S271" s="7">
        <f>+AV_PLAN[[#This Row],[TERMINO PLAN ACUMULADO]]/$G$471</f>
        <v>0.49147727272727271</v>
      </c>
      <c r="T271" s="7">
        <f t="shared" si="9"/>
        <v>6.8181818181818177E-2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108</v>
      </c>
      <c r="F272">
        <v>1</v>
      </c>
      <c r="G272">
        <v>347</v>
      </c>
      <c r="H272">
        <v>0</v>
      </c>
      <c r="I272">
        <v>48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0.26799007444168732</v>
      </c>
      <c r="M272" s="4">
        <f>IFERROR(AV_PLAN[[#This Row],[TERMINO REAL ACUMULADO]]/AV_PLAN[[#This Row],[TERMINO PLAN ACUMULADO]],"")</f>
        <v>0.13832853025936601</v>
      </c>
      <c r="N272">
        <f>+AV_PLAN[[#This Row],[PLAN ACUMULADO]]-AV_PLAN[[#This Row],[INICIO REAL ACUMULADO]]</f>
        <v>295</v>
      </c>
      <c r="O272">
        <f>+AV_PLAN[[#This Row],[TERMINO PLAN ACUMULADO]]-AV_PLAN[[#This Row],[TERMINO REAL ACUMULADO]]</f>
        <v>299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0.15340909090909091</v>
      </c>
      <c r="S272" s="7">
        <f>+AV_PLAN[[#This Row],[TERMINO PLAN ACUMULADO]]/$G$471</f>
        <v>0.49289772727272729</v>
      </c>
      <c r="T272" s="7">
        <f t="shared" si="9"/>
        <v>6.8181818181818177E-2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108</v>
      </c>
      <c r="F273">
        <v>2</v>
      </c>
      <c r="G273">
        <v>349</v>
      </c>
      <c r="H273">
        <v>0</v>
      </c>
      <c r="I273">
        <v>48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0.26799007444168732</v>
      </c>
      <c r="M273" s="4">
        <f>IFERROR(AV_PLAN[[#This Row],[TERMINO REAL ACUMULADO]]/AV_PLAN[[#This Row],[TERMINO PLAN ACUMULADO]],"")</f>
        <v>0.13753581661891118</v>
      </c>
      <c r="N273">
        <f>+AV_PLAN[[#This Row],[PLAN ACUMULADO]]-AV_PLAN[[#This Row],[INICIO REAL ACUMULADO]]</f>
        <v>295</v>
      </c>
      <c r="O273">
        <f>+AV_PLAN[[#This Row],[TERMINO PLAN ACUMULADO]]-AV_PLAN[[#This Row],[TERMINO REAL ACUMULADO]]</f>
        <v>301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0.15340909090909091</v>
      </c>
      <c r="S273" s="7">
        <f>+AV_PLAN[[#This Row],[TERMINO PLAN ACUMULADO]]/$G$471</f>
        <v>0.49573863636363635</v>
      </c>
      <c r="T273" s="7">
        <f t="shared" si="9"/>
        <v>6.8181818181818177E-2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108</v>
      </c>
      <c r="F274">
        <v>4</v>
      </c>
      <c r="G274">
        <v>353</v>
      </c>
      <c r="H274">
        <v>0</v>
      </c>
      <c r="I274">
        <v>48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0.26799007444168732</v>
      </c>
      <c r="M274" s="4">
        <f>IFERROR(AV_PLAN[[#This Row],[TERMINO REAL ACUMULADO]]/AV_PLAN[[#This Row],[TERMINO PLAN ACUMULADO]],"")</f>
        <v>0.1359773371104816</v>
      </c>
      <c r="N274">
        <f>+AV_PLAN[[#This Row],[PLAN ACUMULADO]]-AV_PLAN[[#This Row],[INICIO REAL ACUMULADO]]</f>
        <v>295</v>
      </c>
      <c r="O274">
        <f>+AV_PLAN[[#This Row],[TERMINO PLAN ACUMULADO]]-AV_PLAN[[#This Row],[TERMINO REAL ACUMULADO]]</f>
        <v>305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0.15340909090909091</v>
      </c>
      <c r="S274" s="7">
        <f>+AV_PLAN[[#This Row],[TERMINO PLAN ACUMULADO]]/$G$471</f>
        <v>0.50142045454545459</v>
      </c>
      <c r="T274" s="7">
        <f t="shared" si="9"/>
        <v>6.8181818181818177E-2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108</v>
      </c>
      <c r="F275">
        <v>1</v>
      </c>
      <c r="G275">
        <v>354</v>
      </c>
      <c r="H275">
        <v>0</v>
      </c>
      <c r="I275">
        <v>48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0.26600985221674878</v>
      </c>
      <c r="M275" s="4">
        <f>IFERROR(AV_PLAN[[#This Row],[TERMINO REAL ACUMULADO]]/AV_PLAN[[#This Row],[TERMINO PLAN ACUMULADO]],"")</f>
        <v>0.13559322033898305</v>
      </c>
      <c r="N275">
        <f>+AV_PLAN[[#This Row],[PLAN ACUMULADO]]-AV_PLAN[[#This Row],[INICIO REAL ACUMULADO]]</f>
        <v>298</v>
      </c>
      <c r="O275">
        <f>+AV_PLAN[[#This Row],[TERMINO PLAN ACUMULADO]]-AV_PLAN[[#This Row],[TERMINO REAL ACUMULADO]]</f>
        <v>306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0.15340909090909091</v>
      </c>
      <c r="S275" s="7">
        <f>+AV_PLAN[[#This Row],[TERMINO PLAN ACUMULADO]]/$G$471</f>
        <v>0.50284090909090906</v>
      </c>
      <c r="T275" s="7">
        <f t="shared" si="9"/>
        <v>6.8181818181818177E-2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108</v>
      </c>
      <c r="F276">
        <v>1</v>
      </c>
      <c r="G276">
        <v>355</v>
      </c>
      <c r="H276">
        <v>0</v>
      </c>
      <c r="I276">
        <v>48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0.26405867970660146</v>
      </c>
      <c r="M276" s="4">
        <f>IFERROR(AV_PLAN[[#This Row],[TERMINO REAL ACUMULADO]]/AV_PLAN[[#This Row],[TERMINO PLAN ACUMULADO]],"")</f>
        <v>0.13521126760563379</v>
      </c>
      <c r="N276">
        <f>+AV_PLAN[[#This Row],[PLAN ACUMULADO]]-AV_PLAN[[#This Row],[INICIO REAL ACUMULADO]]</f>
        <v>301</v>
      </c>
      <c r="O276">
        <f>+AV_PLAN[[#This Row],[TERMINO PLAN ACUMULADO]]-AV_PLAN[[#This Row],[TERMINO REAL ACUMULADO]]</f>
        <v>307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0.15340909090909091</v>
      </c>
      <c r="S276" s="7">
        <f>+AV_PLAN[[#This Row],[TERMINO PLAN ACUMULADO]]/$G$471</f>
        <v>0.50426136363636365</v>
      </c>
      <c r="T276" s="7">
        <f t="shared" si="9"/>
        <v>6.8181818181818177E-2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108</v>
      </c>
      <c r="F277">
        <v>3</v>
      </c>
      <c r="G277">
        <v>358</v>
      </c>
      <c r="H277">
        <v>0</v>
      </c>
      <c r="I277">
        <v>48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0.26213592233009708</v>
      </c>
      <c r="M277" s="4">
        <f>IFERROR(AV_PLAN[[#This Row],[TERMINO REAL ACUMULADO]]/AV_PLAN[[#This Row],[TERMINO PLAN ACUMULADO]],"")</f>
        <v>0.13407821229050279</v>
      </c>
      <c r="N277">
        <f>+AV_PLAN[[#This Row],[PLAN ACUMULADO]]-AV_PLAN[[#This Row],[INICIO REAL ACUMULADO]]</f>
        <v>304</v>
      </c>
      <c r="O277">
        <f>+AV_PLAN[[#This Row],[TERMINO PLAN ACUMULADO]]-AV_PLAN[[#This Row],[TERMINO REAL ACUMULADO]]</f>
        <v>310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0.15340909090909091</v>
      </c>
      <c r="S277" s="7">
        <f>+AV_PLAN[[#This Row],[TERMINO PLAN ACUMULADO]]/$G$471</f>
        <v>0.50852272727272729</v>
      </c>
      <c r="T277" s="7">
        <f t="shared" si="9"/>
        <v>6.8181818181818177E-2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108</v>
      </c>
      <c r="F278">
        <v>3</v>
      </c>
      <c r="G278">
        <v>361</v>
      </c>
      <c r="H278">
        <v>0</v>
      </c>
      <c r="I278">
        <v>48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0.26024096385542167</v>
      </c>
      <c r="M278" s="4">
        <f>IFERROR(AV_PLAN[[#This Row],[TERMINO REAL ACUMULADO]]/AV_PLAN[[#This Row],[TERMINO PLAN ACUMULADO]],"")</f>
        <v>0.1329639889196676</v>
      </c>
      <c r="N278">
        <f>+AV_PLAN[[#This Row],[PLAN ACUMULADO]]-AV_PLAN[[#This Row],[INICIO REAL ACUMULADO]]</f>
        <v>307</v>
      </c>
      <c r="O278">
        <f>+AV_PLAN[[#This Row],[TERMINO PLAN ACUMULADO]]-AV_PLAN[[#This Row],[TERMINO REAL ACUMULADO]]</f>
        <v>313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0.15340909090909091</v>
      </c>
      <c r="S278" s="7">
        <f>+AV_PLAN[[#This Row],[TERMINO PLAN ACUMULADO]]/$G$471</f>
        <v>0.51278409090909094</v>
      </c>
      <c r="T278" s="7">
        <f t="shared" si="9"/>
        <v>6.8181818181818177E-2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108</v>
      </c>
      <c r="F279">
        <v>2</v>
      </c>
      <c r="G279">
        <v>363</v>
      </c>
      <c r="H279">
        <v>0</v>
      </c>
      <c r="I279">
        <v>48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0.25837320574162681</v>
      </c>
      <c r="M279" s="4">
        <f>IFERROR(AV_PLAN[[#This Row],[TERMINO REAL ACUMULADO]]/AV_PLAN[[#This Row],[TERMINO PLAN ACUMULADO]],"")</f>
        <v>0.13223140495867769</v>
      </c>
      <c r="N279">
        <f>+AV_PLAN[[#This Row],[PLAN ACUMULADO]]-AV_PLAN[[#This Row],[INICIO REAL ACUMULADO]]</f>
        <v>310</v>
      </c>
      <c r="O279">
        <f>+AV_PLAN[[#This Row],[TERMINO PLAN ACUMULADO]]-AV_PLAN[[#This Row],[TERMINO REAL ACUMULADO]]</f>
        <v>315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0.15340909090909091</v>
      </c>
      <c r="S279" s="7">
        <f>+AV_PLAN[[#This Row],[TERMINO PLAN ACUMULADO]]/$G$471</f>
        <v>0.515625</v>
      </c>
      <c r="T279" s="7">
        <f t="shared" si="9"/>
        <v>6.8181818181818177E-2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108</v>
      </c>
      <c r="F280">
        <v>2</v>
      </c>
      <c r="G280">
        <v>365</v>
      </c>
      <c r="H280">
        <v>0</v>
      </c>
      <c r="I280">
        <v>48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0.25837320574162681</v>
      </c>
      <c r="M280" s="4">
        <f>IFERROR(AV_PLAN[[#This Row],[TERMINO REAL ACUMULADO]]/AV_PLAN[[#This Row],[TERMINO PLAN ACUMULADO]],"")</f>
        <v>0.13150684931506848</v>
      </c>
      <c r="N280">
        <f>+AV_PLAN[[#This Row],[PLAN ACUMULADO]]-AV_PLAN[[#This Row],[INICIO REAL ACUMULADO]]</f>
        <v>310</v>
      </c>
      <c r="O280">
        <f>+AV_PLAN[[#This Row],[TERMINO PLAN ACUMULADO]]-AV_PLAN[[#This Row],[TERMINO REAL ACUMULADO]]</f>
        <v>317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0.15340909090909091</v>
      </c>
      <c r="S280" s="7">
        <f>+AV_PLAN[[#This Row],[TERMINO PLAN ACUMULADO]]/$G$471</f>
        <v>0.51846590909090906</v>
      </c>
      <c r="T280" s="7">
        <f t="shared" si="9"/>
        <v>6.8181818181818177E-2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108</v>
      </c>
      <c r="F281">
        <v>2</v>
      </c>
      <c r="G281">
        <v>367</v>
      </c>
      <c r="H281">
        <v>0</v>
      </c>
      <c r="I281">
        <v>48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0.25837320574162681</v>
      </c>
      <c r="M281" s="4">
        <f>IFERROR(AV_PLAN[[#This Row],[TERMINO REAL ACUMULADO]]/AV_PLAN[[#This Row],[TERMINO PLAN ACUMULADO]],"")</f>
        <v>0.13079019073569481</v>
      </c>
      <c r="N281">
        <f>+AV_PLAN[[#This Row],[PLAN ACUMULADO]]-AV_PLAN[[#This Row],[INICIO REAL ACUMULADO]]</f>
        <v>310</v>
      </c>
      <c r="O281">
        <f>+AV_PLAN[[#This Row],[TERMINO PLAN ACUMULADO]]-AV_PLAN[[#This Row],[TERMINO REAL ACUMULADO]]</f>
        <v>319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0.15340909090909091</v>
      </c>
      <c r="S281" s="7">
        <f>+AV_PLAN[[#This Row],[TERMINO PLAN ACUMULADO]]/$G$471</f>
        <v>0.52130681818181823</v>
      </c>
      <c r="T281" s="7">
        <f t="shared" si="9"/>
        <v>6.8181818181818177E-2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108</v>
      </c>
      <c r="F282">
        <v>1</v>
      </c>
      <c r="G282">
        <v>368</v>
      </c>
      <c r="H282">
        <v>0</v>
      </c>
      <c r="I282">
        <v>48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0.25653206650831356</v>
      </c>
      <c r="M282" s="4">
        <f>IFERROR(AV_PLAN[[#This Row],[TERMINO REAL ACUMULADO]]/AV_PLAN[[#This Row],[TERMINO PLAN ACUMULADO]],"")</f>
        <v>0.13043478260869565</v>
      </c>
      <c r="N282">
        <f>+AV_PLAN[[#This Row],[PLAN ACUMULADO]]-AV_PLAN[[#This Row],[INICIO REAL ACUMULADO]]</f>
        <v>313</v>
      </c>
      <c r="O282">
        <f>+AV_PLAN[[#This Row],[TERMINO PLAN ACUMULADO]]-AV_PLAN[[#This Row],[TERMINO REAL ACUMULADO]]</f>
        <v>320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0.15340909090909091</v>
      </c>
      <c r="S282" s="7">
        <f>+AV_PLAN[[#This Row],[TERMINO PLAN ACUMULADO]]/$G$471</f>
        <v>0.52272727272727271</v>
      </c>
      <c r="T282" s="7">
        <f t="shared" si="9"/>
        <v>6.8181818181818177E-2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108</v>
      </c>
      <c r="F283">
        <v>2</v>
      </c>
      <c r="G283">
        <v>370</v>
      </c>
      <c r="H283">
        <v>0</v>
      </c>
      <c r="I283">
        <v>48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0.25471698113207547</v>
      </c>
      <c r="M283" s="4">
        <f>IFERROR(AV_PLAN[[#This Row],[TERMINO REAL ACUMULADO]]/AV_PLAN[[#This Row],[TERMINO PLAN ACUMULADO]],"")</f>
        <v>0.12972972972972974</v>
      </c>
      <c r="N283">
        <f>+AV_PLAN[[#This Row],[PLAN ACUMULADO]]-AV_PLAN[[#This Row],[INICIO REAL ACUMULADO]]</f>
        <v>316</v>
      </c>
      <c r="O283">
        <f>+AV_PLAN[[#This Row],[TERMINO PLAN ACUMULADO]]-AV_PLAN[[#This Row],[TERMINO REAL ACUMULADO]]</f>
        <v>322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0.15340909090909091</v>
      </c>
      <c r="S283" s="7">
        <f>+AV_PLAN[[#This Row],[TERMINO PLAN ACUMULADO]]/$G$471</f>
        <v>0.52556818181818177</v>
      </c>
      <c r="T283" s="7">
        <f t="shared" si="9"/>
        <v>6.8181818181818177E-2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108</v>
      </c>
      <c r="F284">
        <v>3</v>
      </c>
      <c r="G284">
        <v>373</v>
      </c>
      <c r="H284">
        <v>0</v>
      </c>
      <c r="I284">
        <v>48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0.25292740046838408</v>
      </c>
      <c r="M284" s="4">
        <f>IFERROR(AV_PLAN[[#This Row],[TERMINO REAL ACUMULADO]]/AV_PLAN[[#This Row],[TERMINO PLAN ACUMULADO]],"")</f>
        <v>0.12868632707774799</v>
      </c>
      <c r="N284">
        <f>+AV_PLAN[[#This Row],[PLAN ACUMULADO]]-AV_PLAN[[#This Row],[INICIO REAL ACUMULADO]]</f>
        <v>319</v>
      </c>
      <c r="O284">
        <f>+AV_PLAN[[#This Row],[TERMINO PLAN ACUMULADO]]-AV_PLAN[[#This Row],[TERMINO REAL ACUMULADO]]</f>
        <v>325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0.15340909090909091</v>
      </c>
      <c r="S284" s="7">
        <f>+AV_PLAN[[#This Row],[TERMINO PLAN ACUMULADO]]/$G$471</f>
        <v>0.52982954545454541</v>
      </c>
      <c r="T284" s="7">
        <f t="shared" si="9"/>
        <v>6.8181818181818177E-2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108</v>
      </c>
      <c r="F285">
        <v>3</v>
      </c>
      <c r="G285">
        <v>376</v>
      </c>
      <c r="H285">
        <v>0</v>
      </c>
      <c r="I285">
        <v>48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0.25116279069767444</v>
      </c>
      <c r="M285" s="4">
        <f>IFERROR(AV_PLAN[[#This Row],[TERMINO REAL ACUMULADO]]/AV_PLAN[[#This Row],[TERMINO PLAN ACUMULADO]],"")</f>
        <v>0.1276595744680851</v>
      </c>
      <c r="N285">
        <f>+AV_PLAN[[#This Row],[PLAN ACUMULADO]]-AV_PLAN[[#This Row],[INICIO REAL ACUMULADO]]</f>
        <v>322</v>
      </c>
      <c r="O285">
        <f>+AV_PLAN[[#This Row],[TERMINO PLAN ACUMULADO]]-AV_PLAN[[#This Row],[TERMINO REAL ACUMULADO]]</f>
        <v>328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0.15340909090909091</v>
      </c>
      <c r="S285" s="7">
        <f>+AV_PLAN[[#This Row],[TERMINO PLAN ACUMULADO]]/$G$471</f>
        <v>0.53409090909090906</v>
      </c>
      <c r="T285" s="7">
        <f t="shared" si="9"/>
        <v>6.8181818181818177E-2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108</v>
      </c>
      <c r="F286">
        <v>2</v>
      </c>
      <c r="G286">
        <v>378</v>
      </c>
      <c r="H286">
        <v>0</v>
      </c>
      <c r="I286">
        <v>48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0.24942263279445728</v>
      </c>
      <c r="M286" s="4">
        <f>IFERROR(AV_PLAN[[#This Row],[TERMINO REAL ACUMULADO]]/AV_PLAN[[#This Row],[TERMINO PLAN ACUMULADO]],"")</f>
        <v>0.12698412698412698</v>
      </c>
      <c r="N286">
        <f>+AV_PLAN[[#This Row],[PLAN ACUMULADO]]-AV_PLAN[[#This Row],[INICIO REAL ACUMULADO]]</f>
        <v>325</v>
      </c>
      <c r="O286">
        <f>+AV_PLAN[[#This Row],[TERMINO PLAN ACUMULADO]]-AV_PLAN[[#This Row],[TERMINO REAL ACUMULADO]]</f>
        <v>330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0.15340909090909091</v>
      </c>
      <c r="S286" s="7">
        <f>+AV_PLAN[[#This Row],[TERMINO PLAN ACUMULADO]]/$G$471</f>
        <v>0.53693181818181823</v>
      </c>
      <c r="T286" s="7">
        <f t="shared" si="9"/>
        <v>6.8181818181818177E-2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108</v>
      </c>
      <c r="F287">
        <v>1</v>
      </c>
      <c r="G287">
        <v>379</v>
      </c>
      <c r="H287">
        <v>0</v>
      </c>
      <c r="I287">
        <v>48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0.24942263279445728</v>
      </c>
      <c r="M287" s="4">
        <f>IFERROR(AV_PLAN[[#This Row],[TERMINO REAL ACUMULADO]]/AV_PLAN[[#This Row],[TERMINO PLAN ACUMULADO]],"")</f>
        <v>0.12664907651715041</v>
      </c>
      <c r="N287">
        <f>+AV_PLAN[[#This Row],[PLAN ACUMULADO]]-AV_PLAN[[#This Row],[INICIO REAL ACUMULADO]]</f>
        <v>325</v>
      </c>
      <c r="O287">
        <f>+AV_PLAN[[#This Row],[TERMINO PLAN ACUMULADO]]-AV_PLAN[[#This Row],[TERMINO REAL ACUMULADO]]</f>
        <v>331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0.15340909090909091</v>
      </c>
      <c r="S287" s="7">
        <f>+AV_PLAN[[#This Row],[TERMINO PLAN ACUMULADO]]/$G$471</f>
        <v>0.53835227272727271</v>
      </c>
      <c r="T287" s="7">
        <f t="shared" si="9"/>
        <v>6.8181818181818177E-2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108</v>
      </c>
      <c r="F288">
        <v>2</v>
      </c>
      <c r="G288">
        <v>381</v>
      </c>
      <c r="H288">
        <v>0</v>
      </c>
      <c r="I288">
        <v>48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0.24942263279445728</v>
      </c>
      <c r="M288" s="4">
        <f>IFERROR(AV_PLAN[[#This Row],[TERMINO REAL ACUMULADO]]/AV_PLAN[[#This Row],[TERMINO PLAN ACUMULADO]],"")</f>
        <v>0.12598425196850394</v>
      </c>
      <c r="N288">
        <f>+AV_PLAN[[#This Row],[PLAN ACUMULADO]]-AV_PLAN[[#This Row],[INICIO REAL ACUMULADO]]</f>
        <v>325</v>
      </c>
      <c r="O288">
        <f>+AV_PLAN[[#This Row],[TERMINO PLAN ACUMULADO]]-AV_PLAN[[#This Row],[TERMINO REAL ACUMULADO]]</f>
        <v>333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0.15340909090909091</v>
      </c>
      <c r="S288" s="7">
        <f>+AV_PLAN[[#This Row],[TERMINO PLAN ACUMULADO]]/$G$471</f>
        <v>0.54119318181818177</v>
      </c>
      <c r="T288" s="7">
        <f t="shared" si="9"/>
        <v>6.8181818181818177E-2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108</v>
      </c>
      <c r="F289">
        <v>2</v>
      </c>
      <c r="G289">
        <v>383</v>
      </c>
      <c r="H289">
        <v>0</v>
      </c>
      <c r="I289">
        <v>48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0.24770642201834864</v>
      </c>
      <c r="M289" s="4">
        <f>IFERROR(AV_PLAN[[#This Row],[TERMINO REAL ACUMULADO]]/AV_PLAN[[#This Row],[TERMINO PLAN ACUMULADO]],"")</f>
        <v>0.12532637075718014</v>
      </c>
      <c r="N289">
        <f>+AV_PLAN[[#This Row],[PLAN ACUMULADO]]-AV_PLAN[[#This Row],[INICIO REAL ACUMULADO]]</f>
        <v>328</v>
      </c>
      <c r="O289">
        <f>+AV_PLAN[[#This Row],[TERMINO PLAN ACUMULADO]]-AV_PLAN[[#This Row],[TERMINO REAL ACUMULADO]]</f>
        <v>335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0.15340909090909091</v>
      </c>
      <c r="S289" s="7">
        <f>+AV_PLAN[[#This Row],[TERMINO PLAN ACUMULADO]]/$G$471</f>
        <v>0.54403409090909094</v>
      </c>
      <c r="T289" s="7">
        <f t="shared" si="9"/>
        <v>6.8181818181818177E-2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108</v>
      </c>
      <c r="F290">
        <v>2</v>
      </c>
      <c r="G290">
        <v>385</v>
      </c>
      <c r="H290">
        <v>0</v>
      </c>
      <c r="I290">
        <v>48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0.24601366742596811</v>
      </c>
      <c r="M290" s="4">
        <f>IFERROR(AV_PLAN[[#This Row],[TERMINO REAL ACUMULADO]]/AV_PLAN[[#This Row],[TERMINO PLAN ACUMULADO]],"")</f>
        <v>0.12467532467532468</v>
      </c>
      <c r="N290">
        <f>+AV_PLAN[[#This Row],[PLAN ACUMULADO]]-AV_PLAN[[#This Row],[INICIO REAL ACUMULADO]]</f>
        <v>331</v>
      </c>
      <c r="O290">
        <f>+AV_PLAN[[#This Row],[TERMINO PLAN ACUMULADO]]-AV_PLAN[[#This Row],[TERMINO REAL ACUMULADO]]</f>
        <v>337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0.15340909090909091</v>
      </c>
      <c r="S290" s="7">
        <f>+AV_PLAN[[#This Row],[TERMINO PLAN ACUMULADO]]/$G$471</f>
        <v>0.546875</v>
      </c>
      <c r="T290" s="7">
        <f t="shared" si="9"/>
        <v>6.8181818181818177E-2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108</v>
      </c>
      <c r="F291">
        <v>3</v>
      </c>
      <c r="G291">
        <v>388</v>
      </c>
      <c r="H291">
        <v>0</v>
      </c>
      <c r="I291">
        <v>48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0.24434389140271492</v>
      </c>
      <c r="M291" s="4">
        <f>IFERROR(AV_PLAN[[#This Row],[TERMINO REAL ACUMULADO]]/AV_PLAN[[#This Row],[TERMINO PLAN ACUMULADO]],"")</f>
        <v>0.12371134020618557</v>
      </c>
      <c r="N291">
        <f>+AV_PLAN[[#This Row],[PLAN ACUMULADO]]-AV_PLAN[[#This Row],[INICIO REAL ACUMULADO]]</f>
        <v>334</v>
      </c>
      <c r="O291">
        <f>+AV_PLAN[[#This Row],[TERMINO PLAN ACUMULADO]]-AV_PLAN[[#This Row],[TERMINO REAL ACUMULADO]]</f>
        <v>340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0.15340909090909091</v>
      </c>
      <c r="S291" s="7">
        <f>+AV_PLAN[[#This Row],[TERMINO PLAN ACUMULADO]]/$G$471</f>
        <v>0.55113636363636365</v>
      </c>
      <c r="T291" s="7">
        <f t="shared" si="9"/>
        <v>6.8181818181818177E-2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108</v>
      </c>
      <c r="F292">
        <v>3</v>
      </c>
      <c r="G292">
        <v>391</v>
      </c>
      <c r="H292">
        <v>0</v>
      </c>
      <c r="I292">
        <v>48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0.24269662921348314</v>
      </c>
      <c r="M292" s="4">
        <f>IFERROR(AV_PLAN[[#This Row],[TERMINO REAL ACUMULADO]]/AV_PLAN[[#This Row],[TERMINO PLAN ACUMULADO]],"")</f>
        <v>0.12276214833759591</v>
      </c>
      <c r="N292">
        <f>+AV_PLAN[[#This Row],[PLAN ACUMULADO]]-AV_PLAN[[#This Row],[INICIO REAL ACUMULADO]]</f>
        <v>337</v>
      </c>
      <c r="O292">
        <f>+AV_PLAN[[#This Row],[TERMINO PLAN ACUMULADO]]-AV_PLAN[[#This Row],[TERMINO REAL ACUMULADO]]</f>
        <v>343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0.15340909090909091</v>
      </c>
      <c r="S292" s="7">
        <f>+AV_PLAN[[#This Row],[TERMINO PLAN ACUMULADO]]/$G$471</f>
        <v>0.55539772727272729</v>
      </c>
      <c r="T292" s="7">
        <f t="shared" si="9"/>
        <v>6.8181818181818177E-2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108</v>
      </c>
      <c r="F293">
        <v>1</v>
      </c>
      <c r="G293">
        <v>392</v>
      </c>
      <c r="H293">
        <v>0</v>
      </c>
      <c r="I293">
        <v>48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0.24107142857142858</v>
      </c>
      <c r="M293" s="4">
        <f>IFERROR(AV_PLAN[[#This Row],[TERMINO REAL ACUMULADO]]/AV_PLAN[[#This Row],[TERMINO PLAN ACUMULADO]],"")</f>
        <v>0.12244897959183673</v>
      </c>
      <c r="N293">
        <f>+AV_PLAN[[#This Row],[PLAN ACUMULADO]]-AV_PLAN[[#This Row],[INICIO REAL ACUMULADO]]</f>
        <v>340</v>
      </c>
      <c r="O293">
        <f>+AV_PLAN[[#This Row],[TERMINO PLAN ACUMULADO]]-AV_PLAN[[#This Row],[TERMINO REAL ACUMULADO]]</f>
        <v>344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0.15340909090909091</v>
      </c>
      <c r="S293" s="7">
        <f>+AV_PLAN[[#This Row],[TERMINO PLAN ACUMULADO]]/$G$471</f>
        <v>0.55681818181818177</v>
      </c>
      <c r="T293" s="7">
        <f t="shared" si="9"/>
        <v>6.8181818181818177E-2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108</v>
      </c>
      <c r="F294">
        <v>1</v>
      </c>
      <c r="G294">
        <v>393</v>
      </c>
      <c r="H294">
        <v>0</v>
      </c>
      <c r="I294">
        <v>48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0.24107142857142858</v>
      </c>
      <c r="M294" s="4">
        <f>IFERROR(AV_PLAN[[#This Row],[TERMINO REAL ACUMULADO]]/AV_PLAN[[#This Row],[TERMINO PLAN ACUMULADO]],"")</f>
        <v>0.12213740458015267</v>
      </c>
      <c r="N294">
        <f>+AV_PLAN[[#This Row],[PLAN ACUMULADO]]-AV_PLAN[[#This Row],[INICIO REAL ACUMULADO]]</f>
        <v>340</v>
      </c>
      <c r="O294">
        <f>+AV_PLAN[[#This Row],[TERMINO PLAN ACUMULADO]]-AV_PLAN[[#This Row],[TERMINO REAL ACUMULADO]]</f>
        <v>345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0.15340909090909091</v>
      </c>
      <c r="S294" s="7">
        <f>+AV_PLAN[[#This Row],[TERMINO PLAN ACUMULADO]]/$G$471</f>
        <v>0.55823863636363635</v>
      </c>
      <c r="T294" s="7">
        <f t="shared" si="9"/>
        <v>6.8181818181818177E-2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108</v>
      </c>
      <c r="F295">
        <v>4</v>
      </c>
      <c r="G295">
        <v>397</v>
      </c>
      <c r="H295">
        <v>0</v>
      </c>
      <c r="I295">
        <v>48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0.24107142857142858</v>
      </c>
      <c r="M295" s="4">
        <f>IFERROR(AV_PLAN[[#This Row],[TERMINO REAL ACUMULADO]]/AV_PLAN[[#This Row],[TERMINO PLAN ACUMULADO]],"")</f>
        <v>0.12090680100755667</v>
      </c>
      <c r="N295">
        <f>+AV_PLAN[[#This Row],[PLAN ACUMULADO]]-AV_PLAN[[#This Row],[INICIO REAL ACUMULADO]]</f>
        <v>340</v>
      </c>
      <c r="O295">
        <f>+AV_PLAN[[#This Row],[TERMINO PLAN ACUMULADO]]-AV_PLAN[[#This Row],[TERMINO REAL ACUMULADO]]</f>
        <v>349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0.15340909090909091</v>
      </c>
      <c r="S295" s="7">
        <f>+AV_PLAN[[#This Row],[TERMINO PLAN ACUMULADO]]/$G$471</f>
        <v>0.56392045454545459</v>
      </c>
      <c r="T295" s="7">
        <f t="shared" si="9"/>
        <v>6.8181818181818177E-2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108</v>
      </c>
      <c r="F296">
        <v>2</v>
      </c>
      <c r="G296">
        <v>399</v>
      </c>
      <c r="H296">
        <v>0</v>
      </c>
      <c r="I296">
        <v>48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0.23946784922394679</v>
      </c>
      <c r="M296" s="4">
        <f>IFERROR(AV_PLAN[[#This Row],[TERMINO REAL ACUMULADO]]/AV_PLAN[[#This Row],[TERMINO PLAN ACUMULADO]],"")</f>
        <v>0.12030075187969924</v>
      </c>
      <c r="N296">
        <f>+AV_PLAN[[#This Row],[PLAN ACUMULADO]]-AV_PLAN[[#This Row],[INICIO REAL ACUMULADO]]</f>
        <v>343</v>
      </c>
      <c r="O296">
        <f>+AV_PLAN[[#This Row],[TERMINO PLAN ACUMULADO]]-AV_PLAN[[#This Row],[TERMINO REAL ACUMULADO]]</f>
        <v>351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0.15340909090909091</v>
      </c>
      <c r="S296" s="7">
        <f>+AV_PLAN[[#This Row],[TERMINO PLAN ACUMULADO]]/$G$471</f>
        <v>0.56676136363636365</v>
      </c>
      <c r="T296" s="7">
        <f t="shared" si="9"/>
        <v>6.8181818181818177E-2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108</v>
      </c>
      <c r="F297">
        <v>1</v>
      </c>
      <c r="G297">
        <v>400</v>
      </c>
      <c r="H297">
        <v>0</v>
      </c>
      <c r="I297">
        <v>48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0.23946784922394679</v>
      </c>
      <c r="M297" s="4">
        <f>IFERROR(AV_PLAN[[#This Row],[TERMINO REAL ACUMULADO]]/AV_PLAN[[#This Row],[TERMINO PLAN ACUMULADO]],"")</f>
        <v>0.12</v>
      </c>
      <c r="N297">
        <f>+AV_PLAN[[#This Row],[PLAN ACUMULADO]]-AV_PLAN[[#This Row],[INICIO REAL ACUMULADO]]</f>
        <v>343</v>
      </c>
      <c r="O297">
        <f>+AV_PLAN[[#This Row],[TERMINO PLAN ACUMULADO]]-AV_PLAN[[#This Row],[TERMINO REAL ACUMULADO]]</f>
        <v>352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0.15340909090909091</v>
      </c>
      <c r="S297" s="7">
        <f>+AV_PLAN[[#This Row],[TERMINO PLAN ACUMULADO]]/$G$471</f>
        <v>0.56818181818181823</v>
      </c>
      <c r="T297" s="7">
        <f t="shared" si="9"/>
        <v>6.8181818181818177E-2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108</v>
      </c>
      <c r="F298">
        <v>3</v>
      </c>
      <c r="G298">
        <v>403</v>
      </c>
      <c r="H298">
        <v>0</v>
      </c>
      <c r="I298">
        <v>48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0.23788546255506607</v>
      </c>
      <c r="M298" s="4">
        <f>IFERROR(AV_PLAN[[#This Row],[TERMINO REAL ACUMULADO]]/AV_PLAN[[#This Row],[TERMINO PLAN ACUMULADO]],"")</f>
        <v>0.11910669975186104</v>
      </c>
      <c r="N298">
        <f>+AV_PLAN[[#This Row],[PLAN ACUMULADO]]-AV_PLAN[[#This Row],[INICIO REAL ACUMULADO]]</f>
        <v>346</v>
      </c>
      <c r="O298">
        <f>+AV_PLAN[[#This Row],[TERMINO PLAN ACUMULADO]]-AV_PLAN[[#This Row],[TERMINO REAL ACUMULADO]]</f>
        <v>355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0.15340909090909091</v>
      </c>
      <c r="S298" s="7">
        <f>+AV_PLAN[[#This Row],[TERMINO PLAN ACUMULADO]]/$G$471</f>
        <v>0.57244318181818177</v>
      </c>
      <c r="T298" s="7">
        <f t="shared" si="9"/>
        <v>6.8181818181818177E-2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108</v>
      </c>
      <c r="F299">
        <v>3</v>
      </c>
      <c r="G299">
        <v>406</v>
      </c>
      <c r="H299">
        <v>0</v>
      </c>
      <c r="I299">
        <v>48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0.23632385120350111</v>
      </c>
      <c r="M299" s="4">
        <f>IFERROR(AV_PLAN[[#This Row],[TERMINO REAL ACUMULADO]]/AV_PLAN[[#This Row],[TERMINO PLAN ACUMULADO]],"")</f>
        <v>0.11822660098522167</v>
      </c>
      <c r="N299">
        <f>+AV_PLAN[[#This Row],[PLAN ACUMULADO]]-AV_PLAN[[#This Row],[INICIO REAL ACUMULADO]]</f>
        <v>349</v>
      </c>
      <c r="O299">
        <f>+AV_PLAN[[#This Row],[TERMINO PLAN ACUMULADO]]-AV_PLAN[[#This Row],[TERMINO REAL ACUMULADO]]</f>
        <v>358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0.15340909090909091</v>
      </c>
      <c r="S299" s="7">
        <f>+AV_PLAN[[#This Row],[TERMINO PLAN ACUMULADO]]/$G$471</f>
        <v>0.57670454545454541</v>
      </c>
      <c r="T299" s="7">
        <f t="shared" si="9"/>
        <v>6.8181818181818177E-2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108</v>
      </c>
      <c r="F300">
        <v>1</v>
      </c>
      <c r="G300">
        <v>407</v>
      </c>
      <c r="H300">
        <v>0</v>
      </c>
      <c r="I300">
        <v>48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0.23478260869565218</v>
      </c>
      <c r="M300" s="4">
        <f>IFERROR(AV_PLAN[[#This Row],[TERMINO REAL ACUMULADO]]/AV_PLAN[[#This Row],[TERMINO PLAN ACUMULADO]],"")</f>
        <v>0.11793611793611794</v>
      </c>
      <c r="N300">
        <f>+AV_PLAN[[#This Row],[PLAN ACUMULADO]]-AV_PLAN[[#This Row],[INICIO REAL ACUMULADO]]</f>
        <v>352</v>
      </c>
      <c r="O300">
        <f>+AV_PLAN[[#This Row],[TERMINO PLAN ACUMULADO]]-AV_PLAN[[#This Row],[TERMINO REAL ACUMULADO]]</f>
        <v>359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0.15340909090909091</v>
      </c>
      <c r="S300" s="7">
        <f>+AV_PLAN[[#This Row],[TERMINO PLAN ACUMULADO]]/$G$471</f>
        <v>0.578125</v>
      </c>
      <c r="T300" s="7">
        <f t="shared" si="9"/>
        <v>6.8181818181818177E-2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108</v>
      </c>
      <c r="F301">
        <v>2</v>
      </c>
      <c r="G301">
        <v>409</v>
      </c>
      <c r="H301">
        <v>0</v>
      </c>
      <c r="I301">
        <v>48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0.23478260869565218</v>
      </c>
      <c r="M301" s="4">
        <f>IFERROR(AV_PLAN[[#This Row],[TERMINO REAL ACUMULADO]]/AV_PLAN[[#This Row],[TERMINO PLAN ACUMULADO]],"")</f>
        <v>0.11735941320293398</v>
      </c>
      <c r="N301">
        <f>+AV_PLAN[[#This Row],[PLAN ACUMULADO]]-AV_PLAN[[#This Row],[INICIO REAL ACUMULADO]]</f>
        <v>352</v>
      </c>
      <c r="O301">
        <f>+AV_PLAN[[#This Row],[TERMINO PLAN ACUMULADO]]-AV_PLAN[[#This Row],[TERMINO REAL ACUMULADO]]</f>
        <v>361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0.15340909090909091</v>
      </c>
      <c r="S301" s="7">
        <f>+AV_PLAN[[#This Row],[TERMINO PLAN ACUMULADO]]/$G$471</f>
        <v>0.58096590909090906</v>
      </c>
      <c r="T301" s="7">
        <f t="shared" si="9"/>
        <v>6.8181818181818177E-2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108</v>
      </c>
      <c r="F302">
        <v>4</v>
      </c>
      <c r="G302">
        <v>413</v>
      </c>
      <c r="H302">
        <v>0</v>
      </c>
      <c r="I302">
        <v>48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0.23478260869565218</v>
      </c>
      <c r="M302" s="4">
        <f>IFERROR(AV_PLAN[[#This Row],[TERMINO REAL ACUMULADO]]/AV_PLAN[[#This Row],[TERMINO PLAN ACUMULADO]],"")</f>
        <v>0.11622276029055691</v>
      </c>
      <c r="N302">
        <f>+AV_PLAN[[#This Row],[PLAN ACUMULADO]]-AV_PLAN[[#This Row],[INICIO REAL ACUMULADO]]</f>
        <v>352</v>
      </c>
      <c r="O302">
        <f>+AV_PLAN[[#This Row],[TERMINO PLAN ACUMULADO]]-AV_PLAN[[#This Row],[TERMINO REAL ACUMULADO]]</f>
        <v>365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0.15340909090909091</v>
      </c>
      <c r="S302" s="7">
        <f>+AV_PLAN[[#This Row],[TERMINO PLAN ACUMULADO]]/$G$471</f>
        <v>0.58664772727272729</v>
      </c>
      <c r="T302" s="7">
        <f t="shared" si="9"/>
        <v>6.8181818181818177E-2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108</v>
      </c>
      <c r="F303">
        <v>1</v>
      </c>
      <c r="G303">
        <v>414</v>
      </c>
      <c r="H303">
        <v>0</v>
      </c>
      <c r="I303">
        <v>48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0.23326133909287258</v>
      </c>
      <c r="M303" s="4">
        <f>IFERROR(AV_PLAN[[#This Row],[TERMINO REAL ACUMULADO]]/AV_PLAN[[#This Row],[TERMINO PLAN ACUMULADO]],"")</f>
        <v>0.11594202898550725</v>
      </c>
      <c r="N303">
        <f>+AV_PLAN[[#This Row],[PLAN ACUMULADO]]-AV_PLAN[[#This Row],[INICIO REAL ACUMULADO]]</f>
        <v>355</v>
      </c>
      <c r="O303">
        <f>+AV_PLAN[[#This Row],[TERMINO PLAN ACUMULADO]]-AV_PLAN[[#This Row],[TERMINO REAL ACUMULADO]]</f>
        <v>366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0.15340909090909091</v>
      </c>
      <c r="S303" s="7">
        <f>+AV_PLAN[[#This Row],[TERMINO PLAN ACUMULADO]]/$G$471</f>
        <v>0.58806818181818177</v>
      </c>
      <c r="T303" s="7">
        <f t="shared" si="9"/>
        <v>6.8181818181818177E-2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108</v>
      </c>
      <c r="F304">
        <v>1</v>
      </c>
      <c r="G304">
        <v>415</v>
      </c>
      <c r="H304">
        <v>0</v>
      </c>
      <c r="I304">
        <v>48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0.23175965665236051</v>
      </c>
      <c r="M304" s="4">
        <f>IFERROR(AV_PLAN[[#This Row],[TERMINO REAL ACUMULADO]]/AV_PLAN[[#This Row],[TERMINO PLAN ACUMULADO]],"")</f>
        <v>0.11566265060240964</v>
      </c>
      <c r="N304">
        <f>+AV_PLAN[[#This Row],[PLAN ACUMULADO]]-AV_PLAN[[#This Row],[INICIO REAL ACUMULADO]]</f>
        <v>358</v>
      </c>
      <c r="O304">
        <f>+AV_PLAN[[#This Row],[TERMINO PLAN ACUMULADO]]-AV_PLAN[[#This Row],[TERMINO REAL ACUMULADO]]</f>
        <v>367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0.15340909090909091</v>
      </c>
      <c r="S304" s="7">
        <f>+AV_PLAN[[#This Row],[TERMINO PLAN ACUMULADO]]/$G$471</f>
        <v>0.58948863636363635</v>
      </c>
      <c r="T304" s="7">
        <f t="shared" si="9"/>
        <v>6.8181818181818177E-2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108</v>
      </c>
      <c r="F305">
        <v>3</v>
      </c>
      <c r="G305">
        <v>418</v>
      </c>
      <c r="H305">
        <v>0</v>
      </c>
      <c r="I305">
        <v>48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0.2302771855010661</v>
      </c>
      <c r="M305" s="4">
        <f>IFERROR(AV_PLAN[[#This Row],[TERMINO REAL ACUMULADO]]/AV_PLAN[[#This Row],[TERMINO PLAN ACUMULADO]],"")</f>
        <v>0.11483253588516747</v>
      </c>
      <c r="N305">
        <f>+AV_PLAN[[#This Row],[PLAN ACUMULADO]]-AV_PLAN[[#This Row],[INICIO REAL ACUMULADO]]</f>
        <v>361</v>
      </c>
      <c r="O305">
        <f>+AV_PLAN[[#This Row],[TERMINO PLAN ACUMULADO]]-AV_PLAN[[#This Row],[TERMINO REAL ACUMULADO]]</f>
        <v>370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0.15340909090909091</v>
      </c>
      <c r="S305" s="7">
        <f>+AV_PLAN[[#This Row],[TERMINO PLAN ACUMULADO]]/$G$471</f>
        <v>0.59375</v>
      </c>
      <c r="T305" s="7">
        <f t="shared" si="9"/>
        <v>6.8181818181818177E-2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108</v>
      </c>
      <c r="F306">
        <v>3</v>
      </c>
      <c r="G306">
        <v>421</v>
      </c>
      <c r="H306">
        <v>0</v>
      </c>
      <c r="I306">
        <v>48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0.2288135593220339</v>
      </c>
      <c r="M306" s="4">
        <f>IFERROR(AV_PLAN[[#This Row],[TERMINO REAL ACUMULADO]]/AV_PLAN[[#This Row],[TERMINO PLAN ACUMULADO]],"")</f>
        <v>0.11401425178147269</v>
      </c>
      <c r="N306">
        <f>+AV_PLAN[[#This Row],[PLAN ACUMULADO]]-AV_PLAN[[#This Row],[INICIO REAL ACUMULADO]]</f>
        <v>364</v>
      </c>
      <c r="O306">
        <f>+AV_PLAN[[#This Row],[TERMINO PLAN ACUMULADO]]-AV_PLAN[[#This Row],[TERMINO REAL ACUMULADO]]</f>
        <v>373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0.15340909090909091</v>
      </c>
      <c r="S306" s="7">
        <f>+AV_PLAN[[#This Row],[TERMINO PLAN ACUMULADO]]/$G$471</f>
        <v>0.59801136363636365</v>
      </c>
      <c r="T306" s="7">
        <f t="shared" si="9"/>
        <v>6.8181818181818177E-2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108</v>
      </c>
      <c r="F307">
        <v>2</v>
      </c>
      <c r="G307">
        <v>423</v>
      </c>
      <c r="H307">
        <v>0</v>
      </c>
      <c r="I307">
        <v>48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0.22736842105263158</v>
      </c>
      <c r="M307" s="4">
        <f>IFERROR(AV_PLAN[[#This Row],[TERMINO REAL ACUMULADO]]/AV_PLAN[[#This Row],[TERMINO PLAN ACUMULADO]],"")</f>
        <v>0.11347517730496454</v>
      </c>
      <c r="N307">
        <f>+AV_PLAN[[#This Row],[PLAN ACUMULADO]]-AV_PLAN[[#This Row],[INICIO REAL ACUMULADO]]</f>
        <v>367</v>
      </c>
      <c r="O307">
        <f>+AV_PLAN[[#This Row],[TERMINO PLAN ACUMULADO]]-AV_PLAN[[#This Row],[TERMINO REAL ACUMULADO]]</f>
        <v>375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0.15340909090909091</v>
      </c>
      <c r="S307" s="7">
        <f>+AV_PLAN[[#This Row],[TERMINO PLAN ACUMULADO]]/$G$471</f>
        <v>0.60085227272727271</v>
      </c>
      <c r="T307" s="7">
        <f t="shared" si="9"/>
        <v>6.8181818181818177E-2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108</v>
      </c>
      <c r="F308">
        <v>2</v>
      </c>
      <c r="G308">
        <v>425</v>
      </c>
      <c r="H308">
        <v>0</v>
      </c>
      <c r="I308">
        <v>48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0.22736842105263158</v>
      </c>
      <c r="M308" s="4">
        <f>IFERROR(AV_PLAN[[#This Row],[TERMINO REAL ACUMULADO]]/AV_PLAN[[#This Row],[TERMINO PLAN ACUMULADO]],"")</f>
        <v>0.11294117647058824</v>
      </c>
      <c r="N308">
        <f>+AV_PLAN[[#This Row],[PLAN ACUMULADO]]-AV_PLAN[[#This Row],[INICIO REAL ACUMULADO]]</f>
        <v>367</v>
      </c>
      <c r="O308">
        <f>+AV_PLAN[[#This Row],[TERMINO PLAN ACUMULADO]]-AV_PLAN[[#This Row],[TERMINO REAL ACUMULADO]]</f>
        <v>377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0.15340909090909091</v>
      </c>
      <c r="S308" s="7">
        <f>+AV_PLAN[[#This Row],[TERMINO PLAN ACUMULADO]]/$G$471</f>
        <v>0.60369318181818177</v>
      </c>
      <c r="T308" s="7">
        <f t="shared" si="9"/>
        <v>6.8181818181818177E-2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108</v>
      </c>
      <c r="F309">
        <v>2</v>
      </c>
      <c r="G309">
        <v>427</v>
      </c>
      <c r="H309">
        <v>0</v>
      </c>
      <c r="I309">
        <v>48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0.22736842105263158</v>
      </c>
      <c r="M309" s="4">
        <f>IFERROR(AV_PLAN[[#This Row],[TERMINO REAL ACUMULADO]]/AV_PLAN[[#This Row],[TERMINO PLAN ACUMULADO]],"")</f>
        <v>0.11241217798594848</v>
      </c>
      <c r="N309">
        <f>+AV_PLAN[[#This Row],[PLAN ACUMULADO]]-AV_PLAN[[#This Row],[INICIO REAL ACUMULADO]]</f>
        <v>367</v>
      </c>
      <c r="O309">
        <f>+AV_PLAN[[#This Row],[TERMINO PLAN ACUMULADO]]-AV_PLAN[[#This Row],[TERMINO REAL ACUMULADO]]</f>
        <v>379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0.15340909090909091</v>
      </c>
      <c r="S309" s="7">
        <f>+AV_PLAN[[#This Row],[TERMINO PLAN ACUMULADO]]/$G$471</f>
        <v>0.60653409090909094</v>
      </c>
      <c r="T309" s="7">
        <f t="shared" si="9"/>
        <v>6.8181818181818177E-2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108</v>
      </c>
      <c r="F310">
        <v>1</v>
      </c>
      <c r="G310">
        <v>428</v>
      </c>
      <c r="H310">
        <v>0</v>
      </c>
      <c r="I310">
        <v>48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0.22594142259414227</v>
      </c>
      <c r="M310" s="4">
        <f>IFERROR(AV_PLAN[[#This Row],[TERMINO REAL ACUMULADO]]/AV_PLAN[[#This Row],[TERMINO PLAN ACUMULADO]],"")</f>
        <v>0.11214953271028037</v>
      </c>
      <c r="N310">
        <f>+AV_PLAN[[#This Row],[PLAN ACUMULADO]]-AV_PLAN[[#This Row],[INICIO REAL ACUMULADO]]</f>
        <v>370</v>
      </c>
      <c r="O310">
        <f>+AV_PLAN[[#This Row],[TERMINO PLAN ACUMULADO]]-AV_PLAN[[#This Row],[TERMINO REAL ACUMULADO]]</f>
        <v>380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0.15340909090909091</v>
      </c>
      <c r="S310" s="7">
        <f>+AV_PLAN[[#This Row],[TERMINO PLAN ACUMULADO]]/$G$471</f>
        <v>0.60795454545454541</v>
      </c>
      <c r="T310" s="7">
        <f t="shared" si="9"/>
        <v>6.8181818181818177E-2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108</v>
      </c>
      <c r="F311">
        <v>2</v>
      </c>
      <c r="G311">
        <v>430</v>
      </c>
      <c r="H311">
        <v>0</v>
      </c>
      <c r="I311">
        <v>48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0.22453222453222454</v>
      </c>
      <c r="M311" s="4">
        <f>IFERROR(AV_PLAN[[#This Row],[TERMINO REAL ACUMULADO]]/AV_PLAN[[#This Row],[TERMINO PLAN ACUMULADO]],"")</f>
        <v>0.11162790697674418</v>
      </c>
      <c r="N311">
        <f>+AV_PLAN[[#This Row],[PLAN ACUMULADO]]-AV_PLAN[[#This Row],[INICIO REAL ACUMULADO]]</f>
        <v>373</v>
      </c>
      <c r="O311">
        <f>+AV_PLAN[[#This Row],[TERMINO PLAN ACUMULADO]]-AV_PLAN[[#This Row],[TERMINO REAL ACUMULADO]]</f>
        <v>382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0.15340909090909091</v>
      </c>
      <c r="S311" s="7">
        <f>+AV_PLAN[[#This Row],[TERMINO PLAN ACUMULADO]]/$G$471</f>
        <v>0.61079545454545459</v>
      </c>
      <c r="T311" s="7">
        <f t="shared" si="9"/>
        <v>6.8181818181818177E-2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108</v>
      </c>
      <c r="F312">
        <v>3</v>
      </c>
      <c r="G312">
        <v>433</v>
      </c>
      <c r="H312">
        <v>0</v>
      </c>
      <c r="I312">
        <v>48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0.2231404958677686</v>
      </c>
      <c r="M312" s="4">
        <f>IFERROR(AV_PLAN[[#This Row],[TERMINO REAL ACUMULADO]]/AV_PLAN[[#This Row],[TERMINO PLAN ACUMULADO]],"")</f>
        <v>0.11085450346420324</v>
      </c>
      <c r="N312">
        <f>+AV_PLAN[[#This Row],[PLAN ACUMULADO]]-AV_PLAN[[#This Row],[INICIO REAL ACUMULADO]]</f>
        <v>376</v>
      </c>
      <c r="O312">
        <f>+AV_PLAN[[#This Row],[TERMINO PLAN ACUMULADO]]-AV_PLAN[[#This Row],[TERMINO REAL ACUMULADO]]</f>
        <v>385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0.15340909090909091</v>
      </c>
      <c r="S312" s="7">
        <f>+AV_PLAN[[#This Row],[TERMINO PLAN ACUMULADO]]/$G$471</f>
        <v>0.61505681818181823</v>
      </c>
      <c r="T312" s="7">
        <f t="shared" si="9"/>
        <v>6.8181818181818177E-2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108</v>
      </c>
      <c r="F313">
        <v>3</v>
      </c>
      <c r="G313">
        <v>436</v>
      </c>
      <c r="H313">
        <v>0</v>
      </c>
      <c r="I313">
        <v>48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0.2231404958677686</v>
      </c>
      <c r="M313" s="4">
        <f>IFERROR(AV_PLAN[[#This Row],[TERMINO REAL ACUMULADO]]/AV_PLAN[[#This Row],[TERMINO PLAN ACUMULADO]],"")</f>
        <v>0.11009174311926606</v>
      </c>
      <c r="N313">
        <f>+AV_PLAN[[#This Row],[PLAN ACUMULADO]]-AV_PLAN[[#This Row],[INICIO REAL ACUMULADO]]</f>
        <v>376</v>
      </c>
      <c r="O313">
        <f>+AV_PLAN[[#This Row],[TERMINO PLAN ACUMULADO]]-AV_PLAN[[#This Row],[TERMINO REAL ACUMULADO]]</f>
        <v>388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0.15340909090909091</v>
      </c>
      <c r="S313" s="7">
        <f>+AV_PLAN[[#This Row],[TERMINO PLAN ACUMULADO]]/$G$471</f>
        <v>0.61931818181818177</v>
      </c>
      <c r="T313" s="7">
        <f t="shared" si="9"/>
        <v>6.8181818181818177E-2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108</v>
      </c>
      <c r="F314">
        <v>2</v>
      </c>
      <c r="G314">
        <v>438</v>
      </c>
      <c r="H314">
        <v>0</v>
      </c>
      <c r="I314">
        <v>48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0.2231404958677686</v>
      </c>
      <c r="M314" s="4">
        <f>IFERROR(AV_PLAN[[#This Row],[TERMINO REAL ACUMULADO]]/AV_PLAN[[#This Row],[TERMINO PLAN ACUMULADO]],"")</f>
        <v>0.1095890410958904</v>
      </c>
      <c r="N314">
        <f>+AV_PLAN[[#This Row],[PLAN ACUMULADO]]-AV_PLAN[[#This Row],[INICIO REAL ACUMULADO]]</f>
        <v>376</v>
      </c>
      <c r="O314">
        <f>+AV_PLAN[[#This Row],[TERMINO PLAN ACUMULADO]]-AV_PLAN[[#This Row],[TERMINO REAL ACUMULADO]]</f>
        <v>390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0.15340909090909091</v>
      </c>
      <c r="S314" s="7">
        <f>+AV_PLAN[[#This Row],[TERMINO PLAN ACUMULADO]]/$G$471</f>
        <v>0.62215909090909094</v>
      </c>
      <c r="T314" s="7">
        <f t="shared" si="9"/>
        <v>6.8181818181818177E-2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108</v>
      </c>
      <c r="F315">
        <v>1</v>
      </c>
      <c r="G315">
        <v>439</v>
      </c>
      <c r="H315">
        <v>0</v>
      </c>
      <c r="I315">
        <v>48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0.2231404958677686</v>
      </c>
      <c r="M315" s="4">
        <f>IFERROR(AV_PLAN[[#This Row],[TERMINO REAL ACUMULADO]]/AV_PLAN[[#This Row],[TERMINO PLAN ACUMULADO]],"")</f>
        <v>0.10933940774487472</v>
      </c>
      <c r="N315">
        <f>+AV_PLAN[[#This Row],[PLAN ACUMULADO]]-AV_PLAN[[#This Row],[INICIO REAL ACUMULADO]]</f>
        <v>376</v>
      </c>
      <c r="O315">
        <f>+AV_PLAN[[#This Row],[TERMINO PLAN ACUMULADO]]-AV_PLAN[[#This Row],[TERMINO REAL ACUMULADO]]</f>
        <v>391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0.15340909090909091</v>
      </c>
      <c r="S315" s="7">
        <f>+AV_PLAN[[#This Row],[TERMINO PLAN ACUMULADO]]/$G$471</f>
        <v>0.62357954545454541</v>
      </c>
      <c r="T315" s="7">
        <f t="shared" si="9"/>
        <v>6.8181818181818177E-2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108</v>
      </c>
      <c r="F316">
        <v>2</v>
      </c>
      <c r="G316">
        <v>441</v>
      </c>
      <c r="H316">
        <v>0</v>
      </c>
      <c r="I316">
        <v>48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0.2231404958677686</v>
      </c>
      <c r="M316" s="4">
        <f>IFERROR(AV_PLAN[[#This Row],[TERMINO REAL ACUMULADO]]/AV_PLAN[[#This Row],[TERMINO PLAN ACUMULADO]],"")</f>
        <v>0.10884353741496598</v>
      </c>
      <c r="N316">
        <f>+AV_PLAN[[#This Row],[PLAN ACUMULADO]]-AV_PLAN[[#This Row],[INICIO REAL ACUMULADO]]</f>
        <v>376</v>
      </c>
      <c r="O316">
        <f>+AV_PLAN[[#This Row],[TERMINO PLAN ACUMULADO]]-AV_PLAN[[#This Row],[TERMINO REAL ACUMULADO]]</f>
        <v>393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0.15340909090909091</v>
      </c>
      <c r="S316" s="7">
        <f>+AV_PLAN[[#This Row],[TERMINO PLAN ACUMULADO]]/$G$471</f>
        <v>0.62642045454545459</v>
      </c>
      <c r="T316" s="7">
        <f t="shared" si="9"/>
        <v>6.8181818181818177E-2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108</v>
      </c>
      <c r="F317">
        <v>0</v>
      </c>
      <c r="G317">
        <v>441</v>
      </c>
      <c r="H317">
        <v>0</v>
      </c>
      <c r="I317">
        <v>48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0.22176591375770022</v>
      </c>
      <c r="M317" s="4">
        <f>IFERROR(AV_PLAN[[#This Row],[TERMINO REAL ACUMULADO]]/AV_PLAN[[#This Row],[TERMINO PLAN ACUMULADO]],"")</f>
        <v>0.10884353741496598</v>
      </c>
      <c r="N317">
        <f>+AV_PLAN[[#This Row],[PLAN ACUMULADO]]-AV_PLAN[[#This Row],[INICIO REAL ACUMULADO]]</f>
        <v>379</v>
      </c>
      <c r="O317">
        <f>+AV_PLAN[[#This Row],[TERMINO PLAN ACUMULADO]]-AV_PLAN[[#This Row],[TERMINO REAL ACUMULADO]]</f>
        <v>393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0.15340909090909091</v>
      </c>
      <c r="S317" s="7">
        <f>+AV_PLAN[[#This Row],[TERMINO PLAN ACUMULADO]]/$G$471</f>
        <v>0.62642045454545459</v>
      </c>
      <c r="T317" s="7">
        <f t="shared" si="9"/>
        <v>6.8181818181818177E-2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108</v>
      </c>
      <c r="F318">
        <v>2</v>
      </c>
      <c r="G318">
        <v>443</v>
      </c>
      <c r="H318">
        <v>0</v>
      </c>
      <c r="I318">
        <v>48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0.22040816326530613</v>
      </c>
      <c r="M318" s="4">
        <f>IFERROR(AV_PLAN[[#This Row],[TERMINO REAL ACUMULADO]]/AV_PLAN[[#This Row],[TERMINO PLAN ACUMULADO]],"")</f>
        <v>0.10835214446952596</v>
      </c>
      <c r="N318">
        <f>+AV_PLAN[[#This Row],[PLAN ACUMULADO]]-AV_PLAN[[#This Row],[INICIO REAL ACUMULADO]]</f>
        <v>382</v>
      </c>
      <c r="O318">
        <f>+AV_PLAN[[#This Row],[TERMINO PLAN ACUMULADO]]-AV_PLAN[[#This Row],[TERMINO REAL ACUMULADO]]</f>
        <v>395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0.15340909090909091</v>
      </c>
      <c r="S318" s="7">
        <f>+AV_PLAN[[#This Row],[TERMINO PLAN ACUMULADO]]/$G$471</f>
        <v>0.62926136363636365</v>
      </c>
      <c r="T318" s="7">
        <f t="shared" si="9"/>
        <v>6.8181818181818177E-2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108</v>
      </c>
      <c r="F319">
        <v>4</v>
      </c>
      <c r="G319">
        <v>447</v>
      </c>
      <c r="H319">
        <v>0</v>
      </c>
      <c r="I319">
        <v>48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0.21906693711967545</v>
      </c>
      <c r="M319" s="4">
        <f>IFERROR(AV_PLAN[[#This Row],[TERMINO REAL ACUMULADO]]/AV_PLAN[[#This Row],[TERMINO PLAN ACUMULADO]],"")</f>
        <v>0.10738255033557047</v>
      </c>
      <c r="N319">
        <f>+AV_PLAN[[#This Row],[PLAN ACUMULADO]]-AV_PLAN[[#This Row],[INICIO REAL ACUMULADO]]</f>
        <v>385</v>
      </c>
      <c r="O319">
        <f>+AV_PLAN[[#This Row],[TERMINO PLAN ACUMULADO]]-AV_PLAN[[#This Row],[TERMINO REAL ACUMULADO]]</f>
        <v>399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0.15340909090909091</v>
      </c>
      <c r="S319" s="7">
        <f>+AV_PLAN[[#This Row],[TERMINO PLAN ACUMULADO]]/$G$471</f>
        <v>0.63494318181818177</v>
      </c>
      <c r="T319" s="7">
        <f t="shared" si="9"/>
        <v>6.8181818181818177E-2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108</v>
      </c>
      <c r="F320">
        <v>3</v>
      </c>
      <c r="G320">
        <v>450</v>
      </c>
      <c r="H320">
        <v>0</v>
      </c>
      <c r="I320">
        <v>48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0.21906693711967545</v>
      </c>
      <c r="M320" s="4">
        <f>IFERROR(AV_PLAN[[#This Row],[TERMINO REAL ACUMULADO]]/AV_PLAN[[#This Row],[TERMINO PLAN ACUMULADO]],"")</f>
        <v>0.10666666666666667</v>
      </c>
      <c r="N320">
        <f>+AV_PLAN[[#This Row],[PLAN ACUMULADO]]-AV_PLAN[[#This Row],[INICIO REAL ACUMULADO]]</f>
        <v>385</v>
      </c>
      <c r="O320">
        <f>+AV_PLAN[[#This Row],[TERMINO PLAN ACUMULADO]]-AV_PLAN[[#This Row],[TERMINO REAL ACUMULADO]]</f>
        <v>402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0.15340909090909091</v>
      </c>
      <c r="S320" s="7">
        <f>+AV_PLAN[[#This Row],[TERMINO PLAN ACUMULADO]]/$G$471</f>
        <v>0.63920454545454541</v>
      </c>
      <c r="T320" s="7">
        <f t="shared" si="9"/>
        <v>6.8181818181818177E-2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108</v>
      </c>
      <c r="F321">
        <v>1</v>
      </c>
      <c r="G321">
        <v>451</v>
      </c>
      <c r="H321">
        <v>0</v>
      </c>
      <c r="I321">
        <v>48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0.21906693711967545</v>
      </c>
      <c r="M321" s="4">
        <f>IFERROR(AV_PLAN[[#This Row],[TERMINO REAL ACUMULADO]]/AV_PLAN[[#This Row],[TERMINO PLAN ACUMULADO]],"")</f>
        <v>0.10643015521064302</v>
      </c>
      <c r="N321">
        <f>+AV_PLAN[[#This Row],[PLAN ACUMULADO]]-AV_PLAN[[#This Row],[INICIO REAL ACUMULADO]]</f>
        <v>385</v>
      </c>
      <c r="O321">
        <f>+AV_PLAN[[#This Row],[TERMINO PLAN ACUMULADO]]-AV_PLAN[[#This Row],[TERMINO REAL ACUMULADO]]</f>
        <v>403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0.15340909090909091</v>
      </c>
      <c r="S321" s="7">
        <f>+AV_PLAN[[#This Row],[TERMINO PLAN ACUMULADO]]/$G$471</f>
        <v>0.640625</v>
      </c>
      <c r="T321" s="7">
        <f t="shared" si="9"/>
        <v>6.8181818181818177E-2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108</v>
      </c>
      <c r="F322">
        <v>1</v>
      </c>
      <c r="G322">
        <v>452</v>
      </c>
      <c r="H322">
        <v>0</v>
      </c>
      <c r="I322">
        <v>48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0.21906693711967545</v>
      </c>
      <c r="M322" s="4">
        <f>IFERROR(AV_PLAN[[#This Row],[TERMINO REAL ACUMULADO]]/AV_PLAN[[#This Row],[TERMINO PLAN ACUMULADO]],"")</f>
        <v>0.10619469026548672</v>
      </c>
      <c r="N322">
        <f>+AV_PLAN[[#This Row],[PLAN ACUMULADO]]-AV_PLAN[[#This Row],[INICIO REAL ACUMULADO]]</f>
        <v>385</v>
      </c>
      <c r="O322">
        <f>+AV_PLAN[[#This Row],[TERMINO PLAN ACUMULADO]]-AV_PLAN[[#This Row],[TERMINO REAL ACUMULADO]]</f>
        <v>404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0.15340909090909091</v>
      </c>
      <c r="S322" s="7">
        <f>+AV_PLAN[[#This Row],[TERMINO PLAN ACUMULADO]]/$G$471</f>
        <v>0.64204545454545459</v>
      </c>
      <c r="T322" s="7">
        <f t="shared" ref="T322:T385" si="11">IF(H322="",NA(),I322/$G$471)</f>
        <v>6.8181818181818177E-2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108</v>
      </c>
      <c r="F323">
        <v>3</v>
      </c>
      <c r="G323">
        <v>455</v>
      </c>
      <c r="H323">
        <v>0</v>
      </c>
      <c r="I323">
        <v>48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0.21906693711967545</v>
      </c>
      <c r="M323" s="4">
        <f>IFERROR(AV_PLAN[[#This Row],[TERMINO REAL ACUMULADO]]/AV_PLAN[[#This Row],[TERMINO PLAN ACUMULADO]],"")</f>
        <v>0.10549450549450549</v>
      </c>
      <c r="N323">
        <f>+AV_PLAN[[#This Row],[PLAN ACUMULADO]]-AV_PLAN[[#This Row],[INICIO REAL ACUMULADO]]</f>
        <v>385</v>
      </c>
      <c r="O323">
        <f>+AV_PLAN[[#This Row],[TERMINO PLAN ACUMULADO]]-AV_PLAN[[#This Row],[TERMINO REAL ACUMULADO]]</f>
        <v>407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0.15340909090909091</v>
      </c>
      <c r="S323" s="7">
        <f>+AV_PLAN[[#This Row],[TERMINO PLAN ACUMULADO]]/$G$471</f>
        <v>0.64630681818181823</v>
      </c>
      <c r="T323" s="7">
        <f t="shared" si="11"/>
        <v>6.8181818181818177E-2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108</v>
      </c>
      <c r="F324">
        <v>2</v>
      </c>
      <c r="G324">
        <v>457</v>
      </c>
      <c r="H324">
        <v>0</v>
      </c>
      <c r="I324">
        <v>48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0.21774193548387097</v>
      </c>
      <c r="M324" s="4">
        <f>IFERROR(AV_PLAN[[#This Row],[TERMINO REAL ACUMULADO]]/AV_PLAN[[#This Row],[TERMINO PLAN ACUMULADO]],"")</f>
        <v>0.10503282275711159</v>
      </c>
      <c r="N324">
        <f>+AV_PLAN[[#This Row],[PLAN ACUMULADO]]-AV_PLAN[[#This Row],[INICIO REAL ACUMULADO]]</f>
        <v>388</v>
      </c>
      <c r="O324">
        <f>+AV_PLAN[[#This Row],[TERMINO PLAN ACUMULADO]]-AV_PLAN[[#This Row],[TERMINO REAL ACUMULADO]]</f>
        <v>409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0.15340909090909091</v>
      </c>
      <c r="S324" s="7">
        <f>+AV_PLAN[[#This Row],[TERMINO PLAN ACUMULADO]]/$G$471</f>
        <v>0.64914772727272729</v>
      </c>
      <c r="T324" s="7">
        <f t="shared" si="11"/>
        <v>6.8181818181818177E-2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108</v>
      </c>
      <c r="F325">
        <v>2</v>
      </c>
      <c r="G325">
        <v>459</v>
      </c>
      <c r="H325">
        <v>0</v>
      </c>
      <c r="I325">
        <v>48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0.21643286573146292</v>
      </c>
      <c r="M325" s="4">
        <f>IFERROR(AV_PLAN[[#This Row],[TERMINO REAL ACUMULADO]]/AV_PLAN[[#This Row],[TERMINO PLAN ACUMULADO]],"")</f>
        <v>0.10457516339869281</v>
      </c>
      <c r="N325">
        <f>+AV_PLAN[[#This Row],[PLAN ACUMULADO]]-AV_PLAN[[#This Row],[INICIO REAL ACUMULADO]]</f>
        <v>391</v>
      </c>
      <c r="O325">
        <f>+AV_PLAN[[#This Row],[TERMINO PLAN ACUMULADO]]-AV_PLAN[[#This Row],[TERMINO REAL ACUMULADO]]</f>
        <v>411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0.15340909090909091</v>
      </c>
      <c r="S325" s="7">
        <f>+AV_PLAN[[#This Row],[TERMINO PLAN ACUMULADO]]/$G$471</f>
        <v>0.65198863636363635</v>
      </c>
      <c r="T325" s="7">
        <f t="shared" si="11"/>
        <v>6.8181818181818177E-2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108</v>
      </c>
      <c r="F326">
        <v>3</v>
      </c>
      <c r="G326">
        <v>462</v>
      </c>
      <c r="H326">
        <v>0</v>
      </c>
      <c r="I326">
        <v>48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0.2151394422310757</v>
      </c>
      <c r="M326" s="4">
        <f>IFERROR(AV_PLAN[[#This Row],[TERMINO REAL ACUMULADO]]/AV_PLAN[[#This Row],[TERMINO PLAN ACUMULADO]],"")</f>
        <v>0.1038961038961039</v>
      </c>
      <c r="N326">
        <f>+AV_PLAN[[#This Row],[PLAN ACUMULADO]]-AV_PLAN[[#This Row],[INICIO REAL ACUMULADO]]</f>
        <v>394</v>
      </c>
      <c r="O326">
        <f>+AV_PLAN[[#This Row],[TERMINO PLAN ACUMULADO]]-AV_PLAN[[#This Row],[TERMINO REAL ACUMULADO]]</f>
        <v>414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0.15340909090909091</v>
      </c>
      <c r="S326" s="7">
        <f>+AV_PLAN[[#This Row],[TERMINO PLAN ACUMULADO]]/$G$471</f>
        <v>0.65625</v>
      </c>
      <c r="T326" s="7">
        <f t="shared" si="11"/>
        <v>6.8181818181818177E-2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108</v>
      </c>
      <c r="F327">
        <v>1</v>
      </c>
      <c r="G327">
        <v>463</v>
      </c>
      <c r="H327">
        <v>0</v>
      </c>
      <c r="I327">
        <v>48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0.21386138613861386</v>
      </c>
      <c r="M327" s="4">
        <f>IFERROR(AV_PLAN[[#This Row],[TERMINO REAL ACUMULADO]]/AV_PLAN[[#This Row],[TERMINO PLAN ACUMULADO]],"")</f>
        <v>0.10367170626349892</v>
      </c>
      <c r="N327">
        <f>+AV_PLAN[[#This Row],[PLAN ACUMULADO]]-AV_PLAN[[#This Row],[INICIO REAL ACUMULADO]]</f>
        <v>397</v>
      </c>
      <c r="O327">
        <f>+AV_PLAN[[#This Row],[TERMINO PLAN ACUMULADO]]-AV_PLAN[[#This Row],[TERMINO REAL ACUMULADO]]</f>
        <v>415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0.15340909090909091</v>
      </c>
      <c r="S327" s="7">
        <f>+AV_PLAN[[#This Row],[TERMINO PLAN ACUMULADO]]/$G$471</f>
        <v>0.65767045454545459</v>
      </c>
      <c r="T327" s="7">
        <f t="shared" si="11"/>
        <v>6.8181818181818177E-2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108</v>
      </c>
      <c r="F328">
        <v>1</v>
      </c>
      <c r="G328">
        <v>464</v>
      </c>
      <c r="H328">
        <v>0</v>
      </c>
      <c r="I328">
        <v>48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0.2125984251968504</v>
      </c>
      <c r="M328" s="4">
        <f>IFERROR(AV_PLAN[[#This Row],[TERMINO REAL ACUMULADO]]/AV_PLAN[[#This Row],[TERMINO PLAN ACUMULADO]],"")</f>
        <v>0.10344827586206896</v>
      </c>
      <c r="N328">
        <f>+AV_PLAN[[#This Row],[PLAN ACUMULADO]]-AV_PLAN[[#This Row],[INICIO REAL ACUMULADO]]</f>
        <v>400</v>
      </c>
      <c r="O328">
        <f>+AV_PLAN[[#This Row],[TERMINO PLAN ACUMULADO]]-AV_PLAN[[#This Row],[TERMINO REAL ACUMULADO]]</f>
        <v>416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0.15340909090909091</v>
      </c>
      <c r="S328" s="7">
        <f>+AV_PLAN[[#This Row],[TERMINO PLAN ACUMULADO]]/$G$471</f>
        <v>0.65909090909090906</v>
      </c>
      <c r="T328" s="7">
        <f t="shared" si="11"/>
        <v>6.8181818181818177E-2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108</v>
      </c>
      <c r="F329">
        <v>1</v>
      </c>
      <c r="G329">
        <v>465</v>
      </c>
      <c r="H329">
        <v>0</v>
      </c>
      <c r="I329">
        <v>48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0.2125984251968504</v>
      </c>
      <c r="M329" s="4">
        <f>IFERROR(AV_PLAN[[#This Row],[TERMINO REAL ACUMULADO]]/AV_PLAN[[#This Row],[TERMINO PLAN ACUMULADO]],"")</f>
        <v>0.1032258064516129</v>
      </c>
      <c r="N329">
        <f>+AV_PLAN[[#This Row],[PLAN ACUMULADO]]-AV_PLAN[[#This Row],[INICIO REAL ACUMULADO]]</f>
        <v>400</v>
      </c>
      <c r="O329">
        <f>+AV_PLAN[[#This Row],[TERMINO PLAN ACUMULADO]]-AV_PLAN[[#This Row],[TERMINO REAL ACUMULADO]]</f>
        <v>417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0.15340909090909091</v>
      </c>
      <c r="S329" s="7">
        <f>+AV_PLAN[[#This Row],[TERMINO PLAN ACUMULADO]]/$G$471</f>
        <v>0.66051136363636365</v>
      </c>
      <c r="T329" s="7">
        <f t="shared" si="11"/>
        <v>6.8181818181818177E-2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108</v>
      </c>
      <c r="F330">
        <v>4</v>
      </c>
      <c r="G330">
        <v>469</v>
      </c>
      <c r="H330">
        <v>0</v>
      </c>
      <c r="I330">
        <v>48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0.2125984251968504</v>
      </c>
      <c r="M330" s="4">
        <f>IFERROR(AV_PLAN[[#This Row],[TERMINO REAL ACUMULADO]]/AV_PLAN[[#This Row],[TERMINO PLAN ACUMULADO]],"")</f>
        <v>0.1023454157782516</v>
      </c>
      <c r="N330">
        <f>+AV_PLAN[[#This Row],[PLAN ACUMULADO]]-AV_PLAN[[#This Row],[INICIO REAL ACUMULADO]]</f>
        <v>400</v>
      </c>
      <c r="O330">
        <f>+AV_PLAN[[#This Row],[TERMINO PLAN ACUMULADO]]-AV_PLAN[[#This Row],[TERMINO REAL ACUMULADO]]</f>
        <v>421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0.15340909090909091</v>
      </c>
      <c r="S330" s="7">
        <f>+AV_PLAN[[#This Row],[TERMINO PLAN ACUMULADO]]/$G$471</f>
        <v>0.66619318181818177</v>
      </c>
      <c r="T330" s="7">
        <f t="shared" si="11"/>
        <v>6.8181818181818177E-2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108</v>
      </c>
      <c r="F331">
        <v>2</v>
      </c>
      <c r="G331">
        <v>471</v>
      </c>
      <c r="H331">
        <v>0</v>
      </c>
      <c r="I331">
        <v>48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0.21135029354207435</v>
      </c>
      <c r="M331" s="4">
        <f>IFERROR(AV_PLAN[[#This Row],[TERMINO REAL ACUMULADO]]/AV_PLAN[[#This Row],[TERMINO PLAN ACUMULADO]],"")</f>
        <v>0.10191082802547771</v>
      </c>
      <c r="N331">
        <f>+AV_PLAN[[#This Row],[PLAN ACUMULADO]]-AV_PLAN[[#This Row],[INICIO REAL ACUMULADO]]</f>
        <v>403</v>
      </c>
      <c r="O331">
        <f>+AV_PLAN[[#This Row],[TERMINO PLAN ACUMULADO]]-AV_PLAN[[#This Row],[TERMINO REAL ACUMULADO]]</f>
        <v>423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0.15340909090909091</v>
      </c>
      <c r="S331" s="7">
        <f>+AV_PLAN[[#This Row],[TERMINO PLAN ACUMULADO]]/$G$471</f>
        <v>0.66903409090909094</v>
      </c>
      <c r="T331" s="7">
        <f t="shared" si="11"/>
        <v>6.8181818181818177E-2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108</v>
      </c>
      <c r="F332">
        <v>1</v>
      </c>
      <c r="G332">
        <v>472</v>
      </c>
      <c r="H332">
        <v>0</v>
      </c>
      <c r="I332">
        <v>48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0.21011673151750973</v>
      </c>
      <c r="M332" s="4">
        <f>IFERROR(AV_PLAN[[#This Row],[TERMINO REAL ACUMULADO]]/AV_PLAN[[#This Row],[TERMINO PLAN ACUMULADO]],"")</f>
        <v>0.10169491525423729</v>
      </c>
      <c r="N332">
        <f>+AV_PLAN[[#This Row],[PLAN ACUMULADO]]-AV_PLAN[[#This Row],[INICIO REAL ACUMULADO]]</f>
        <v>406</v>
      </c>
      <c r="O332">
        <f>+AV_PLAN[[#This Row],[TERMINO PLAN ACUMULADO]]-AV_PLAN[[#This Row],[TERMINO REAL ACUMULADO]]</f>
        <v>424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0.15340909090909091</v>
      </c>
      <c r="S332" s="7">
        <f>+AV_PLAN[[#This Row],[TERMINO PLAN ACUMULADO]]/$G$471</f>
        <v>0.67045454545454541</v>
      </c>
      <c r="T332" s="7">
        <f t="shared" si="11"/>
        <v>6.8181818181818177E-2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108</v>
      </c>
      <c r="F333">
        <v>2</v>
      </c>
      <c r="G333">
        <v>474</v>
      </c>
      <c r="H333">
        <v>0</v>
      </c>
      <c r="I333">
        <v>48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0.20889748549323017</v>
      </c>
      <c r="M333" s="4">
        <f>IFERROR(AV_PLAN[[#This Row],[TERMINO REAL ACUMULADO]]/AV_PLAN[[#This Row],[TERMINO PLAN ACUMULADO]],"")</f>
        <v>0.10126582278481013</v>
      </c>
      <c r="N333">
        <f>+AV_PLAN[[#This Row],[PLAN ACUMULADO]]-AV_PLAN[[#This Row],[INICIO REAL ACUMULADO]]</f>
        <v>409</v>
      </c>
      <c r="O333">
        <f>+AV_PLAN[[#This Row],[TERMINO PLAN ACUMULADO]]-AV_PLAN[[#This Row],[TERMINO REAL ACUMULADO]]</f>
        <v>426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0.15340909090909091</v>
      </c>
      <c r="S333" s="7">
        <f>+AV_PLAN[[#This Row],[TERMINO PLAN ACUMULADO]]/$G$471</f>
        <v>0.67329545454545459</v>
      </c>
      <c r="T333" s="7">
        <f t="shared" si="11"/>
        <v>6.8181818181818177E-2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108</v>
      </c>
      <c r="F334">
        <v>1</v>
      </c>
      <c r="G334">
        <v>475</v>
      </c>
      <c r="H334">
        <v>0</v>
      </c>
      <c r="I334">
        <v>48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0.2076923076923077</v>
      </c>
      <c r="M334" s="4">
        <f>IFERROR(AV_PLAN[[#This Row],[TERMINO REAL ACUMULADO]]/AV_PLAN[[#This Row],[TERMINO PLAN ACUMULADO]],"")</f>
        <v>0.10105263157894737</v>
      </c>
      <c r="N334">
        <f>+AV_PLAN[[#This Row],[PLAN ACUMULADO]]-AV_PLAN[[#This Row],[INICIO REAL ACUMULADO]]</f>
        <v>412</v>
      </c>
      <c r="O334">
        <f>+AV_PLAN[[#This Row],[TERMINO PLAN ACUMULADO]]-AV_PLAN[[#This Row],[TERMINO REAL ACUMULADO]]</f>
        <v>427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0.15340909090909091</v>
      </c>
      <c r="S334" s="7">
        <f>+AV_PLAN[[#This Row],[TERMINO PLAN ACUMULADO]]/$G$471</f>
        <v>0.67471590909090906</v>
      </c>
      <c r="T334" s="7">
        <f t="shared" si="11"/>
        <v>6.8181818181818177E-2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108</v>
      </c>
      <c r="F335">
        <v>1</v>
      </c>
      <c r="G335">
        <v>476</v>
      </c>
      <c r="H335">
        <v>0</v>
      </c>
      <c r="I335">
        <v>48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0.20650095602294455</v>
      </c>
      <c r="M335" s="4">
        <f>IFERROR(AV_PLAN[[#This Row],[TERMINO REAL ACUMULADO]]/AV_PLAN[[#This Row],[TERMINO PLAN ACUMULADO]],"")</f>
        <v>0.10084033613445378</v>
      </c>
      <c r="N335">
        <f>+AV_PLAN[[#This Row],[PLAN ACUMULADO]]-AV_PLAN[[#This Row],[INICIO REAL ACUMULADO]]</f>
        <v>415</v>
      </c>
      <c r="O335">
        <f>+AV_PLAN[[#This Row],[TERMINO PLAN ACUMULADO]]-AV_PLAN[[#This Row],[TERMINO REAL ACUMULADO]]</f>
        <v>428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0.15340909090909091</v>
      </c>
      <c r="S335" s="7">
        <f>+AV_PLAN[[#This Row],[TERMINO PLAN ACUMULADO]]/$G$471</f>
        <v>0.67613636363636365</v>
      </c>
      <c r="T335" s="7">
        <f t="shared" si="11"/>
        <v>6.8181818181818177E-2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108</v>
      </c>
      <c r="F336">
        <v>2</v>
      </c>
      <c r="G336">
        <v>478</v>
      </c>
      <c r="H336">
        <v>0</v>
      </c>
      <c r="I336">
        <v>48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0.20650095602294455</v>
      </c>
      <c r="M336" s="4">
        <f>IFERROR(AV_PLAN[[#This Row],[TERMINO REAL ACUMULADO]]/AV_PLAN[[#This Row],[TERMINO PLAN ACUMULADO]],"")</f>
        <v>0.100418410041841</v>
      </c>
      <c r="N336">
        <f>+AV_PLAN[[#This Row],[PLAN ACUMULADO]]-AV_PLAN[[#This Row],[INICIO REAL ACUMULADO]]</f>
        <v>415</v>
      </c>
      <c r="O336">
        <f>+AV_PLAN[[#This Row],[TERMINO PLAN ACUMULADO]]-AV_PLAN[[#This Row],[TERMINO REAL ACUMULADO]]</f>
        <v>430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0.15340909090909091</v>
      </c>
      <c r="S336" s="7">
        <f>+AV_PLAN[[#This Row],[TERMINO PLAN ACUMULADO]]/$G$471</f>
        <v>0.67897727272727271</v>
      </c>
      <c r="T336" s="7">
        <f t="shared" si="11"/>
        <v>6.8181818181818177E-2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108</v>
      </c>
      <c r="F337">
        <v>3</v>
      </c>
      <c r="G337">
        <v>481</v>
      </c>
      <c r="H337">
        <v>0</v>
      </c>
      <c r="I337">
        <v>48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0.20650095602294455</v>
      </c>
      <c r="M337" s="4">
        <f>IFERROR(AV_PLAN[[#This Row],[TERMINO REAL ACUMULADO]]/AV_PLAN[[#This Row],[TERMINO PLAN ACUMULADO]],"")</f>
        <v>9.9792099792099798E-2</v>
      </c>
      <c r="N337">
        <f>+AV_PLAN[[#This Row],[PLAN ACUMULADO]]-AV_PLAN[[#This Row],[INICIO REAL ACUMULADO]]</f>
        <v>415</v>
      </c>
      <c r="O337">
        <f>+AV_PLAN[[#This Row],[TERMINO PLAN ACUMULADO]]-AV_PLAN[[#This Row],[TERMINO REAL ACUMULADO]]</f>
        <v>433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0.15340909090909091</v>
      </c>
      <c r="S337" s="7">
        <f>+AV_PLAN[[#This Row],[TERMINO PLAN ACUMULADO]]/$G$471</f>
        <v>0.68323863636363635</v>
      </c>
      <c r="T337" s="7">
        <f t="shared" si="11"/>
        <v>6.8181818181818177E-2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108</v>
      </c>
      <c r="F338">
        <v>2</v>
      </c>
      <c r="G338">
        <v>483</v>
      </c>
      <c r="H338">
        <v>0</v>
      </c>
      <c r="I338">
        <v>48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0.20532319391634982</v>
      </c>
      <c r="M338" s="4">
        <f>IFERROR(AV_PLAN[[#This Row],[TERMINO REAL ACUMULADO]]/AV_PLAN[[#This Row],[TERMINO PLAN ACUMULADO]],"")</f>
        <v>9.9378881987577633E-2</v>
      </c>
      <c r="N338">
        <f>+AV_PLAN[[#This Row],[PLAN ACUMULADO]]-AV_PLAN[[#This Row],[INICIO REAL ACUMULADO]]</f>
        <v>418</v>
      </c>
      <c r="O338">
        <f>+AV_PLAN[[#This Row],[TERMINO PLAN ACUMULADO]]-AV_PLAN[[#This Row],[TERMINO REAL ACUMULADO]]</f>
        <v>435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0.15340909090909091</v>
      </c>
      <c r="S338" s="7">
        <f>+AV_PLAN[[#This Row],[TERMINO PLAN ACUMULADO]]/$G$471</f>
        <v>0.68607954545454541</v>
      </c>
      <c r="T338" s="7">
        <f t="shared" si="11"/>
        <v>6.8181818181818177E-2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108</v>
      </c>
      <c r="F339">
        <v>2</v>
      </c>
      <c r="G339">
        <v>485</v>
      </c>
      <c r="H339">
        <v>0</v>
      </c>
      <c r="I339">
        <v>48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0.20415879017013233</v>
      </c>
      <c r="M339" s="4">
        <f>IFERROR(AV_PLAN[[#This Row],[TERMINO REAL ACUMULADO]]/AV_PLAN[[#This Row],[TERMINO PLAN ACUMULADO]],"")</f>
        <v>9.8969072164948449E-2</v>
      </c>
      <c r="N339">
        <f>+AV_PLAN[[#This Row],[PLAN ACUMULADO]]-AV_PLAN[[#This Row],[INICIO REAL ACUMULADO]]</f>
        <v>421</v>
      </c>
      <c r="O339">
        <f>+AV_PLAN[[#This Row],[TERMINO PLAN ACUMULADO]]-AV_PLAN[[#This Row],[TERMINO REAL ACUMULADO]]</f>
        <v>437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0.15340909090909091</v>
      </c>
      <c r="S339" s="7">
        <f>+AV_PLAN[[#This Row],[TERMINO PLAN ACUMULADO]]/$G$471</f>
        <v>0.68892045454545459</v>
      </c>
      <c r="T339" s="7">
        <f t="shared" si="11"/>
        <v>6.8181818181818177E-2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108</v>
      </c>
      <c r="F340">
        <v>1</v>
      </c>
      <c r="G340">
        <v>486</v>
      </c>
      <c r="H340">
        <v>0</v>
      </c>
      <c r="I340">
        <v>48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0.20300751879699247</v>
      </c>
      <c r="M340" s="4">
        <f>IFERROR(AV_PLAN[[#This Row],[TERMINO REAL ACUMULADO]]/AV_PLAN[[#This Row],[TERMINO PLAN ACUMULADO]],"")</f>
        <v>9.8765432098765427E-2</v>
      </c>
      <c r="N340">
        <f>+AV_PLAN[[#This Row],[PLAN ACUMULADO]]-AV_PLAN[[#This Row],[INICIO REAL ACUMULADO]]</f>
        <v>424</v>
      </c>
      <c r="O340">
        <f>+AV_PLAN[[#This Row],[TERMINO PLAN ACUMULADO]]-AV_PLAN[[#This Row],[TERMINO REAL ACUMULADO]]</f>
        <v>438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0.15340909090909091</v>
      </c>
      <c r="S340" s="7">
        <f>+AV_PLAN[[#This Row],[TERMINO PLAN ACUMULADO]]/$G$471</f>
        <v>0.69034090909090906</v>
      </c>
      <c r="T340" s="7">
        <f t="shared" si="11"/>
        <v>6.8181818181818177E-2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108</v>
      </c>
      <c r="F341">
        <v>1</v>
      </c>
      <c r="G341">
        <v>487</v>
      </c>
      <c r="H341">
        <v>0</v>
      </c>
      <c r="I341">
        <v>48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0.20186915887850468</v>
      </c>
      <c r="M341" s="4">
        <f>IFERROR(AV_PLAN[[#This Row],[TERMINO REAL ACUMULADO]]/AV_PLAN[[#This Row],[TERMINO PLAN ACUMULADO]],"")</f>
        <v>9.856262833675565E-2</v>
      </c>
      <c r="N341">
        <f>+AV_PLAN[[#This Row],[PLAN ACUMULADO]]-AV_PLAN[[#This Row],[INICIO REAL ACUMULADO]]</f>
        <v>427</v>
      </c>
      <c r="O341">
        <f>+AV_PLAN[[#This Row],[TERMINO PLAN ACUMULADO]]-AV_PLAN[[#This Row],[TERMINO REAL ACUMULADO]]</f>
        <v>439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0.15340909090909091</v>
      </c>
      <c r="S341" s="7">
        <f>+AV_PLAN[[#This Row],[TERMINO PLAN ACUMULADO]]/$G$471</f>
        <v>0.69176136363636365</v>
      </c>
      <c r="T341" s="7">
        <f t="shared" si="11"/>
        <v>6.8181818181818177E-2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108</v>
      </c>
      <c r="F342">
        <v>2</v>
      </c>
      <c r="G342">
        <v>489</v>
      </c>
      <c r="H342">
        <v>0</v>
      </c>
      <c r="I342">
        <v>48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0.20074349442379183</v>
      </c>
      <c r="M342" s="4">
        <f>IFERROR(AV_PLAN[[#This Row],[TERMINO REAL ACUMULADO]]/AV_PLAN[[#This Row],[TERMINO PLAN ACUMULADO]],"")</f>
        <v>9.815950920245399E-2</v>
      </c>
      <c r="N342">
        <f>+AV_PLAN[[#This Row],[PLAN ACUMULADO]]-AV_PLAN[[#This Row],[INICIO REAL ACUMULADO]]</f>
        <v>430</v>
      </c>
      <c r="O342">
        <f>+AV_PLAN[[#This Row],[TERMINO PLAN ACUMULADO]]-AV_PLAN[[#This Row],[TERMINO REAL ACUMULADO]]</f>
        <v>441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0.15340909090909091</v>
      </c>
      <c r="S342" s="7">
        <f>+AV_PLAN[[#This Row],[TERMINO PLAN ACUMULADO]]/$G$471</f>
        <v>0.69460227272727271</v>
      </c>
      <c r="T342" s="7">
        <f t="shared" si="11"/>
        <v>6.8181818181818177E-2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108</v>
      </c>
      <c r="F343">
        <v>0</v>
      </c>
      <c r="G343">
        <v>489</v>
      </c>
      <c r="H343">
        <v>0</v>
      </c>
      <c r="I343">
        <v>48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0.20074349442379183</v>
      </c>
      <c r="M343" s="4">
        <f>IFERROR(AV_PLAN[[#This Row],[TERMINO REAL ACUMULADO]]/AV_PLAN[[#This Row],[TERMINO PLAN ACUMULADO]],"")</f>
        <v>9.815950920245399E-2</v>
      </c>
      <c r="N343">
        <f>+AV_PLAN[[#This Row],[PLAN ACUMULADO]]-AV_PLAN[[#This Row],[INICIO REAL ACUMULADO]]</f>
        <v>430</v>
      </c>
      <c r="O343">
        <f>+AV_PLAN[[#This Row],[TERMINO PLAN ACUMULADO]]-AV_PLAN[[#This Row],[TERMINO REAL ACUMULADO]]</f>
        <v>441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0.15340909090909091</v>
      </c>
      <c r="S343" s="7">
        <f>+AV_PLAN[[#This Row],[TERMINO PLAN ACUMULADO]]/$G$471</f>
        <v>0.69460227272727271</v>
      </c>
      <c r="T343" s="7">
        <f t="shared" si="11"/>
        <v>6.8181818181818177E-2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108</v>
      </c>
      <c r="F344">
        <v>1</v>
      </c>
      <c r="G344">
        <v>490</v>
      </c>
      <c r="H344">
        <v>0</v>
      </c>
      <c r="I344">
        <v>48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0.20074349442379183</v>
      </c>
      <c r="M344" s="4">
        <f>IFERROR(AV_PLAN[[#This Row],[TERMINO REAL ACUMULADO]]/AV_PLAN[[#This Row],[TERMINO PLAN ACUMULADO]],"")</f>
        <v>9.7959183673469383E-2</v>
      </c>
      <c r="N344">
        <f>+AV_PLAN[[#This Row],[PLAN ACUMULADO]]-AV_PLAN[[#This Row],[INICIO REAL ACUMULADO]]</f>
        <v>430</v>
      </c>
      <c r="O344">
        <f>+AV_PLAN[[#This Row],[TERMINO PLAN ACUMULADO]]-AV_PLAN[[#This Row],[TERMINO REAL ACUMULADO]]</f>
        <v>442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0.15340909090909091</v>
      </c>
      <c r="S344" s="7">
        <f>+AV_PLAN[[#This Row],[TERMINO PLAN ACUMULADO]]/$G$471</f>
        <v>0.69602272727272729</v>
      </c>
      <c r="T344" s="7">
        <f t="shared" si="11"/>
        <v>6.8181818181818177E-2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108</v>
      </c>
      <c r="F345">
        <v>1</v>
      </c>
      <c r="G345">
        <v>491</v>
      </c>
      <c r="H345">
        <v>0</v>
      </c>
      <c r="I345">
        <v>48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0.19963031423290203</v>
      </c>
      <c r="M345" s="4">
        <f>IFERROR(AV_PLAN[[#This Row],[TERMINO REAL ACUMULADO]]/AV_PLAN[[#This Row],[TERMINO PLAN ACUMULADO]],"")</f>
        <v>9.775967413441955E-2</v>
      </c>
      <c r="N345">
        <f>+AV_PLAN[[#This Row],[PLAN ACUMULADO]]-AV_PLAN[[#This Row],[INICIO REAL ACUMULADO]]</f>
        <v>433</v>
      </c>
      <c r="O345">
        <f>+AV_PLAN[[#This Row],[TERMINO PLAN ACUMULADO]]-AV_PLAN[[#This Row],[TERMINO REAL ACUMULADO]]</f>
        <v>443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0.15340909090909091</v>
      </c>
      <c r="S345" s="7">
        <f>+AV_PLAN[[#This Row],[TERMINO PLAN ACUMULADO]]/$G$471</f>
        <v>0.69744318181818177</v>
      </c>
      <c r="T345" s="7">
        <f t="shared" si="11"/>
        <v>6.8181818181818177E-2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108</v>
      </c>
      <c r="F346">
        <v>2</v>
      </c>
      <c r="G346">
        <v>493</v>
      </c>
      <c r="H346">
        <v>0</v>
      </c>
      <c r="I346">
        <v>48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0.19852941176470587</v>
      </c>
      <c r="M346" s="4">
        <f>IFERROR(AV_PLAN[[#This Row],[TERMINO REAL ACUMULADO]]/AV_PLAN[[#This Row],[TERMINO PLAN ACUMULADO]],"")</f>
        <v>9.7363083164300201E-2</v>
      </c>
      <c r="N346">
        <f>+AV_PLAN[[#This Row],[PLAN ACUMULADO]]-AV_PLAN[[#This Row],[INICIO REAL ACUMULADO]]</f>
        <v>436</v>
      </c>
      <c r="O346">
        <f>+AV_PLAN[[#This Row],[TERMINO PLAN ACUMULADO]]-AV_PLAN[[#This Row],[TERMINO REAL ACUMULADO]]</f>
        <v>445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0.15340909090909091</v>
      </c>
      <c r="S346" s="7">
        <f>+AV_PLAN[[#This Row],[TERMINO PLAN ACUMULADO]]/$G$471</f>
        <v>0.70028409090909094</v>
      </c>
      <c r="T346" s="7">
        <f t="shared" si="11"/>
        <v>6.8181818181818177E-2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108</v>
      </c>
      <c r="F347">
        <v>4</v>
      </c>
      <c r="G347">
        <v>497</v>
      </c>
      <c r="H347">
        <v>0</v>
      </c>
      <c r="I347">
        <v>48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0.19744058500914077</v>
      </c>
      <c r="M347" s="4">
        <f>IFERROR(AV_PLAN[[#This Row],[TERMINO REAL ACUMULADO]]/AV_PLAN[[#This Row],[TERMINO PLAN ACUMULADO]],"")</f>
        <v>9.6579476861166996E-2</v>
      </c>
      <c r="N347">
        <f>+AV_PLAN[[#This Row],[PLAN ACUMULADO]]-AV_PLAN[[#This Row],[INICIO REAL ACUMULADO]]</f>
        <v>439</v>
      </c>
      <c r="O347">
        <f>+AV_PLAN[[#This Row],[TERMINO PLAN ACUMULADO]]-AV_PLAN[[#This Row],[TERMINO REAL ACUMULADO]]</f>
        <v>449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0.15340909090909091</v>
      </c>
      <c r="S347" s="7">
        <f>+AV_PLAN[[#This Row],[TERMINO PLAN ACUMULADO]]/$G$471</f>
        <v>0.70596590909090906</v>
      </c>
      <c r="T347" s="7">
        <f t="shared" si="11"/>
        <v>6.8181818181818177E-2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108</v>
      </c>
      <c r="F348">
        <v>2</v>
      </c>
      <c r="G348">
        <v>499</v>
      </c>
      <c r="H348">
        <v>0</v>
      </c>
      <c r="I348">
        <v>48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0.19636363636363635</v>
      </c>
      <c r="M348" s="4">
        <f>IFERROR(AV_PLAN[[#This Row],[TERMINO REAL ACUMULADO]]/AV_PLAN[[#This Row],[TERMINO PLAN ACUMULADO]],"")</f>
        <v>9.6192384769539077E-2</v>
      </c>
      <c r="N348">
        <f>+AV_PLAN[[#This Row],[PLAN ACUMULADO]]-AV_PLAN[[#This Row],[INICIO REAL ACUMULADO]]</f>
        <v>442</v>
      </c>
      <c r="O348">
        <f>+AV_PLAN[[#This Row],[TERMINO PLAN ACUMULADO]]-AV_PLAN[[#This Row],[TERMINO REAL ACUMULADO]]</f>
        <v>451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0.15340909090909091</v>
      </c>
      <c r="S348" s="7">
        <f>+AV_PLAN[[#This Row],[TERMINO PLAN ACUMULADO]]/$G$471</f>
        <v>0.70880681818181823</v>
      </c>
      <c r="T348" s="7">
        <f t="shared" si="11"/>
        <v>6.8181818181818177E-2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108</v>
      </c>
      <c r="F349">
        <v>1</v>
      </c>
      <c r="G349">
        <v>500</v>
      </c>
      <c r="H349">
        <v>0</v>
      </c>
      <c r="I349">
        <v>48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0.19529837251356238</v>
      </c>
      <c r="M349" s="4">
        <f>IFERROR(AV_PLAN[[#This Row],[TERMINO REAL ACUMULADO]]/AV_PLAN[[#This Row],[TERMINO PLAN ACUMULADO]],"")</f>
        <v>9.6000000000000002E-2</v>
      </c>
      <c r="N349">
        <f>+AV_PLAN[[#This Row],[PLAN ACUMULADO]]-AV_PLAN[[#This Row],[INICIO REAL ACUMULADO]]</f>
        <v>445</v>
      </c>
      <c r="O349">
        <f>+AV_PLAN[[#This Row],[TERMINO PLAN ACUMULADO]]-AV_PLAN[[#This Row],[TERMINO REAL ACUMULADO]]</f>
        <v>452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0.15340909090909091</v>
      </c>
      <c r="S349" s="7">
        <f>+AV_PLAN[[#This Row],[TERMINO PLAN ACUMULADO]]/$G$471</f>
        <v>0.71022727272727271</v>
      </c>
      <c r="T349" s="7">
        <f t="shared" si="11"/>
        <v>6.8181818181818177E-2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108</v>
      </c>
      <c r="F350">
        <v>0</v>
      </c>
      <c r="G350">
        <v>500</v>
      </c>
      <c r="H350">
        <v>0</v>
      </c>
      <c r="I350">
        <v>48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0.19529837251356238</v>
      </c>
      <c r="M350" s="4">
        <f>IFERROR(AV_PLAN[[#This Row],[TERMINO REAL ACUMULADO]]/AV_PLAN[[#This Row],[TERMINO PLAN ACUMULADO]],"")</f>
        <v>9.6000000000000002E-2</v>
      </c>
      <c r="N350">
        <f>+AV_PLAN[[#This Row],[PLAN ACUMULADO]]-AV_PLAN[[#This Row],[INICIO REAL ACUMULADO]]</f>
        <v>445</v>
      </c>
      <c r="O350">
        <f>+AV_PLAN[[#This Row],[TERMINO PLAN ACUMULADO]]-AV_PLAN[[#This Row],[TERMINO REAL ACUMULADO]]</f>
        <v>452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0.15340909090909091</v>
      </c>
      <c r="S350" s="7">
        <f>+AV_PLAN[[#This Row],[TERMINO PLAN ACUMULADO]]/$G$471</f>
        <v>0.71022727272727271</v>
      </c>
      <c r="T350" s="7">
        <f t="shared" si="11"/>
        <v>6.8181818181818177E-2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108</v>
      </c>
      <c r="F351">
        <v>1</v>
      </c>
      <c r="G351">
        <v>501</v>
      </c>
      <c r="H351">
        <v>0</v>
      </c>
      <c r="I351">
        <v>48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0.19529837251356238</v>
      </c>
      <c r="M351" s="4">
        <f>IFERROR(AV_PLAN[[#This Row],[TERMINO REAL ACUMULADO]]/AV_PLAN[[#This Row],[TERMINO PLAN ACUMULADO]],"")</f>
        <v>9.580838323353294E-2</v>
      </c>
      <c r="N351">
        <f>+AV_PLAN[[#This Row],[PLAN ACUMULADO]]-AV_PLAN[[#This Row],[INICIO REAL ACUMULADO]]</f>
        <v>445</v>
      </c>
      <c r="O351">
        <f>+AV_PLAN[[#This Row],[TERMINO PLAN ACUMULADO]]-AV_PLAN[[#This Row],[TERMINO REAL ACUMULADO]]</f>
        <v>453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0.15340909090909091</v>
      </c>
      <c r="S351" s="7">
        <f>+AV_PLAN[[#This Row],[TERMINO PLAN ACUMULADO]]/$G$471</f>
        <v>0.71164772727272729</v>
      </c>
      <c r="T351" s="7">
        <f t="shared" si="11"/>
        <v>6.8181818181818177E-2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108</v>
      </c>
      <c r="F352">
        <v>2</v>
      </c>
      <c r="G352">
        <v>503</v>
      </c>
      <c r="H352">
        <v>0</v>
      </c>
      <c r="I352">
        <v>48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0.19424460431654678</v>
      </c>
      <c r="M352" s="4">
        <f>IFERROR(AV_PLAN[[#This Row],[TERMINO REAL ACUMULADO]]/AV_PLAN[[#This Row],[TERMINO PLAN ACUMULADO]],"")</f>
        <v>9.5427435387673953E-2</v>
      </c>
      <c r="N352">
        <f>+AV_PLAN[[#This Row],[PLAN ACUMULADO]]-AV_PLAN[[#This Row],[INICIO REAL ACUMULADO]]</f>
        <v>448</v>
      </c>
      <c r="O352">
        <f>+AV_PLAN[[#This Row],[TERMINO PLAN ACUMULADO]]-AV_PLAN[[#This Row],[TERMINO REAL ACUMULADO]]</f>
        <v>455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0.15340909090909091</v>
      </c>
      <c r="S352" s="7">
        <f>+AV_PLAN[[#This Row],[TERMINO PLAN ACUMULADO]]/$G$471</f>
        <v>0.71448863636363635</v>
      </c>
      <c r="T352" s="7">
        <f t="shared" si="11"/>
        <v>6.8181818181818177E-2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108</v>
      </c>
      <c r="F353">
        <v>2</v>
      </c>
      <c r="G353">
        <v>505</v>
      </c>
      <c r="H353">
        <v>0</v>
      </c>
      <c r="I353">
        <v>48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0.19320214669051877</v>
      </c>
      <c r="M353" s="4">
        <f>IFERROR(AV_PLAN[[#This Row],[TERMINO REAL ACUMULADO]]/AV_PLAN[[#This Row],[TERMINO PLAN ACUMULADO]],"")</f>
        <v>9.5049504950495051E-2</v>
      </c>
      <c r="N353">
        <f>+AV_PLAN[[#This Row],[PLAN ACUMULADO]]-AV_PLAN[[#This Row],[INICIO REAL ACUMULADO]]</f>
        <v>451</v>
      </c>
      <c r="O353">
        <f>+AV_PLAN[[#This Row],[TERMINO PLAN ACUMULADO]]-AV_PLAN[[#This Row],[TERMINO REAL ACUMULADO]]</f>
        <v>457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0.15340909090909091</v>
      </c>
      <c r="S353" s="7">
        <f>+AV_PLAN[[#This Row],[TERMINO PLAN ACUMULADO]]/$G$471</f>
        <v>0.71732954545454541</v>
      </c>
      <c r="T353" s="7">
        <f t="shared" si="11"/>
        <v>6.8181818181818177E-2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108</v>
      </c>
      <c r="F354">
        <v>3</v>
      </c>
      <c r="G354">
        <v>508</v>
      </c>
      <c r="H354">
        <v>0</v>
      </c>
      <c r="I354">
        <v>48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0.19217081850533807</v>
      </c>
      <c r="M354" s="4">
        <f>IFERROR(AV_PLAN[[#This Row],[TERMINO REAL ACUMULADO]]/AV_PLAN[[#This Row],[TERMINO PLAN ACUMULADO]],"")</f>
        <v>9.4488188976377951E-2</v>
      </c>
      <c r="N354">
        <f>+AV_PLAN[[#This Row],[PLAN ACUMULADO]]-AV_PLAN[[#This Row],[INICIO REAL ACUMULADO]]</f>
        <v>454</v>
      </c>
      <c r="O354">
        <f>+AV_PLAN[[#This Row],[TERMINO PLAN ACUMULADO]]-AV_PLAN[[#This Row],[TERMINO REAL ACUMULADO]]</f>
        <v>460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0.15340909090909091</v>
      </c>
      <c r="S354" s="7">
        <f>+AV_PLAN[[#This Row],[TERMINO PLAN ACUMULADO]]/$G$471</f>
        <v>0.72159090909090906</v>
      </c>
      <c r="T354" s="7">
        <f t="shared" si="11"/>
        <v>6.8181818181818177E-2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108</v>
      </c>
      <c r="F355">
        <v>3</v>
      </c>
      <c r="G355">
        <v>511</v>
      </c>
      <c r="H355">
        <v>0</v>
      </c>
      <c r="I355">
        <v>48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0.1911504424778761</v>
      </c>
      <c r="M355" s="4">
        <f>IFERROR(AV_PLAN[[#This Row],[TERMINO REAL ACUMULADO]]/AV_PLAN[[#This Row],[TERMINO PLAN ACUMULADO]],"")</f>
        <v>9.393346379647749E-2</v>
      </c>
      <c r="N355">
        <f>+AV_PLAN[[#This Row],[PLAN ACUMULADO]]-AV_PLAN[[#This Row],[INICIO REAL ACUMULADO]]</f>
        <v>457</v>
      </c>
      <c r="O355">
        <f>+AV_PLAN[[#This Row],[TERMINO PLAN ACUMULADO]]-AV_PLAN[[#This Row],[TERMINO REAL ACUMULADO]]</f>
        <v>463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0.15340909090909091</v>
      </c>
      <c r="S355" s="7">
        <f>+AV_PLAN[[#This Row],[TERMINO PLAN ACUMULADO]]/$G$471</f>
        <v>0.72585227272727271</v>
      </c>
      <c r="T355" s="7">
        <f t="shared" si="11"/>
        <v>6.8181818181818177E-2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108</v>
      </c>
      <c r="F356">
        <v>1</v>
      </c>
      <c r="G356">
        <v>512</v>
      </c>
      <c r="H356">
        <v>0</v>
      </c>
      <c r="I356">
        <v>48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0.19014084507042253</v>
      </c>
      <c r="M356" s="4">
        <f>IFERROR(AV_PLAN[[#This Row],[TERMINO REAL ACUMULADO]]/AV_PLAN[[#This Row],[TERMINO PLAN ACUMULADO]],"")</f>
        <v>9.375E-2</v>
      </c>
      <c r="N356">
        <f>+AV_PLAN[[#This Row],[PLAN ACUMULADO]]-AV_PLAN[[#This Row],[INICIO REAL ACUMULADO]]</f>
        <v>460</v>
      </c>
      <c r="O356">
        <f>+AV_PLAN[[#This Row],[TERMINO PLAN ACUMULADO]]-AV_PLAN[[#This Row],[TERMINO REAL ACUMULADO]]</f>
        <v>464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0.15340909090909091</v>
      </c>
      <c r="S356" s="7">
        <f>+AV_PLAN[[#This Row],[TERMINO PLAN ACUMULADO]]/$G$471</f>
        <v>0.72727272727272729</v>
      </c>
      <c r="T356" s="7">
        <f t="shared" si="11"/>
        <v>6.8181818181818177E-2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108</v>
      </c>
      <c r="F357">
        <v>1</v>
      </c>
      <c r="G357">
        <v>513</v>
      </c>
      <c r="H357">
        <v>0</v>
      </c>
      <c r="I357">
        <v>48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0.19014084507042253</v>
      </c>
      <c r="M357" s="4">
        <f>IFERROR(AV_PLAN[[#This Row],[TERMINO REAL ACUMULADO]]/AV_PLAN[[#This Row],[TERMINO PLAN ACUMULADO]],"")</f>
        <v>9.3567251461988299E-2</v>
      </c>
      <c r="N357">
        <f>+AV_PLAN[[#This Row],[PLAN ACUMULADO]]-AV_PLAN[[#This Row],[INICIO REAL ACUMULADO]]</f>
        <v>460</v>
      </c>
      <c r="O357">
        <f>+AV_PLAN[[#This Row],[TERMINO PLAN ACUMULADO]]-AV_PLAN[[#This Row],[TERMINO REAL ACUMULADO]]</f>
        <v>465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0.15340909090909091</v>
      </c>
      <c r="S357" s="7">
        <f>+AV_PLAN[[#This Row],[TERMINO PLAN ACUMULADO]]/$G$471</f>
        <v>0.72869318181818177</v>
      </c>
      <c r="T357" s="7">
        <f t="shared" si="11"/>
        <v>6.8181818181818177E-2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108</v>
      </c>
      <c r="F358">
        <v>4</v>
      </c>
      <c r="G358">
        <v>517</v>
      </c>
      <c r="H358">
        <v>0</v>
      </c>
      <c r="I358">
        <v>48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0.19014084507042253</v>
      </c>
      <c r="M358" s="4">
        <f>IFERROR(AV_PLAN[[#This Row],[TERMINO REAL ACUMULADO]]/AV_PLAN[[#This Row],[TERMINO PLAN ACUMULADO]],"")</f>
        <v>9.2843326885880081E-2</v>
      </c>
      <c r="N358">
        <f>+AV_PLAN[[#This Row],[PLAN ACUMULADO]]-AV_PLAN[[#This Row],[INICIO REAL ACUMULADO]]</f>
        <v>460</v>
      </c>
      <c r="O358">
        <f>+AV_PLAN[[#This Row],[TERMINO PLAN ACUMULADO]]-AV_PLAN[[#This Row],[TERMINO REAL ACUMULADO]]</f>
        <v>469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0.15340909090909091</v>
      </c>
      <c r="S358" s="7">
        <f>+AV_PLAN[[#This Row],[TERMINO PLAN ACUMULADO]]/$G$471</f>
        <v>0.734375</v>
      </c>
      <c r="T358" s="7">
        <f t="shared" si="11"/>
        <v>6.8181818181818177E-2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108</v>
      </c>
      <c r="F359">
        <v>2</v>
      </c>
      <c r="G359">
        <v>519</v>
      </c>
      <c r="H359">
        <v>0</v>
      </c>
      <c r="I359">
        <v>48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0.18914185639229422</v>
      </c>
      <c r="M359" s="4">
        <f>IFERROR(AV_PLAN[[#This Row],[TERMINO REAL ACUMULADO]]/AV_PLAN[[#This Row],[TERMINO PLAN ACUMULADO]],"")</f>
        <v>9.2485549132947972E-2</v>
      </c>
      <c r="N359">
        <f>+AV_PLAN[[#This Row],[PLAN ACUMULADO]]-AV_PLAN[[#This Row],[INICIO REAL ACUMULADO]]</f>
        <v>463</v>
      </c>
      <c r="O359">
        <f>+AV_PLAN[[#This Row],[TERMINO PLAN ACUMULADO]]-AV_PLAN[[#This Row],[TERMINO REAL ACUMULADO]]</f>
        <v>471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0.15340909090909091</v>
      </c>
      <c r="S359" s="7">
        <f>+AV_PLAN[[#This Row],[TERMINO PLAN ACUMULADO]]/$G$471</f>
        <v>0.73721590909090906</v>
      </c>
      <c r="T359" s="7">
        <f t="shared" si="11"/>
        <v>6.8181818181818177E-2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108</v>
      </c>
      <c r="F360">
        <v>1</v>
      </c>
      <c r="G360">
        <v>520</v>
      </c>
      <c r="H360">
        <v>0</v>
      </c>
      <c r="I360">
        <v>48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0.18815331010452963</v>
      </c>
      <c r="M360" s="4">
        <f>IFERROR(AV_PLAN[[#This Row],[TERMINO REAL ACUMULADO]]/AV_PLAN[[#This Row],[TERMINO PLAN ACUMULADO]],"")</f>
        <v>9.2307692307692313E-2</v>
      </c>
      <c r="N360">
        <f>+AV_PLAN[[#This Row],[PLAN ACUMULADO]]-AV_PLAN[[#This Row],[INICIO REAL ACUMULADO]]</f>
        <v>466</v>
      </c>
      <c r="O360">
        <f>+AV_PLAN[[#This Row],[TERMINO PLAN ACUMULADO]]-AV_PLAN[[#This Row],[TERMINO REAL ACUMULADO]]</f>
        <v>472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0.15340909090909091</v>
      </c>
      <c r="S360" s="7">
        <f>+AV_PLAN[[#This Row],[TERMINO PLAN ACUMULADO]]/$G$471</f>
        <v>0.73863636363636365</v>
      </c>
      <c r="T360" s="7">
        <f t="shared" si="11"/>
        <v>6.8181818181818177E-2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108</v>
      </c>
      <c r="F361">
        <v>3</v>
      </c>
      <c r="G361">
        <v>523</v>
      </c>
      <c r="H361">
        <v>0</v>
      </c>
      <c r="I361">
        <v>48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0.18717504332755633</v>
      </c>
      <c r="M361" s="4">
        <f>IFERROR(AV_PLAN[[#This Row],[TERMINO REAL ACUMULADO]]/AV_PLAN[[#This Row],[TERMINO PLAN ACUMULADO]],"")</f>
        <v>9.1778202676864248E-2</v>
      </c>
      <c r="N361">
        <f>+AV_PLAN[[#This Row],[PLAN ACUMULADO]]-AV_PLAN[[#This Row],[INICIO REAL ACUMULADO]]</f>
        <v>469</v>
      </c>
      <c r="O361">
        <f>+AV_PLAN[[#This Row],[TERMINO PLAN ACUMULADO]]-AV_PLAN[[#This Row],[TERMINO REAL ACUMULADO]]</f>
        <v>475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0.15340909090909091</v>
      </c>
      <c r="S361" s="7">
        <f>+AV_PLAN[[#This Row],[TERMINO PLAN ACUMULADO]]/$G$471</f>
        <v>0.74289772727272729</v>
      </c>
      <c r="T361" s="7">
        <f t="shared" si="11"/>
        <v>6.8181818181818177E-2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108</v>
      </c>
      <c r="F362">
        <v>3</v>
      </c>
      <c r="G362">
        <v>526</v>
      </c>
      <c r="H362">
        <v>0</v>
      </c>
      <c r="I362">
        <v>48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0.18620689655172415</v>
      </c>
      <c r="M362" s="4">
        <f>IFERROR(AV_PLAN[[#This Row],[TERMINO REAL ACUMULADO]]/AV_PLAN[[#This Row],[TERMINO PLAN ACUMULADO]],"")</f>
        <v>9.125475285171103E-2</v>
      </c>
      <c r="N362">
        <f>+AV_PLAN[[#This Row],[PLAN ACUMULADO]]-AV_PLAN[[#This Row],[INICIO REAL ACUMULADO]]</f>
        <v>472</v>
      </c>
      <c r="O362">
        <f>+AV_PLAN[[#This Row],[TERMINO PLAN ACUMULADO]]-AV_PLAN[[#This Row],[TERMINO REAL ACUMULADO]]</f>
        <v>478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0.15340909090909091</v>
      </c>
      <c r="S362" s="7">
        <f>+AV_PLAN[[#This Row],[TERMINO PLAN ACUMULADO]]/$G$471</f>
        <v>0.74715909090909094</v>
      </c>
      <c r="T362" s="7">
        <f t="shared" si="11"/>
        <v>6.8181818181818177E-2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108</v>
      </c>
      <c r="F363">
        <v>1</v>
      </c>
      <c r="G363">
        <v>527</v>
      </c>
      <c r="H363">
        <v>0</v>
      </c>
      <c r="I363">
        <v>48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0.18524871355060035</v>
      </c>
      <c r="M363" s="4">
        <f>IFERROR(AV_PLAN[[#This Row],[TERMINO REAL ACUMULADO]]/AV_PLAN[[#This Row],[TERMINO PLAN ACUMULADO]],"")</f>
        <v>9.1081593927893736E-2</v>
      </c>
      <c r="N363">
        <f>+AV_PLAN[[#This Row],[PLAN ACUMULADO]]-AV_PLAN[[#This Row],[INICIO REAL ACUMULADO]]</f>
        <v>475</v>
      </c>
      <c r="O363">
        <f>+AV_PLAN[[#This Row],[TERMINO PLAN ACUMULADO]]-AV_PLAN[[#This Row],[TERMINO REAL ACUMULADO]]</f>
        <v>479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0.15340909090909091</v>
      </c>
      <c r="S363" s="7">
        <f>+AV_PLAN[[#This Row],[TERMINO PLAN ACUMULADO]]/$G$471</f>
        <v>0.74857954545454541</v>
      </c>
      <c r="T363" s="7">
        <f t="shared" si="11"/>
        <v>6.8181818181818177E-2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108</v>
      </c>
      <c r="F364">
        <v>2</v>
      </c>
      <c r="G364">
        <v>529</v>
      </c>
      <c r="H364">
        <v>0</v>
      </c>
      <c r="I364">
        <v>48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0.18524871355060035</v>
      </c>
      <c r="M364" s="4">
        <f>IFERROR(AV_PLAN[[#This Row],[TERMINO REAL ACUMULADO]]/AV_PLAN[[#This Row],[TERMINO PLAN ACUMULADO]],"")</f>
        <v>9.0737240075614373E-2</v>
      </c>
      <c r="N364">
        <f>+AV_PLAN[[#This Row],[PLAN ACUMULADO]]-AV_PLAN[[#This Row],[INICIO REAL ACUMULADO]]</f>
        <v>475</v>
      </c>
      <c r="O364">
        <f>+AV_PLAN[[#This Row],[TERMINO PLAN ACUMULADO]]-AV_PLAN[[#This Row],[TERMINO REAL ACUMULADO]]</f>
        <v>481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0.15340909090909091</v>
      </c>
      <c r="S364" s="7">
        <f>+AV_PLAN[[#This Row],[TERMINO PLAN ACUMULADO]]/$G$471</f>
        <v>0.75142045454545459</v>
      </c>
      <c r="T364" s="7">
        <f t="shared" si="11"/>
        <v>6.8181818181818177E-2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108</v>
      </c>
      <c r="F365">
        <v>4</v>
      </c>
      <c r="G365">
        <v>533</v>
      </c>
      <c r="H365">
        <v>0</v>
      </c>
      <c r="I365">
        <v>48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0.18524871355060035</v>
      </c>
      <c r="M365" s="4">
        <f>IFERROR(AV_PLAN[[#This Row],[TERMINO REAL ACUMULADO]]/AV_PLAN[[#This Row],[TERMINO PLAN ACUMULADO]],"")</f>
        <v>9.0056285178236398E-2</v>
      </c>
      <c r="N365">
        <f>+AV_PLAN[[#This Row],[PLAN ACUMULADO]]-AV_PLAN[[#This Row],[INICIO REAL ACUMULADO]]</f>
        <v>475</v>
      </c>
      <c r="O365">
        <f>+AV_PLAN[[#This Row],[TERMINO PLAN ACUMULADO]]-AV_PLAN[[#This Row],[TERMINO REAL ACUMULADO]]</f>
        <v>485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0.15340909090909091</v>
      </c>
      <c r="S365" s="7">
        <f>+AV_PLAN[[#This Row],[TERMINO PLAN ACUMULADO]]/$G$471</f>
        <v>0.75710227272727271</v>
      </c>
      <c r="T365" s="7">
        <f t="shared" si="11"/>
        <v>6.8181818181818177E-2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108</v>
      </c>
      <c r="F366">
        <v>1</v>
      </c>
      <c r="G366">
        <v>534</v>
      </c>
      <c r="H366">
        <v>0</v>
      </c>
      <c r="I366">
        <v>48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0.18430034129692832</v>
      </c>
      <c r="M366" s="4">
        <f>IFERROR(AV_PLAN[[#This Row],[TERMINO REAL ACUMULADO]]/AV_PLAN[[#This Row],[TERMINO PLAN ACUMULADO]],"")</f>
        <v>8.98876404494382E-2</v>
      </c>
      <c r="N366">
        <f>+AV_PLAN[[#This Row],[PLAN ACUMULADO]]-AV_PLAN[[#This Row],[INICIO REAL ACUMULADO]]</f>
        <v>478</v>
      </c>
      <c r="O366">
        <f>+AV_PLAN[[#This Row],[TERMINO PLAN ACUMULADO]]-AV_PLAN[[#This Row],[TERMINO REAL ACUMULADO]]</f>
        <v>486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0.15340909090909091</v>
      </c>
      <c r="S366" s="7">
        <f>+AV_PLAN[[#This Row],[TERMINO PLAN ACUMULADO]]/$G$471</f>
        <v>0.75852272727272729</v>
      </c>
      <c r="T366" s="7">
        <f t="shared" si="11"/>
        <v>6.8181818181818177E-2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108</v>
      </c>
      <c r="F367">
        <v>1</v>
      </c>
      <c r="G367">
        <v>535</v>
      </c>
      <c r="H367">
        <v>0</v>
      </c>
      <c r="I367">
        <v>48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0.18336162988115451</v>
      </c>
      <c r="M367" s="4">
        <f>IFERROR(AV_PLAN[[#This Row],[TERMINO REAL ACUMULADO]]/AV_PLAN[[#This Row],[TERMINO PLAN ACUMULADO]],"")</f>
        <v>8.9719626168224292E-2</v>
      </c>
      <c r="N367">
        <f>+AV_PLAN[[#This Row],[PLAN ACUMULADO]]-AV_PLAN[[#This Row],[INICIO REAL ACUMULADO]]</f>
        <v>481</v>
      </c>
      <c r="O367">
        <f>+AV_PLAN[[#This Row],[TERMINO PLAN ACUMULADO]]-AV_PLAN[[#This Row],[TERMINO REAL ACUMULADO]]</f>
        <v>487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0.15340909090909091</v>
      </c>
      <c r="S367" s="7">
        <f>+AV_PLAN[[#This Row],[TERMINO PLAN ACUMULADO]]/$G$471</f>
        <v>0.75994318181818177</v>
      </c>
      <c r="T367" s="7">
        <f t="shared" si="11"/>
        <v>6.8181818181818177E-2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108</v>
      </c>
      <c r="F368">
        <v>3</v>
      </c>
      <c r="G368">
        <v>538</v>
      </c>
      <c r="H368">
        <v>0</v>
      </c>
      <c r="I368">
        <v>48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0.18243243243243243</v>
      </c>
      <c r="M368" s="4">
        <f>IFERROR(AV_PLAN[[#This Row],[TERMINO REAL ACUMULADO]]/AV_PLAN[[#This Row],[TERMINO PLAN ACUMULADO]],"")</f>
        <v>8.9219330855018583E-2</v>
      </c>
      <c r="N368">
        <f>+AV_PLAN[[#This Row],[PLAN ACUMULADO]]-AV_PLAN[[#This Row],[INICIO REAL ACUMULADO]]</f>
        <v>484</v>
      </c>
      <c r="O368">
        <f>+AV_PLAN[[#This Row],[TERMINO PLAN ACUMULADO]]-AV_PLAN[[#This Row],[TERMINO REAL ACUMULADO]]</f>
        <v>490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0.15340909090909091</v>
      </c>
      <c r="S368" s="7">
        <f>+AV_PLAN[[#This Row],[TERMINO PLAN ACUMULADO]]/$G$471</f>
        <v>0.76420454545454541</v>
      </c>
      <c r="T368" s="7">
        <f t="shared" si="11"/>
        <v>6.8181818181818177E-2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108</v>
      </c>
      <c r="F369">
        <v>3</v>
      </c>
      <c r="G369">
        <v>541</v>
      </c>
      <c r="H369">
        <v>0</v>
      </c>
      <c r="I369">
        <v>48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0.1815126050420168</v>
      </c>
      <c r="M369" s="4">
        <f>IFERROR(AV_PLAN[[#This Row],[TERMINO REAL ACUMULADO]]/AV_PLAN[[#This Row],[TERMINO PLAN ACUMULADO]],"")</f>
        <v>8.8724584103512014E-2</v>
      </c>
      <c r="N369">
        <f>+AV_PLAN[[#This Row],[PLAN ACUMULADO]]-AV_PLAN[[#This Row],[INICIO REAL ACUMULADO]]</f>
        <v>487</v>
      </c>
      <c r="O369">
        <f>+AV_PLAN[[#This Row],[TERMINO PLAN ACUMULADO]]-AV_PLAN[[#This Row],[TERMINO REAL ACUMULADO]]</f>
        <v>493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0.15340909090909091</v>
      </c>
      <c r="S369" s="7">
        <f>+AV_PLAN[[#This Row],[TERMINO PLAN ACUMULADO]]/$G$471</f>
        <v>0.76846590909090906</v>
      </c>
      <c r="T369" s="7">
        <f t="shared" si="11"/>
        <v>6.8181818181818177E-2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108</v>
      </c>
      <c r="F370">
        <v>2</v>
      </c>
      <c r="G370">
        <v>543</v>
      </c>
      <c r="H370">
        <v>0</v>
      </c>
      <c r="I370">
        <v>48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0.1806020066889632</v>
      </c>
      <c r="M370" s="4">
        <f>IFERROR(AV_PLAN[[#This Row],[TERMINO REAL ACUMULADO]]/AV_PLAN[[#This Row],[TERMINO PLAN ACUMULADO]],"")</f>
        <v>8.8397790055248615E-2</v>
      </c>
      <c r="N370">
        <f>+AV_PLAN[[#This Row],[PLAN ACUMULADO]]-AV_PLAN[[#This Row],[INICIO REAL ACUMULADO]]</f>
        <v>490</v>
      </c>
      <c r="O370">
        <f>+AV_PLAN[[#This Row],[TERMINO PLAN ACUMULADO]]-AV_PLAN[[#This Row],[TERMINO REAL ACUMULADO]]</f>
        <v>495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0.15340909090909091</v>
      </c>
      <c r="S370" s="7">
        <f>+AV_PLAN[[#This Row],[TERMINO PLAN ACUMULADO]]/$G$471</f>
        <v>0.77130681818181823</v>
      </c>
      <c r="T370" s="7">
        <f t="shared" si="11"/>
        <v>6.8181818181818177E-2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108</v>
      </c>
      <c r="F371">
        <v>2</v>
      </c>
      <c r="G371">
        <v>545</v>
      </c>
      <c r="H371">
        <v>0</v>
      </c>
      <c r="I371">
        <v>48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0.1806020066889632</v>
      </c>
      <c r="M371" s="4">
        <f>IFERROR(AV_PLAN[[#This Row],[TERMINO REAL ACUMULADO]]/AV_PLAN[[#This Row],[TERMINO PLAN ACUMULADO]],"")</f>
        <v>8.8073394495412849E-2</v>
      </c>
      <c r="N371">
        <f>+AV_PLAN[[#This Row],[PLAN ACUMULADO]]-AV_PLAN[[#This Row],[INICIO REAL ACUMULADO]]</f>
        <v>490</v>
      </c>
      <c r="O371">
        <f>+AV_PLAN[[#This Row],[TERMINO PLAN ACUMULADO]]-AV_PLAN[[#This Row],[TERMINO REAL ACUMULADO]]</f>
        <v>497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0.15340909090909091</v>
      </c>
      <c r="S371" s="7">
        <f>+AV_PLAN[[#This Row],[TERMINO PLAN ACUMULADO]]/$G$471</f>
        <v>0.77414772727272729</v>
      </c>
      <c r="T371" s="7">
        <f t="shared" si="11"/>
        <v>6.8181818181818177E-2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108</v>
      </c>
      <c r="F372">
        <v>2</v>
      </c>
      <c r="G372">
        <v>547</v>
      </c>
      <c r="H372">
        <v>0</v>
      </c>
      <c r="I372">
        <v>48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0.1806020066889632</v>
      </c>
      <c r="M372" s="4">
        <f>IFERROR(AV_PLAN[[#This Row],[TERMINO REAL ACUMULADO]]/AV_PLAN[[#This Row],[TERMINO PLAN ACUMULADO]],"")</f>
        <v>8.7751371115173671E-2</v>
      </c>
      <c r="N372">
        <f>+AV_PLAN[[#This Row],[PLAN ACUMULADO]]-AV_PLAN[[#This Row],[INICIO REAL ACUMULADO]]</f>
        <v>490</v>
      </c>
      <c r="O372">
        <f>+AV_PLAN[[#This Row],[TERMINO PLAN ACUMULADO]]-AV_PLAN[[#This Row],[TERMINO REAL ACUMULADO]]</f>
        <v>499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0.15340909090909091</v>
      </c>
      <c r="S372" s="7">
        <f>+AV_PLAN[[#This Row],[TERMINO PLAN ACUMULADO]]/$G$471</f>
        <v>0.77698863636363635</v>
      </c>
      <c r="T372" s="7">
        <f t="shared" si="11"/>
        <v>6.8181818181818177E-2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108</v>
      </c>
      <c r="F373">
        <v>1</v>
      </c>
      <c r="G373">
        <v>548</v>
      </c>
      <c r="H373">
        <v>0</v>
      </c>
      <c r="I373">
        <v>48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0.17970049916805325</v>
      </c>
      <c r="M373" s="4">
        <f>IFERROR(AV_PLAN[[#This Row],[TERMINO REAL ACUMULADO]]/AV_PLAN[[#This Row],[TERMINO PLAN ACUMULADO]],"")</f>
        <v>8.7591240875912413E-2</v>
      </c>
      <c r="N373">
        <f>+AV_PLAN[[#This Row],[PLAN ACUMULADO]]-AV_PLAN[[#This Row],[INICIO REAL ACUMULADO]]</f>
        <v>493</v>
      </c>
      <c r="O373">
        <f>+AV_PLAN[[#This Row],[TERMINO PLAN ACUMULADO]]-AV_PLAN[[#This Row],[TERMINO REAL ACUMULADO]]</f>
        <v>500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0.15340909090909091</v>
      </c>
      <c r="S373" s="7">
        <f>+AV_PLAN[[#This Row],[TERMINO PLAN ACUMULADO]]/$G$471</f>
        <v>0.77840909090909094</v>
      </c>
      <c r="T373" s="7">
        <f t="shared" si="11"/>
        <v>6.8181818181818177E-2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108</v>
      </c>
      <c r="F374">
        <v>2</v>
      </c>
      <c r="G374">
        <v>550</v>
      </c>
      <c r="H374">
        <v>0</v>
      </c>
      <c r="I374">
        <v>48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0.17880794701986755</v>
      </c>
      <c r="M374" s="4">
        <f>IFERROR(AV_PLAN[[#This Row],[TERMINO REAL ACUMULADO]]/AV_PLAN[[#This Row],[TERMINO PLAN ACUMULADO]],"")</f>
        <v>8.727272727272728E-2</v>
      </c>
      <c r="N374">
        <f>+AV_PLAN[[#This Row],[PLAN ACUMULADO]]-AV_PLAN[[#This Row],[INICIO REAL ACUMULADO]]</f>
        <v>496</v>
      </c>
      <c r="O374">
        <f>+AV_PLAN[[#This Row],[TERMINO PLAN ACUMULADO]]-AV_PLAN[[#This Row],[TERMINO REAL ACUMULADO]]</f>
        <v>502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0.15340909090909091</v>
      </c>
      <c r="S374" s="7">
        <f>+AV_PLAN[[#This Row],[TERMINO PLAN ACUMULADO]]/$G$471</f>
        <v>0.78125</v>
      </c>
      <c r="T374" s="7">
        <f t="shared" si="11"/>
        <v>6.8181818181818177E-2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108</v>
      </c>
      <c r="F375">
        <v>3</v>
      </c>
      <c r="G375">
        <v>553</v>
      </c>
      <c r="H375">
        <v>0</v>
      </c>
      <c r="I375">
        <v>48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0.17792421746293247</v>
      </c>
      <c r="M375" s="4">
        <f>IFERROR(AV_PLAN[[#This Row],[TERMINO REAL ACUMULADO]]/AV_PLAN[[#This Row],[TERMINO PLAN ACUMULADO]],"")</f>
        <v>8.6799276672694395E-2</v>
      </c>
      <c r="N375">
        <f>+AV_PLAN[[#This Row],[PLAN ACUMULADO]]-AV_PLAN[[#This Row],[INICIO REAL ACUMULADO]]</f>
        <v>499</v>
      </c>
      <c r="O375">
        <f>+AV_PLAN[[#This Row],[TERMINO PLAN ACUMULADO]]-AV_PLAN[[#This Row],[TERMINO REAL ACUMULADO]]</f>
        <v>505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0.15340909090909091</v>
      </c>
      <c r="S375" s="7">
        <f>+AV_PLAN[[#This Row],[TERMINO PLAN ACUMULADO]]/$G$471</f>
        <v>0.78551136363636365</v>
      </c>
      <c r="T375" s="7">
        <f t="shared" si="11"/>
        <v>6.8181818181818177E-2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108</v>
      </c>
      <c r="F376">
        <v>3</v>
      </c>
      <c r="G376">
        <v>556</v>
      </c>
      <c r="H376">
        <v>0</v>
      </c>
      <c r="I376">
        <v>48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0.17704918032786884</v>
      </c>
      <c r="M376" s="4">
        <f>IFERROR(AV_PLAN[[#This Row],[TERMINO REAL ACUMULADO]]/AV_PLAN[[#This Row],[TERMINO PLAN ACUMULADO]],"")</f>
        <v>8.6330935251798566E-2</v>
      </c>
      <c r="N376">
        <f>+AV_PLAN[[#This Row],[PLAN ACUMULADO]]-AV_PLAN[[#This Row],[INICIO REAL ACUMULADO]]</f>
        <v>502</v>
      </c>
      <c r="O376">
        <f>+AV_PLAN[[#This Row],[TERMINO PLAN ACUMULADO]]-AV_PLAN[[#This Row],[TERMINO REAL ACUMULADO]]</f>
        <v>508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0.15340909090909091</v>
      </c>
      <c r="S376" s="7">
        <f>+AV_PLAN[[#This Row],[TERMINO PLAN ACUMULADO]]/$G$471</f>
        <v>0.78977272727272729</v>
      </c>
      <c r="T376" s="7">
        <f t="shared" si="11"/>
        <v>6.8181818181818177E-2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108</v>
      </c>
      <c r="F377">
        <v>2</v>
      </c>
      <c r="G377">
        <v>558</v>
      </c>
      <c r="H377">
        <v>0</v>
      </c>
      <c r="I377">
        <v>48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0.17618270799347471</v>
      </c>
      <c r="M377" s="4">
        <f>IFERROR(AV_PLAN[[#This Row],[TERMINO REAL ACUMULADO]]/AV_PLAN[[#This Row],[TERMINO PLAN ACUMULADO]],"")</f>
        <v>8.6021505376344093E-2</v>
      </c>
      <c r="N377">
        <f>+AV_PLAN[[#This Row],[PLAN ACUMULADO]]-AV_PLAN[[#This Row],[INICIO REAL ACUMULADO]]</f>
        <v>505</v>
      </c>
      <c r="O377">
        <f>+AV_PLAN[[#This Row],[TERMINO PLAN ACUMULADO]]-AV_PLAN[[#This Row],[TERMINO REAL ACUMULADO]]</f>
        <v>510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0.15340909090909091</v>
      </c>
      <c r="S377" s="7">
        <f>+AV_PLAN[[#This Row],[TERMINO PLAN ACUMULADO]]/$G$471</f>
        <v>0.79261363636363635</v>
      </c>
      <c r="T377" s="7">
        <f t="shared" si="11"/>
        <v>6.8181818181818177E-2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108</v>
      </c>
      <c r="F378">
        <v>1</v>
      </c>
      <c r="G378">
        <v>559</v>
      </c>
      <c r="H378">
        <v>0</v>
      </c>
      <c r="I378">
        <v>48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0.17618270799347471</v>
      </c>
      <c r="M378" s="4">
        <f>IFERROR(AV_PLAN[[#This Row],[TERMINO REAL ACUMULADO]]/AV_PLAN[[#This Row],[TERMINO PLAN ACUMULADO]],"")</f>
        <v>8.5867620751341675E-2</v>
      </c>
      <c r="N378">
        <f>+AV_PLAN[[#This Row],[PLAN ACUMULADO]]-AV_PLAN[[#This Row],[INICIO REAL ACUMULADO]]</f>
        <v>505</v>
      </c>
      <c r="O378">
        <f>+AV_PLAN[[#This Row],[TERMINO PLAN ACUMULADO]]-AV_PLAN[[#This Row],[TERMINO REAL ACUMULADO]]</f>
        <v>511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0.15340909090909091</v>
      </c>
      <c r="S378" s="7">
        <f>+AV_PLAN[[#This Row],[TERMINO PLAN ACUMULADO]]/$G$471</f>
        <v>0.79403409090909094</v>
      </c>
      <c r="T378" s="7">
        <f t="shared" si="11"/>
        <v>6.8181818181818177E-2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108</v>
      </c>
      <c r="F379">
        <v>2</v>
      </c>
      <c r="G379">
        <v>561</v>
      </c>
      <c r="H379">
        <v>0</v>
      </c>
      <c r="I379">
        <v>48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0.17618270799347471</v>
      </c>
      <c r="M379" s="4">
        <f>IFERROR(AV_PLAN[[#This Row],[TERMINO REAL ACUMULADO]]/AV_PLAN[[#This Row],[TERMINO PLAN ACUMULADO]],"")</f>
        <v>8.5561497326203204E-2</v>
      </c>
      <c r="N379">
        <f>+AV_PLAN[[#This Row],[PLAN ACUMULADO]]-AV_PLAN[[#This Row],[INICIO REAL ACUMULADO]]</f>
        <v>505</v>
      </c>
      <c r="O379">
        <f>+AV_PLAN[[#This Row],[TERMINO PLAN ACUMULADO]]-AV_PLAN[[#This Row],[TERMINO REAL ACUMULADO]]</f>
        <v>513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0.15340909090909091</v>
      </c>
      <c r="S379" s="7">
        <f>+AV_PLAN[[#This Row],[TERMINO PLAN ACUMULADO]]/$G$471</f>
        <v>0.796875</v>
      </c>
      <c r="T379" s="7">
        <f t="shared" si="11"/>
        <v>6.8181818181818177E-2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108</v>
      </c>
      <c r="F380">
        <v>2</v>
      </c>
      <c r="G380">
        <v>563</v>
      </c>
      <c r="H380">
        <v>0</v>
      </c>
      <c r="I380">
        <v>48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0.17532467532467533</v>
      </c>
      <c r="M380" s="4">
        <f>IFERROR(AV_PLAN[[#This Row],[TERMINO REAL ACUMULADO]]/AV_PLAN[[#This Row],[TERMINO PLAN ACUMULADO]],"")</f>
        <v>8.5257548845470696E-2</v>
      </c>
      <c r="N380">
        <f>+AV_PLAN[[#This Row],[PLAN ACUMULADO]]-AV_PLAN[[#This Row],[INICIO REAL ACUMULADO]]</f>
        <v>508</v>
      </c>
      <c r="O380">
        <f>+AV_PLAN[[#This Row],[TERMINO PLAN ACUMULADO]]-AV_PLAN[[#This Row],[TERMINO REAL ACUMULADO]]</f>
        <v>515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0.15340909090909091</v>
      </c>
      <c r="S380" s="7">
        <f>+AV_PLAN[[#This Row],[TERMINO PLAN ACUMULADO]]/$G$471</f>
        <v>0.79971590909090906</v>
      </c>
      <c r="T380" s="7">
        <f t="shared" si="11"/>
        <v>6.8181818181818177E-2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108</v>
      </c>
      <c r="F381">
        <v>2</v>
      </c>
      <c r="G381">
        <v>565</v>
      </c>
      <c r="H381">
        <v>0</v>
      </c>
      <c r="I381">
        <v>48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0.17447495961227788</v>
      </c>
      <c r="M381" s="4">
        <f>IFERROR(AV_PLAN[[#This Row],[TERMINO REAL ACUMULADO]]/AV_PLAN[[#This Row],[TERMINO PLAN ACUMULADO]],"")</f>
        <v>8.4955752212389379E-2</v>
      </c>
      <c r="N381">
        <f>+AV_PLAN[[#This Row],[PLAN ACUMULADO]]-AV_PLAN[[#This Row],[INICIO REAL ACUMULADO]]</f>
        <v>511</v>
      </c>
      <c r="O381">
        <f>+AV_PLAN[[#This Row],[TERMINO PLAN ACUMULADO]]-AV_PLAN[[#This Row],[TERMINO REAL ACUMULADO]]</f>
        <v>517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0.15340909090909091</v>
      </c>
      <c r="S381" s="7">
        <f>+AV_PLAN[[#This Row],[TERMINO PLAN ACUMULADO]]/$G$471</f>
        <v>0.80255681818181823</v>
      </c>
      <c r="T381" s="7">
        <f t="shared" si="11"/>
        <v>6.8181818181818177E-2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108</v>
      </c>
      <c r="F382">
        <v>3</v>
      </c>
      <c r="G382">
        <v>568</v>
      </c>
      <c r="H382">
        <v>0</v>
      </c>
      <c r="I382">
        <v>48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0.17363344051446947</v>
      </c>
      <c r="M382" s="4">
        <f>IFERROR(AV_PLAN[[#This Row],[TERMINO REAL ACUMULADO]]/AV_PLAN[[#This Row],[TERMINO PLAN ACUMULADO]],"")</f>
        <v>8.4507042253521125E-2</v>
      </c>
      <c r="N382">
        <f>+AV_PLAN[[#This Row],[PLAN ACUMULADO]]-AV_PLAN[[#This Row],[INICIO REAL ACUMULADO]]</f>
        <v>514</v>
      </c>
      <c r="O382">
        <f>+AV_PLAN[[#This Row],[TERMINO PLAN ACUMULADO]]-AV_PLAN[[#This Row],[TERMINO REAL ACUMULADO]]</f>
        <v>520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0.15340909090909091</v>
      </c>
      <c r="S382" s="7">
        <f>+AV_PLAN[[#This Row],[TERMINO PLAN ACUMULADO]]/$G$471</f>
        <v>0.80681818181818177</v>
      </c>
      <c r="T382" s="7">
        <f t="shared" si="11"/>
        <v>6.8181818181818177E-2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108</v>
      </c>
      <c r="F383">
        <v>3</v>
      </c>
      <c r="G383">
        <v>571</v>
      </c>
      <c r="H383">
        <v>0</v>
      </c>
      <c r="I383">
        <v>48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0.17280000000000001</v>
      </c>
      <c r="M383" s="4">
        <f>IFERROR(AV_PLAN[[#This Row],[TERMINO REAL ACUMULADO]]/AV_PLAN[[#This Row],[TERMINO PLAN ACUMULADO]],"")</f>
        <v>8.4063047285464099E-2</v>
      </c>
      <c r="N383">
        <f>+AV_PLAN[[#This Row],[PLAN ACUMULADO]]-AV_PLAN[[#This Row],[INICIO REAL ACUMULADO]]</f>
        <v>517</v>
      </c>
      <c r="O383">
        <f>+AV_PLAN[[#This Row],[TERMINO PLAN ACUMULADO]]-AV_PLAN[[#This Row],[TERMINO REAL ACUMULADO]]</f>
        <v>523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0.15340909090909091</v>
      </c>
      <c r="S383" s="7">
        <f>+AV_PLAN[[#This Row],[TERMINO PLAN ACUMULADO]]/$G$471</f>
        <v>0.81107954545454541</v>
      </c>
      <c r="T383" s="7">
        <f t="shared" si="11"/>
        <v>6.8181818181818177E-2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108</v>
      </c>
      <c r="F384">
        <v>1</v>
      </c>
      <c r="G384">
        <v>572</v>
      </c>
      <c r="H384">
        <v>0</v>
      </c>
      <c r="I384">
        <v>48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0.17197452229299362</v>
      </c>
      <c r="M384" s="4">
        <f>IFERROR(AV_PLAN[[#This Row],[TERMINO REAL ACUMULADO]]/AV_PLAN[[#This Row],[TERMINO PLAN ACUMULADO]],"")</f>
        <v>8.3916083916083919E-2</v>
      </c>
      <c r="N384">
        <f>+AV_PLAN[[#This Row],[PLAN ACUMULADO]]-AV_PLAN[[#This Row],[INICIO REAL ACUMULADO]]</f>
        <v>520</v>
      </c>
      <c r="O384">
        <f>+AV_PLAN[[#This Row],[TERMINO PLAN ACUMULADO]]-AV_PLAN[[#This Row],[TERMINO REAL ACUMULADO]]</f>
        <v>524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0.15340909090909091</v>
      </c>
      <c r="S384" s="7">
        <f>+AV_PLAN[[#This Row],[TERMINO PLAN ACUMULADO]]/$G$471</f>
        <v>0.8125</v>
      </c>
      <c r="T384" s="7">
        <f t="shared" si="11"/>
        <v>6.8181818181818177E-2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108</v>
      </c>
      <c r="F385">
        <v>1</v>
      </c>
      <c r="G385">
        <v>573</v>
      </c>
      <c r="H385">
        <v>0</v>
      </c>
      <c r="I385">
        <v>48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0.17197452229299362</v>
      </c>
      <c r="M385" s="4">
        <f>IFERROR(AV_PLAN[[#This Row],[TERMINO REAL ACUMULADO]]/AV_PLAN[[#This Row],[TERMINO PLAN ACUMULADO]],"")</f>
        <v>8.3769633507853408E-2</v>
      </c>
      <c r="N385">
        <f>+AV_PLAN[[#This Row],[PLAN ACUMULADO]]-AV_PLAN[[#This Row],[INICIO REAL ACUMULADO]]</f>
        <v>520</v>
      </c>
      <c r="O385">
        <f>+AV_PLAN[[#This Row],[TERMINO PLAN ACUMULADO]]-AV_PLAN[[#This Row],[TERMINO REAL ACUMULADO]]</f>
        <v>525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0.15340909090909091</v>
      </c>
      <c r="S385" s="7">
        <f>+AV_PLAN[[#This Row],[TERMINO PLAN ACUMULADO]]/$G$471</f>
        <v>0.81392045454545459</v>
      </c>
      <c r="T385" s="7">
        <f t="shared" si="11"/>
        <v>6.8181818181818177E-2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108</v>
      </c>
      <c r="F386">
        <v>4</v>
      </c>
      <c r="G386">
        <v>577</v>
      </c>
      <c r="H386">
        <v>0</v>
      </c>
      <c r="I386">
        <v>48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0.17197452229299362</v>
      </c>
      <c r="M386" s="4">
        <f>IFERROR(AV_PLAN[[#This Row],[TERMINO REAL ACUMULADO]]/AV_PLAN[[#This Row],[TERMINO PLAN ACUMULADO]],"")</f>
        <v>8.3188908145580595E-2</v>
      </c>
      <c r="N386">
        <f>+AV_PLAN[[#This Row],[PLAN ACUMULADO]]-AV_PLAN[[#This Row],[INICIO REAL ACUMULADO]]</f>
        <v>520</v>
      </c>
      <c r="O386">
        <f>+AV_PLAN[[#This Row],[TERMINO PLAN ACUMULADO]]-AV_PLAN[[#This Row],[TERMINO REAL ACUMULADO]]</f>
        <v>529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0.15340909090909091</v>
      </c>
      <c r="S386" s="7">
        <f>+AV_PLAN[[#This Row],[TERMINO PLAN ACUMULADO]]/$G$471</f>
        <v>0.81960227272727271</v>
      </c>
      <c r="T386" s="7">
        <f t="shared" ref="T386:T449" si="13">IF(H386="",NA(),I386/$G$471)</f>
        <v>6.8181818181818177E-2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108</v>
      </c>
      <c r="F387">
        <v>2</v>
      </c>
      <c r="G387">
        <v>579</v>
      </c>
      <c r="H387">
        <v>0</v>
      </c>
      <c r="I387">
        <v>48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0.17115689381933438</v>
      </c>
      <c r="M387" s="4">
        <f>IFERROR(AV_PLAN[[#This Row],[TERMINO REAL ACUMULADO]]/AV_PLAN[[#This Row],[TERMINO PLAN ACUMULADO]],"")</f>
        <v>8.2901554404145081E-2</v>
      </c>
      <c r="N387">
        <f>+AV_PLAN[[#This Row],[PLAN ACUMULADO]]-AV_PLAN[[#This Row],[INICIO REAL ACUMULADO]]</f>
        <v>523</v>
      </c>
      <c r="O387">
        <f>+AV_PLAN[[#This Row],[TERMINO PLAN ACUMULADO]]-AV_PLAN[[#This Row],[TERMINO REAL ACUMULADO]]</f>
        <v>531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0.15340909090909091</v>
      </c>
      <c r="S387" s="7">
        <f>+AV_PLAN[[#This Row],[TERMINO PLAN ACUMULADO]]/$G$471</f>
        <v>0.82244318181818177</v>
      </c>
      <c r="T387" s="7">
        <f t="shared" si="13"/>
        <v>6.8181818181818177E-2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108</v>
      </c>
      <c r="F388">
        <v>1</v>
      </c>
      <c r="G388">
        <v>580</v>
      </c>
      <c r="H388">
        <v>0</v>
      </c>
      <c r="I388">
        <v>48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0.17034700315457413</v>
      </c>
      <c r="M388" s="4">
        <f>IFERROR(AV_PLAN[[#This Row],[TERMINO REAL ACUMULADO]]/AV_PLAN[[#This Row],[TERMINO PLAN ACUMULADO]],"")</f>
        <v>8.2758620689655171E-2</v>
      </c>
      <c r="N388">
        <f>+AV_PLAN[[#This Row],[PLAN ACUMULADO]]-AV_PLAN[[#This Row],[INICIO REAL ACUMULADO]]</f>
        <v>526</v>
      </c>
      <c r="O388">
        <f>+AV_PLAN[[#This Row],[TERMINO PLAN ACUMULADO]]-AV_PLAN[[#This Row],[TERMINO REAL ACUMULADO]]</f>
        <v>532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0.15340909090909091</v>
      </c>
      <c r="S388" s="7">
        <f>+AV_PLAN[[#This Row],[TERMINO PLAN ACUMULADO]]/$G$471</f>
        <v>0.82386363636363635</v>
      </c>
      <c r="T388" s="7">
        <f t="shared" si="13"/>
        <v>6.8181818181818177E-2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108</v>
      </c>
      <c r="F389">
        <v>3</v>
      </c>
      <c r="G389">
        <v>583</v>
      </c>
      <c r="H389">
        <v>0</v>
      </c>
      <c r="I389">
        <v>48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0.1695447409733124</v>
      </c>
      <c r="M389" s="4">
        <f>IFERROR(AV_PLAN[[#This Row],[TERMINO REAL ACUMULADO]]/AV_PLAN[[#This Row],[TERMINO PLAN ACUMULADO]],"")</f>
        <v>8.2332761578044603E-2</v>
      </c>
      <c r="N389">
        <f>+AV_PLAN[[#This Row],[PLAN ACUMULADO]]-AV_PLAN[[#This Row],[INICIO REAL ACUMULADO]]</f>
        <v>529</v>
      </c>
      <c r="O389">
        <f>+AV_PLAN[[#This Row],[TERMINO PLAN ACUMULADO]]-AV_PLAN[[#This Row],[TERMINO REAL ACUMULADO]]</f>
        <v>535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0.15340909090909091</v>
      </c>
      <c r="S389" s="7">
        <f>+AV_PLAN[[#This Row],[TERMINO PLAN ACUMULADO]]/$G$471</f>
        <v>0.828125</v>
      </c>
      <c r="T389" s="7">
        <f t="shared" si="13"/>
        <v>6.8181818181818177E-2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108</v>
      </c>
      <c r="F390">
        <v>3</v>
      </c>
      <c r="G390">
        <v>586</v>
      </c>
      <c r="H390">
        <v>0</v>
      </c>
      <c r="I390">
        <v>48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0.16875000000000001</v>
      </c>
      <c r="M390" s="4">
        <f>IFERROR(AV_PLAN[[#This Row],[TERMINO REAL ACUMULADO]]/AV_PLAN[[#This Row],[TERMINO PLAN ACUMULADO]],"")</f>
        <v>8.191126279863481E-2</v>
      </c>
      <c r="N390">
        <f>+AV_PLAN[[#This Row],[PLAN ACUMULADO]]-AV_PLAN[[#This Row],[INICIO REAL ACUMULADO]]</f>
        <v>532</v>
      </c>
      <c r="O390">
        <f>+AV_PLAN[[#This Row],[TERMINO PLAN ACUMULADO]]-AV_PLAN[[#This Row],[TERMINO REAL ACUMULADO]]</f>
        <v>538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0.15340909090909091</v>
      </c>
      <c r="S390" s="7">
        <f>+AV_PLAN[[#This Row],[TERMINO PLAN ACUMULADO]]/$G$471</f>
        <v>0.83238636363636365</v>
      </c>
      <c r="T390" s="7">
        <f t="shared" si="13"/>
        <v>6.8181818181818177E-2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108</v>
      </c>
      <c r="F391">
        <v>1</v>
      </c>
      <c r="G391">
        <v>587</v>
      </c>
      <c r="H391">
        <v>0</v>
      </c>
      <c r="I391">
        <v>48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0.16796267496111975</v>
      </c>
      <c r="M391" s="4">
        <f>IFERROR(AV_PLAN[[#This Row],[TERMINO REAL ACUMULADO]]/AV_PLAN[[#This Row],[TERMINO PLAN ACUMULADO]],"")</f>
        <v>8.1771720613287899E-2</v>
      </c>
      <c r="N391">
        <f>+AV_PLAN[[#This Row],[PLAN ACUMULADO]]-AV_PLAN[[#This Row],[INICIO REAL ACUMULADO]]</f>
        <v>535</v>
      </c>
      <c r="O391">
        <f>+AV_PLAN[[#This Row],[TERMINO PLAN ACUMULADO]]-AV_PLAN[[#This Row],[TERMINO REAL ACUMULADO]]</f>
        <v>539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0.15340909090909091</v>
      </c>
      <c r="S391" s="7">
        <f>+AV_PLAN[[#This Row],[TERMINO PLAN ACUMULADO]]/$G$471</f>
        <v>0.83380681818181823</v>
      </c>
      <c r="T391" s="7">
        <f t="shared" si="13"/>
        <v>6.8181818181818177E-2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108</v>
      </c>
      <c r="F392">
        <v>2</v>
      </c>
      <c r="G392">
        <v>589</v>
      </c>
      <c r="H392">
        <v>0</v>
      </c>
      <c r="I392">
        <v>48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0.16796267496111975</v>
      </c>
      <c r="M392" s="4">
        <f>IFERROR(AV_PLAN[[#This Row],[TERMINO REAL ACUMULADO]]/AV_PLAN[[#This Row],[TERMINO PLAN ACUMULADO]],"")</f>
        <v>8.1494057724957561E-2</v>
      </c>
      <c r="N392">
        <f>+AV_PLAN[[#This Row],[PLAN ACUMULADO]]-AV_PLAN[[#This Row],[INICIO REAL ACUMULADO]]</f>
        <v>535</v>
      </c>
      <c r="O392">
        <f>+AV_PLAN[[#This Row],[TERMINO PLAN ACUMULADO]]-AV_PLAN[[#This Row],[TERMINO REAL ACUMULADO]]</f>
        <v>541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0.15340909090909091</v>
      </c>
      <c r="S392" s="7">
        <f>+AV_PLAN[[#This Row],[TERMINO PLAN ACUMULADO]]/$G$471</f>
        <v>0.83664772727272729</v>
      </c>
      <c r="T392" s="7">
        <f t="shared" si="13"/>
        <v>6.8181818181818177E-2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108</v>
      </c>
      <c r="F393">
        <v>4</v>
      </c>
      <c r="G393">
        <v>593</v>
      </c>
      <c r="H393">
        <v>0</v>
      </c>
      <c r="I393">
        <v>48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0.16796267496111975</v>
      </c>
      <c r="M393" s="4">
        <f>IFERROR(AV_PLAN[[#This Row],[TERMINO REAL ACUMULADO]]/AV_PLAN[[#This Row],[TERMINO PLAN ACUMULADO]],"")</f>
        <v>8.0944350758853284E-2</v>
      </c>
      <c r="N393">
        <f>+AV_PLAN[[#This Row],[PLAN ACUMULADO]]-AV_PLAN[[#This Row],[INICIO REAL ACUMULADO]]</f>
        <v>535</v>
      </c>
      <c r="O393">
        <f>+AV_PLAN[[#This Row],[TERMINO PLAN ACUMULADO]]-AV_PLAN[[#This Row],[TERMINO REAL ACUMULADO]]</f>
        <v>545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0.15340909090909091</v>
      </c>
      <c r="S393" s="7">
        <f>+AV_PLAN[[#This Row],[TERMINO PLAN ACUMULADO]]/$G$471</f>
        <v>0.84232954545454541</v>
      </c>
      <c r="T393" s="7">
        <f t="shared" si="13"/>
        <v>6.8181818181818177E-2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108</v>
      </c>
      <c r="F394">
        <v>1</v>
      </c>
      <c r="G394">
        <v>594</v>
      </c>
      <c r="H394">
        <v>0</v>
      </c>
      <c r="I394">
        <v>48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0.16718266253869968</v>
      </c>
      <c r="M394" s="4">
        <f>IFERROR(AV_PLAN[[#This Row],[TERMINO REAL ACUMULADO]]/AV_PLAN[[#This Row],[TERMINO PLAN ACUMULADO]],"")</f>
        <v>8.0808080808080815E-2</v>
      </c>
      <c r="N394">
        <f>+AV_PLAN[[#This Row],[PLAN ACUMULADO]]-AV_PLAN[[#This Row],[INICIO REAL ACUMULADO]]</f>
        <v>538</v>
      </c>
      <c r="O394">
        <f>+AV_PLAN[[#This Row],[TERMINO PLAN ACUMULADO]]-AV_PLAN[[#This Row],[TERMINO REAL ACUMULADO]]</f>
        <v>546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0.15340909090909091</v>
      </c>
      <c r="S394" s="7">
        <f>+AV_PLAN[[#This Row],[TERMINO PLAN ACUMULADO]]/$G$471</f>
        <v>0.84375</v>
      </c>
      <c r="T394" s="7">
        <f t="shared" si="13"/>
        <v>6.8181818181818177E-2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108</v>
      </c>
      <c r="F395">
        <v>1</v>
      </c>
      <c r="G395">
        <v>595</v>
      </c>
      <c r="H395">
        <v>0</v>
      </c>
      <c r="I395">
        <v>48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0.16640986132511557</v>
      </c>
      <c r="M395" s="4">
        <f>IFERROR(AV_PLAN[[#This Row],[TERMINO REAL ACUMULADO]]/AV_PLAN[[#This Row],[TERMINO PLAN ACUMULADO]],"")</f>
        <v>8.067226890756303E-2</v>
      </c>
      <c r="N395">
        <f>+AV_PLAN[[#This Row],[PLAN ACUMULADO]]-AV_PLAN[[#This Row],[INICIO REAL ACUMULADO]]</f>
        <v>541</v>
      </c>
      <c r="O395">
        <f>+AV_PLAN[[#This Row],[TERMINO PLAN ACUMULADO]]-AV_PLAN[[#This Row],[TERMINO REAL ACUMULADO]]</f>
        <v>547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0.15340909090909091</v>
      </c>
      <c r="S395" s="7">
        <f>+AV_PLAN[[#This Row],[TERMINO PLAN ACUMULADO]]/$G$471</f>
        <v>0.84517045454545459</v>
      </c>
      <c r="T395" s="7">
        <f t="shared" si="13"/>
        <v>6.8181818181818177E-2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108</v>
      </c>
      <c r="F396">
        <v>3</v>
      </c>
      <c r="G396">
        <v>598</v>
      </c>
      <c r="H396">
        <v>0</v>
      </c>
      <c r="I396">
        <v>48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0.16564417177914109</v>
      </c>
      <c r="M396" s="4">
        <f>IFERROR(AV_PLAN[[#This Row],[TERMINO REAL ACUMULADO]]/AV_PLAN[[#This Row],[TERMINO PLAN ACUMULADO]],"")</f>
        <v>8.0267558528428096E-2</v>
      </c>
      <c r="N396">
        <f>+AV_PLAN[[#This Row],[PLAN ACUMULADO]]-AV_PLAN[[#This Row],[INICIO REAL ACUMULADO]]</f>
        <v>544</v>
      </c>
      <c r="O396">
        <f>+AV_PLAN[[#This Row],[TERMINO PLAN ACUMULADO]]-AV_PLAN[[#This Row],[TERMINO REAL ACUMULADO]]</f>
        <v>550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0.15340909090909091</v>
      </c>
      <c r="S396" s="7">
        <f>+AV_PLAN[[#This Row],[TERMINO PLAN ACUMULADO]]/$G$471</f>
        <v>0.84943181818181823</v>
      </c>
      <c r="T396" s="7">
        <f t="shared" si="13"/>
        <v>6.8181818181818177E-2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108</v>
      </c>
      <c r="F397">
        <v>3</v>
      </c>
      <c r="G397">
        <v>601</v>
      </c>
      <c r="H397">
        <v>0</v>
      </c>
      <c r="I397">
        <v>48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0.16488549618320611</v>
      </c>
      <c r="M397" s="4">
        <f>IFERROR(AV_PLAN[[#This Row],[TERMINO REAL ACUMULADO]]/AV_PLAN[[#This Row],[TERMINO PLAN ACUMULADO]],"")</f>
        <v>7.9866888519134774E-2</v>
      </c>
      <c r="N397">
        <f>+AV_PLAN[[#This Row],[PLAN ACUMULADO]]-AV_PLAN[[#This Row],[INICIO REAL ACUMULADO]]</f>
        <v>547</v>
      </c>
      <c r="O397">
        <f>+AV_PLAN[[#This Row],[TERMINO PLAN ACUMULADO]]-AV_PLAN[[#This Row],[TERMINO REAL ACUMULADO]]</f>
        <v>553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0.15340909090909091</v>
      </c>
      <c r="S397" s="7">
        <f>+AV_PLAN[[#This Row],[TERMINO PLAN ACUMULADO]]/$G$471</f>
        <v>0.85369318181818177</v>
      </c>
      <c r="T397" s="7">
        <f t="shared" si="13"/>
        <v>6.8181818181818177E-2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108</v>
      </c>
      <c r="F398">
        <v>2</v>
      </c>
      <c r="G398">
        <v>603</v>
      </c>
      <c r="H398">
        <v>0</v>
      </c>
      <c r="I398">
        <v>48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0.1641337386018237</v>
      </c>
      <c r="M398" s="4">
        <f>IFERROR(AV_PLAN[[#This Row],[TERMINO REAL ACUMULADO]]/AV_PLAN[[#This Row],[TERMINO PLAN ACUMULADO]],"")</f>
        <v>7.9601990049751242E-2</v>
      </c>
      <c r="N398">
        <f>+AV_PLAN[[#This Row],[PLAN ACUMULADO]]-AV_PLAN[[#This Row],[INICIO REAL ACUMULADO]]</f>
        <v>550</v>
      </c>
      <c r="O398">
        <f>+AV_PLAN[[#This Row],[TERMINO PLAN ACUMULADO]]-AV_PLAN[[#This Row],[TERMINO REAL ACUMULADO]]</f>
        <v>555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0.15340909090909091</v>
      </c>
      <c r="S398" s="7">
        <f>+AV_PLAN[[#This Row],[TERMINO PLAN ACUMULADO]]/$G$471</f>
        <v>0.85653409090909094</v>
      </c>
      <c r="T398" s="7">
        <f t="shared" si="13"/>
        <v>6.8181818181818177E-2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108</v>
      </c>
      <c r="F399">
        <v>2</v>
      </c>
      <c r="G399">
        <v>605</v>
      </c>
      <c r="H399">
        <v>0</v>
      </c>
      <c r="I399">
        <v>48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0.1641337386018237</v>
      </c>
      <c r="M399" s="4">
        <f>IFERROR(AV_PLAN[[#This Row],[TERMINO REAL ACUMULADO]]/AV_PLAN[[#This Row],[TERMINO PLAN ACUMULADO]],"")</f>
        <v>7.9338842975206617E-2</v>
      </c>
      <c r="N399">
        <f>+AV_PLAN[[#This Row],[PLAN ACUMULADO]]-AV_PLAN[[#This Row],[INICIO REAL ACUMULADO]]</f>
        <v>550</v>
      </c>
      <c r="O399">
        <f>+AV_PLAN[[#This Row],[TERMINO PLAN ACUMULADO]]-AV_PLAN[[#This Row],[TERMINO REAL ACUMULADO]]</f>
        <v>557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0.15340909090909091</v>
      </c>
      <c r="S399" s="7">
        <f>+AV_PLAN[[#This Row],[TERMINO PLAN ACUMULADO]]/$G$471</f>
        <v>0.859375</v>
      </c>
      <c r="T399" s="7">
        <f t="shared" si="13"/>
        <v>6.8181818181818177E-2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108</v>
      </c>
      <c r="F400">
        <v>2</v>
      </c>
      <c r="G400">
        <v>607</v>
      </c>
      <c r="H400">
        <v>0</v>
      </c>
      <c r="I400">
        <v>48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0.1641337386018237</v>
      </c>
      <c r="M400" s="4">
        <f>IFERROR(AV_PLAN[[#This Row],[TERMINO REAL ACUMULADO]]/AV_PLAN[[#This Row],[TERMINO PLAN ACUMULADO]],"")</f>
        <v>7.907742998352553E-2</v>
      </c>
      <c r="N400">
        <f>+AV_PLAN[[#This Row],[PLAN ACUMULADO]]-AV_PLAN[[#This Row],[INICIO REAL ACUMULADO]]</f>
        <v>550</v>
      </c>
      <c r="O400">
        <f>+AV_PLAN[[#This Row],[TERMINO PLAN ACUMULADO]]-AV_PLAN[[#This Row],[TERMINO REAL ACUMULADO]]</f>
        <v>559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0.15340909090909091</v>
      </c>
      <c r="S400" s="7">
        <f>+AV_PLAN[[#This Row],[TERMINO PLAN ACUMULADO]]/$G$471</f>
        <v>0.86221590909090906</v>
      </c>
      <c r="T400" s="7">
        <f t="shared" si="13"/>
        <v>6.8181818181818177E-2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108</v>
      </c>
      <c r="F401">
        <v>1</v>
      </c>
      <c r="G401">
        <v>608</v>
      </c>
      <c r="H401">
        <v>0</v>
      </c>
      <c r="I401">
        <v>48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0.16338880484114976</v>
      </c>
      <c r="M401" s="4">
        <f>IFERROR(AV_PLAN[[#This Row],[TERMINO REAL ACUMULADO]]/AV_PLAN[[#This Row],[TERMINO PLAN ACUMULADO]],"")</f>
        <v>7.8947368421052627E-2</v>
      </c>
      <c r="N401">
        <f>+AV_PLAN[[#This Row],[PLAN ACUMULADO]]-AV_PLAN[[#This Row],[INICIO REAL ACUMULADO]]</f>
        <v>553</v>
      </c>
      <c r="O401">
        <f>+AV_PLAN[[#This Row],[TERMINO PLAN ACUMULADO]]-AV_PLAN[[#This Row],[TERMINO REAL ACUMULADO]]</f>
        <v>560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0.15340909090909091</v>
      </c>
      <c r="S401" s="7">
        <f>+AV_PLAN[[#This Row],[TERMINO PLAN ACUMULADO]]/$G$471</f>
        <v>0.86363636363636365</v>
      </c>
      <c r="T401" s="7">
        <f t="shared" si="13"/>
        <v>6.8181818181818177E-2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108</v>
      </c>
      <c r="F402">
        <v>2</v>
      </c>
      <c r="G402">
        <v>610</v>
      </c>
      <c r="H402">
        <v>0</v>
      </c>
      <c r="I402">
        <v>48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0.16265060240963855</v>
      </c>
      <c r="M402" s="4">
        <f>IFERROR(AV_PLAN[[#This Row],[TERMINO REAL ACUMULADO]]/AV_PLAN[[#This Row],[TERMINO PLAN ACUMULADO]],"")</f>
        <v>7.8688524590163941E-2</v>
      </c>
      <c r="N402">
        <f>+AV_PLAN[[#This Row],[PLAN ACUMULADO]]-AV_PLAN[[#This Row],[INICIO REAL ACUMULADO]]</f>
        <v>556</v>
      </c>
      <c r="O402">
        <f>+AV_PLAN[[#This Row],[TERMINO PLAN ACUMULADO]]-AV_PLAN[[#This Row],[TERMINO REAL ACUMULADO]]</f>
        <v>562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0.15340909090909091</v>
      </c>
      <c r="S402" s="7">
        <f>+AV_PLAN[[#This Row],[TERMINO PLAN ACUMULADO]]/$G$471</f>
        <v>0.86647727272727271</v>
      </c>
      <c r="T402" s="7">
        <f t="shared" si="13"/>
        <v>6.8181818181818177E-2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108</v>
      </c>
      <c r="F403">
        <v>3</v>
      </c>
      <c r="G403">
        <v>613</v>
      </c>
      <c r="H403">
        <v>0</v>
      </c>
      <c r="I403">
        <v>48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0.16191904047976011</v>
      </c>
      <c r="M403" s="4">
        <f>IFERROR(AV_PLAN[[#This Row],[TERMINO REAL ACUMULADO]]/AV_PLAN[[#This Row],[TERMINO PLAN ACUMULADO]],"")</f>
        <v>7.8303425774877644E-2</v>
      </c>
      <c r="N403">
        <f>+AV_PLAN[[#This Row],[PLAN ACUMULADO]]-AV_PLAN[[#This Row],[INICIO REAL ACUMULADO]]</f>
        <v>559</v>
      </c>
      <c r="O403">
        <f>+AV_PLAN[[#This Row],[TERMINO PLAN ACUMULADO]]-AV_PLAN[[#This Row],[TERMINO REAL ACUMULADO]]</f>
        <v>565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0.15340909090909091</v>
      </c>
      <c r="S403" s="7">
        <f>+AV_PLAN[[#This Row],[TERMINO PLAN ACUMULADO]]/$G$471</f>
        <v>0.87073863636363635</v>
      </c>
      <c r="T403" s="7">
        <f t="shared" si="13"/>
        <v>6.8181818181818177E-2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108</v>
      </c>
      <c r="F404">
        <v>3</v>
      </c>
      <c r="G404">
        <v>616</v>
      </c>
      <c r="H404">
        <v>0</v>
      </c>
      <c r="I404">
        <v>48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0.16119402985074627</v>
      </c>
      <c r="M404" s="4">
        <f>IFERROR(AV_PLAN[[#This Row],[TERMINO REAL ACUMULADO]]/AV_PLAN[[#This Row],[TERMINO PLAN ACUMULADO]],"")</f>
        <v>7.792207792207792E-2</v>
      </c>
      <c r="N404">
        <f>+AV_PLAN[[#This Row],[PLAN ACUMULADO]]-AV_PLAN[[#This Row],[INICIO REAL ACUMULADO]]</f>
        <v>562</v>
      </c>
      <c r="O404">
        <f>+AV_PLAN[[#This Row],[TERMINO PLAN ACUMULADO]]-AV_PLAN[[#This Row],[TERMINO REAL ACUMULADO]]</f>
        <v>568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0.15340909090909091</v>
      </c>
      <c r="S404" s="7">
        <f>+AV_PLAN[[#This Row],[TERMINO PLAN ACUMULADO]]/$G$471</f>
        <v>0.875</v>
      </c>
      <c r="T404" s="7">
        <f t="shared" si="13"/>
        <v>6.8181818181818177E-2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108</v>
      </c>
      <c r="F405">
        <v>2</v>
      </c>
      <c r="G405">
        <v>618</v>
      </c>
      <c r="H405">
        <v>0</v>
      </c>
      <c r="I405">
        <v>48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0.16047548291233285</v>
      </c>
      <c r="M405" s="4">
        <f>IFERROR(AV_PLAN[[#This Row],[TERMINO REAL ACUMULADO]]/AV_PLAN[[#This Row],[TERMINO PLAN ACUMULADO]],"")</f>
        <v>7.7669902912621352E-2</v>
      </c>
      <c r="N405">
        <f>+AV_PLAN[[#This Row],[PLAN ACUMULADO]]-AV_PLAN[[#This Row],[INICIO REAL ACUMULADO]]</f>
        <v>565</v>
      </c>
      <c r="O405">
        <f>+AV_PLAN[[#This Row],[TERMINO PLAN ACUMULADO]]-AV_PLAN[[#This Row],[TERMINO REAL ACUMULADO]]</f>
        <v>570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0.15340909090909091</v>
      </c>
      <c r="S405" s="7">
        <f>+AV_PLAN[[#This Row],[TERMINO PLAN ACUMULADO]]/$G$471</f>
        <v>0.87784090909090906</v>
      </c>
      <c r="T405" s="7">
        <f t="shared" si="13"/>
        <v>6.8181818181818177E-2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108</v>
      </c>
      <c r="F406">
        <v>1</v>
      </c>
      <c r="G406">
        <v>619</v>
      </c>
      <c r="H406">
        <v>0</v>
      </c>
      <c r="I406">
        <v>48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0.16047548291233285</v>
      </c>
      <c r="M406" s="4">
        <f>IFERROR(AV_PLAN[[#This Row],[TERMINO REAL ACUMULADO]]/AV_PLAN[[#This Row],[TERMINO PLAN ACUMULADO]],"")</f>
        <v>7.7544426494345717E-2</v>
      </c>
      <c r="N406">
        <f>+AV_PLAN[[#This Row],[PLAN ACUMULADO]]-AV_PLAN[[#This Row],[INICIO REAL ACUMULADO]]</f>
        <v>565</v>
      </c>
      <c r="O406">
        <f>+AV_PLAN[[#This Row],[TERMINO PLAN ACUMULADO]]-AV_PLAN[[#This Row],[TERMINO REAL ACUMULADO]]</f>
        <v>571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0.15340909090909091</v>
      </c>
      <c r="S406" s="7">
        <f>+AV_PLAN[[#This Row],[TERMINO PLAN ACUMULADO]]/$G$471</f>
        <v>0.87926136363636365</v>
      </c>
      <c r="T406" s="7">
        <f t="shared" si="13"/>
        <v>6.8181818181818177E-2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108</v>
      </c>
      <c r="F407">
        <v>2</v>
      </c>
      <c r="G407">
        <v>621</v>
      </c>
      <c r="H407">
        <v>0</v>
      </c>
      <c r="I407">
        <v>48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0.16047548291233285</v>
      </c>
      <c r="M407" s="4">
        <f>IFERROR(AV_PLAN[[#This Row],[TERMINO REAL ACUMULADO]]/AV_PLAN[[#This Row],[TERMINO PLAN ACUMULADO]],"")</f>
        <v>7.7294685990338161E-2</v>
      </c>
      <c r="N407">
        <f>+AV_PLAN[[#This Row],[PLAN ACUMULADO]]-AV_PLAN[[#This Row],[INICIO REAL ACUMULADO]]</f>
        <v>565</v>
      </c>
      <c r="O407">
        <f>+AV_PLAN[[#This Row],[TERMINO PLAN ACUMULADO]]-AV_PLAN[[#This Row],[TERMINO REAL ACUMULADO]]</f>
        <v>573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0.15340909090909091</v>
      </c>
      <c r="S407" s="7">
        <f>+AV_PLAN[[#This Row],[TERMINO PLAN ACUMULADO]]/$G$471</f>
        <v>0.88210227272727271</v>
      </c>
      <c r="T407" s="7">
        <f t="shared" si="13"/>
        <v>6.8181818181818177E-2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108</v>
      </c>
      <c r="F408">
        <v>2</v>
      </c>
      <c r="G408">
        <v>623</v>
      </c>
      <c r="H408">
        <v>0</v>
      </c>
      <c r="I408">
        <v>48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0.15976331360946747</v>
      </c>
      <c r="M408" s="4">
        <f>IFERROR(AV_PLAN[[#This Row],[TERMINO REAL ACUMULADO]]/AV_PLAN[[#This Row],[TERMINO PLAN ACUMULADO]],"")</f>
        <v>7.7046548956661312E-2</v>
      </c>
      <c r="N408">
        <f>+AV_PLAN[[#This Row],[PLAN ACUMULADO]]-AV_PLAN[[#This Row],[INICIO REAL ACUMULADO]]</f>
        <v>568</v>
      </c>
      <c r="O408">
        <f>+AV_PLAN[[#This Row],[TERMINO PLAN ACUMULADO]]-AV_PLAN[[#This Row],[TERMINO REAL ACUMULADO]]</f>
        <v>575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0.15340909090909091</v>
      </c>
      <c r="S408" s="7">
        <f>+AV_PLAN[[#This Row],[TERMINO PLAN ACUMULADO]]/$G$471</f>
        <v>0.88494318181818177</v>
      </c>
      <c r="T408" s="7">
        <f t="shared" si="13"/>
        <v>6.8181818181818177E-2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108</v>
      </c>
      <c r="F409">
        <v>2</v>
      </c>
      <c r="G409">
        <v>625</v>
      </c>
      <c r="H409">
        <v>0</v>
      </c>
      <c r="I409">
        <v>48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0.15905743740795286</v>
      </c>
      <c r="M409" s="4">
        <f>IFERROR(AV_PLAN[[#This Row],[TERMINO REAL ACUMULADO]]/AV_PLAN[[#This Row],[TERMINO PLAN ACUMULADO]],"")</f>
        <v>7.6799999999999993E-2</v>
      </c>
      <c r="N409">
        <f>+AV_PLAN[[#This Row],[PLAN ACUMULADO]]-AV_PLAN[[#This Row],[INICIO REAL ACUMULADO]]</f>
        <v>571</v>
      </c>
      <c r="O409">
        <f>+AV_PLAN[[#This Row],[TERMINO PLAN ACUMULADO]]-AV_PLAN[[#This Row],[TERMINO REAL ACUMULADO]]</f>
        <v>577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0.15340909090909091</v>
      </c>
      <c r="S409" s="7">
        <f>+AV_PLAN[[#This Row],[TERMINO PLAN ACUMULADO]]/$G$471</f>
        <v>0.88778409090909094</v>
      </c>
      <c r="T409" s="7">
        <f t="shared" si="13"/>
        <v>6.8181818181818177E-2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108</v>
      </c>
      <c r="F410">
        <v>3</v>
      </c>
      <c r="G410">
        <v>628</v>
      </c>
      <c r="H410">
        <v>0</v>
      </c>
      <c r="I410">
        <v>48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0.15835777126099707</v>
      </c>
      <c r="M410" s="4">
        <f>IFERROR(AV_PLAN[[#This Row],[TERMINO REAL ACUMULADO]]/AV_PLAN[[#This Row],[TERMINO PLAN ACUMULADO]],"")</f>
        <v>7.6433121019108277E-2</v>
      </c>
      <c r="N410">
        <f>+AV_PLAN[[#This Row],[PLAN ACUMULADO]]-AV_PLAN[[#This Row],[INICIO REAL ACUMULADO]]</f>
        <v>574</v>
      </c>
      <c r="O410">
        <f>+AV_PLAN[[#This Row],[TERMINO PLAN ACUMULADO]]-AV_PLAN[[#This Row],[TERMINO REAL ACUMULADO]]</f>
        <v>580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0.15340909090909091</v>
      </c>
      <c r="S410" s="7">
        <f>+AV_PLAN[[#This Row],[TERMINO PLAN ACUMULADO]]/$G$471</f>
        <v>0.89204545454545459</v>
      </c>
      <c r="T410" s="7">
        <f t="shared" si="13"/>
        <v>6.8181818181818177E-2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108</v>
      </c>
      <c r="F411">
        <v>3</v>
      </c>
      <c r="G411">
        <v>631</v>
      </c>
      <c r="H411">
        <v>0</v>
      </c>
      <c r="I411">
        <v>48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0.15766423357664233</v>
      </c>
      <c r="M411" s="4">
        <f>IFERROR(AV_PLAN[[#This Row],[TERMINO REAL ACUMULADO]]/AV_PLAN[[#This Row],[TERMINO PLAN ACUMULADO]],"")</f>
        <v>7.6069730586370843E-2</v>
      </c>
      <c r="N411">
        <f>+AV_PLAN[[#This Row],[PLAN ACUMULADO]]-AV_PLAN[[#This Row],[INICIO REAL ACUMULADO]]</f>
        <v>577</v>
      </c>
      <c r="O411">
        <f>+AV_PLAN[[#This Row],[TERMINO PLAN ACUMULADO]]-AV_PLAN[[#This Row],[TERMINO REAL ACUMULADO]]</f>
        <v>583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0.15340909090909091</v>
      </c>
      <c r="S411" s="7">
        <f>+AV_PLAN[[#This Row],[TERMINO PLAN ACUMULADO]]/$G$471</f>
        <v>0.89630681818181823</v>
      </c>
      <c r="T411" s="7">
        <f t="shared" si="13"/>
        <v>6.8181818181818177E-2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108</v>
      </c>
      <c r="F412">
        <v>1</v>
      </c>
      <c r="G412">
        <v>632</v>
      </c>
      <c r="H412">
        <v>0</v>
      </c>
      <c r="I412">
        <v>48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0.15697674418604651</v>
      </c>
      <c r="M412" s="4">
        <f>IFERROR(AV_PLAN[[#This Row],[TERMINO REAL ACUMULADO]]/AV_PLAN[[#This Row],[TERMINO PLAN ACUMULADO]],"")</f>
        <v>7.5949367088607597E-2</v>
      </c>
      <c r="N412">
        <f>+AV_PLAN[[#This Row],[PLAN ACUMULADO]]-AV_PLAN[[#This Row],[INICIO REAL ACUMULADO]]</f>
        <v>580</v>
      </c>
      <c r="O412">
        <f>+AV_PLAN[[#This Row],[TERMINO PLAN ACUMULADO]]-AV_PLAN[[#This Row],[TERMINO REAL ACUMULADO]]</f>
        <v>584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0.15340909090909091</v>
      </c>
      <c r="S412" s="7">
        <f>+AV_PLAN[[#This Row],[TERMINO PLAN ACUMULADO]]/$G$471</f>
        <v>0.89772727272727271</v>
      </c>
      <c r="T412" s="7">
        <f t="shared" si="13"/>
        <v>6.8181818181818177E-2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108</v>
      </c>
      <c r="F413">
        <v>1</v>
      </c>
      <c r="G413">
        <v>633</v>
      </c>
      <c r="H413">
        <v>0</v>
      </c>
      <c r="I413">
        <v>48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0.15697674418604651</v>
      </c>
      <c r="M413" s="4">
        <f>IFERROR(AV_PLAN[[#This Row],[TERMINO REAL ACUMULADO]]/AV_PLAN[[#This Row],[TERMINO PLAN ACUMULADO]],"")</f>
        <v>7.582938388625593E-2</v>
      </c>
      <c r="N413">
        <f>+AV_PLAN[[#This Row],[PLAN ACUMULADO]]-AV_PLAN[[#This Row],[INICIO REAL ACUMULADO]]</f>
        <v>580</v>
      </c>
      <c r="O413">
        <f>+AV_PLAN[[#This Row],[TERMINO PLAN ACUMULADO]]-AV_PLAN[[#This Row],[TERMINO REAL ACUMULADO]]</f>
        <v>585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0.15340909090909091</v>
      </c>
      <c r="S413" s="7">
        <f>+AV_PLAN[[#This Row],[TERMINO PLAN ACUMULADO]]/$G$471</f>
        <v>0.89914772727272729</v>
      </c>
      <c r="T413" s="7">
        <f t="shared" si="13"/>
        <v>6.8181818181818177E-2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108</v>
      </c>
      <c r="F414">
        <v>4</v>
      </c>
      <c r="G414">
        <v>637</v>
      </c>
      <c r="H414">
        <v>0</v>
      </c>
      <c r="I414">
        <v>48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0.15697674418604651</v>
      </c>
      <c r="M414" s="4">
        <f>IFERROR(AV_PLAN[[#This Row],[TERMINO REAL ACUMULADO]]/AV_PLAN[[#This Row],[TERMINO PLAN ACUMULADO]],"")</f>
        <v>7.5353218210361061E-2</v>
      </c>
      <c r="N414">
        <f>+AV_PLAN[[#This Row],[PLAN ACUMULADO]]-AV_PLAN[[#This Row],[INICIO REAL ACUMULADO]]</f>
        <v>580</v>
      </c>
      <c r="O414">
        <f>+AV_PLAN[[#This Row],[TERMINO PLAN ACUMULADO]]-AV_PLAN[[#This Row],[TERMINO REAL ACUMULADO]]</f>
        <v>589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0.15340909090909091</v>
      </c>
      <c r="S414" s="7">
        <f>+AV_PLAN[[#This Row],[TERMINO PLAN ACUMULADO]]/$G$471</f>
        <v>0.90482954545454541</v>
      </c>
      <c r="T414" s="7">
        <f t="shared" si="13"/>
        <v>6.8181818181818177E-2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108</v>
      </c>
      <c r="F415">
        <v>2</v>
      </c>
      <c r="G415">
        <v>639</v>
      </c>
      <c r="H415">
        <v>0</v>
      </c>
      <c r="I415">
        <v>48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0.15629522431259044</v>
      </c>
      <c r="M415" s="4">
        <f>IFERROR(AV_PLAN[[#This Row],[TERMINO REAL ACUMULADO]]/AV_PLAN[[#This Row],[TERMINO PLAN ACUMULADO]],"")</f>
        <v>7.5117370892018781E-2</v>
      </c>
      <c r="N415">
        <f>+AV_PLAN[[#This Row],[PLAN ACUMULADO]]-AV_PLAN[[#This Row],[INICIO REAL ACUMULADO]]</f>
        <v>583</v>
      </c>
      <c r="O415">
        <f>+AV_PLAN[[#This Row],[TERMINO PLAN ACUMULADO]]-AV_PLAN[[#This Row],[TERMINO REAL ACUMULADO]]</f>
        <v>591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0.15340909090909091</v>
      </c>
      <c r="S415" s="7">
        <f>+AV_PLAN[[#This Row],[TERMINO PLAN ACUMULADO]]/$G$471</f>
        <v>0.90767045454545459</v>
      </c>
      <c r="T415" s="7">
        <f t="shared" si="13"/>
        <v>6.8181818181818177E-2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108</v>
      </c>
      <c r="F416">
        <v>1</v>
      </c>
      <c r="G416">
        <v>640</v>
      </c>
      <c r="H416">
        <v>0</v>
      </c>
      <c r="I416">
        <v>48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0.15561959654178675</v>
      </c>
      <c r="M416" s="4">
        <f>IFERROR(AV_PLAN[[#This Row],[TERMINO REAL ACUMULADO]]/AV_PLAN[[#This Row],[TERMINO PLAN ACUMULADO]],"")</f>
        <v>7.4999999999999997E-2</v>
      </c>
      <c r="N416">
        <f>+AV_PLAN[[#This Row],[PLAN ACUMULADO]]-AV_PLAN[[#This Row],[INICIO REAL ACUMULADO]]</f>
        <v>586</v>
      </c>
      <c r="O416">
        <f>+AV_PLAN[[#This Row],[TERMINO PLAN ACUMULADO]]-AV_PLAN[[#This Row],[TERMINO REAL ACUMULADO]]</f>
        <v>592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0.15340909090909091</v>
      </c>
      <c r="S416" s="7">
        <f>+AV_PLAN[[#This Row],[TERMINO PLAN ACUMULADO]]/$G$471</f>
        <v>0.90909090909090906</v>
      </c>
      <c r="T416" s="7">
        <f t="shared" si="13"/>
        <v>6.8181818181818177E-2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108</v>
      </c>
      <c r="F417">
        <v>3</v>
      </c>
      <c r="G417">
        <v>643</v>
      </c>
      <c r="H417">
        <v>0</v>
      </c>
      <c r="I417">
        <v>48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0.15494978479196556</v>
      </c>
      <c r="M417" s="4">
        <f>IFERROR(AV_PLAN[[#This Row],[TERMINO REAL ACUMULADO]]/AV_PLAN[[#This Row],[TERMINO PLAN ACUMULADO]],"")</f>
        <v>7.4650077760497674E-2</v>
      </c>
      <c r="N417">
        <f>+AV_PLAN[[#This Row],[PLAN ACUMULADO]]-AV_PLAN[[#This Row],[INICIO REAL ACUMULADO]]</f>
        <v>589</v>
      </c>
      <c r="O417">
        <f>+AV_PLAN[[#This Row],[TERMINO PLAN ACUMULADO]]-AV_PLAN[[#This Row],[TERMINO REAL ACUMULADO]]</f>
        <v>595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0.15340909090909091</v>
      </c>
      <c r="S417" s="7">
        <f>+AV_PLAN[[#This Row],[TERMINO PLAN ACUMULADO]]/$G$471</f>
        <v>0.91335227272727271</v>
      </c>
      <c r="T417" s="7">
        <f t="shared" si="13"/>
        <v>6.8181818181818177E-2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108</v>
      </c>
      <c r="F418">
        <v>3</v>
      </c>
      <c r="G418">
        <v>646</v>
      </c>
      <c r="H418">
        <v>0</v>
      </c>
      <c r="I418">
        <v>48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0.15428571428571428</v>
      </c>
      <c r="M418" s="4">
        <f>IFERROR(AV_PLAN[[#This Row],[TERMINO REAL ACUMULADO]]/AV_PLAN[[#This Row],[TERMINO PLAN ACUMULADO]],"")</f>
        <v>7.4303405572755415E-2</v>
      </c>
      <c r="N418">
        <f>+AV_PLAN[[#This Row],[PLAN ACUMULADO]]-AV_PLAN[[#This Row],[INICIO REAL ACUMULADO]]</f>
        <v>592</v>
      </c>
      <c r="O418">
        <f>+AV_PLAN[[#This Row],[TERMINO PLAN ACUMULADO]]-AV_PLAN[[#This Row],[TERMINO REAL ACUMULADO]]</f>
        <v>598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0.15340909090909091</v>
      </c>
      <c r="S418" s="7">
        <f>+AV_PLAN[[#This Row],[TERMINO PLAN ACUMULADO]]/$G$471</f>
        <v>0.91761363636363635</v>
      </c>
      <c r="T418" s="7">
        <f t="shared" si="13"/>
        <v>6.8181818181818177E-2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108</v>
      </c>
      <c r="F419">
        <v>1</v>
      </c>
      <c r="G419">
        <v>647</v>
      </c>
      <c r="H419">
        <v>0</v>
      </c>
      <c r="I419">
        <v>48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0.15362731152204837</v>
      </c>
      <c r="M419" s="4">
        <f>IFERROR(AV_PLAN[[#This Row],[TERMINO REAL ACUMULADO]]/AV_PLAN[[#This Row],[TERMINO PLAN ACUMULADO]],"")</f>
        <v>7.4188562596599686E-2</v>
      </c>
      <c r="N419">
        <f>+AV_PLAN[[#This Row],[PLAN ACUMULADO]]-AV_PLAN[[#This Row],[INICIO REAL ACUMULADO]]</f>
        <v>595</v>
      </c>
      <c r="O419">
        <f>+AV_PLAN[[#This Row],[TERMINO PLAN ACUMULADO]]-AV_PLAN[[#This Row],[TERMINO REAL ACUMULADO]]</f>
        <v>599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0.15340909090909091</v>
      </c>
      <c r="S419" s="7">
        <f>+AV_PLAN[[#This Row],[TERMINO PLAN ACUMULADO]]/$G$471</f>
        <v>0.91903409090909094</v>
      </c>
      <c r="T419" s="7">
        <f t="shared" si="13"/>
        <v>6.8181818181818177E-2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108</v>
      </c>
      <c r="F420">
        <v>2</v>
      </c>
      <c r="G420">
        <v>649</v>
      </c>
      <c r="H420">
        <v>0</v>
      </c>
      <c r="I420">
        <v>48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0.15362731152204837</v>
      </c>
      <c r="M420" s="4">
        <f>IFERROR(AV_PLAN[[#This Row],[TERMINO REAL ACUMULADO]]/AV_PLAN[[#This Row],[TERMINO PLAN ACUMULADO]],"")</f>
        <v>7.3959938366718034E-2</v>
      </c>
      <c r="N420">
        <f>+AV_PLAN[[#This Row],[PLAN ACUMULADO]]-AV_PLAN[[#This Row],[INICIO REAL ACUMULADO]]</f>
        <v>595</v>
      </c>
      <c r="O420">
        <f>+AV_PLAN[[#This Row],[TERMINO PLAN ACUMULADO]]-AV_PLAN[[#This Row],[TERMINO REAL ACUMULADO]]</f>
        <v>601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0.15340909090909091</v>
      </c>
      <c r="S420" s="7">
        <f>+AV_PLAN[[#This Row],[TERMINO PLAN ACUMULADO]]/$G$471</f>
        <v>0.921875</v>
      </c>
      <c r="T420" s="7">
        <f t="shared" si="13"/>
        <v>6.8181818181818177E-2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108</v>
      </c>
      <c r="F421">
        <v>4</v>
      </c>
      <c r="G421">
        <v>653</v>
      </c>
      <c r="H421">
        <v>0</v>
      </c>
      <c r="I421">
        <v>48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0.15362731152204837</v>
      </c>
      <c r="M421" s="4">
        <f>IFERROR(AV_PLAN[[#This Row],[TERMINO REAL ACUMULADO]]/AV_PLAN[[#This Row],[TERMINO PLAN ACUMULADO]],"")</f>
        <v>7.3506891271056668E-2</v>
      </c>
      <c r="N421">
        <f>+AV_PLAN[[#This Row],[PLAN ACUMULADO]]-AV_PLAN[[#This Row],[INICIO REAL ACUMULADO]]</f>
        <v>595</v>
      </c>
      <c r="O421">
        <f>+AV_PLAN[[#This Row],[TERMINO PLAN ACUMULADO]]-AV_PLAN[[#This Row],[TERMINO REAL ACUMULADO]]</f>
        <v>605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0.15340909090909091</v>
      </c>
      <c r="S421" s="7">
        <f>+AV_PLAN[[#This Row],[TERMINO PLAN ACUMULADO]]/$G$471</f>
        <v>0.92755681818181823</v>
      </c>
      <c r="T421" s="7">
        <f t="shared" si="13"/>
        <v>6.8181818181818177E-2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108</v>
      </c>
      <c r="F422">
        <v>1</v>
      </c>
      <c r="G422">
        <v>654</v>
      </c>
      <c r="H422">
        <v>0</v>
      </c>
      <c r="I422">
        <v>48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0.15340909090909091</v>
      </c>
      <c r="M422" s="4">
        <f>IFERROR(AV_PLAN[[#This Row],[TERMINO REAL ACUMULADO]]/AV_PLAN[[#This Row],[TERMINO PLAN ACUMULADO]],"")</f>
        <v>7.3394495412844041E-2</v>
      </c>
      <c r="N422">
        <f>+AV_PLAN[[#This Row],[PLAN ACUMULADO]]-AV_PLAN[[#This Row],[INICIO REAL ACUMULADO]]</f>
        <v>596</v>
      </c>
      <c r="O422">
        <f>+AV_PLAN[[#This Row],[TERMINO PLAN ACUMULADO]]-AV_PLAN[[#This Row],[TERMINO REAL ACUMULADO]]</f>
        <v>606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0.15340909090909091</v>
      </c>
      <c r="S422" s="7">
        <f>+AV_PLAN[[#This Row],[TERMINO PLAN ACUMULADO]]/$G$471</f>
        <v>0.92897727272727271</v>
      </c>
      <c r="T422" s="7">
        <f t="shared" si="13"/>
        <v>6.8181818181818177E-2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108</v>
      </c>
      <c r="F423">
        <v>1</v>
      </c>
      <c r="G423">
        <v>655</v>
      </c>
      <c r="H423">
        <v>0</v>
      </c>
      <c r="I423">
        <v>48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0.15340909090909091</v>
      </c>
      <c r="M423" s="4">
        <f>IFERROR(AV_PLAN[[#This Row],[TERMINO REAL ACUMULADO]]/AV_PLAN[[#This Row],[TERMINO PLAN ACUMULADO]],"")</f>
        <v>7.3282442748091606E-2</v>
      </c>
      <c r="N423">
        <f>+AV_PLAN[[#This Row],[PLAN ACUMULADO]]-AV_PLAN[[#This Row],[INICIO REAL ACUMULADO]]</f>
        <v>596</v>
      </c>
      <c r="O423">
        <f>+AV_PLAN[[#This Row],[TERMINO PLAN ACUMULADO]]-AV_PLAN[[#This Row],[TERMINO REAL ACUMULADO]]</f>
        <v>607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0.15340909090909091</v>
      </c>
      <c r="S423" s="7">
        <f>+AV_PLAN[[#This Row],[TERMINO PLAN ACUMULADO]]/$G$471</f>
        <v>0.93039772727272729</v>
      </c>
      <c r="T423" s="7">
        <f t="shared" si="13"/>
        <v>6.8181818181818177E-2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108</v>
      </c>
      <c r="F424">
        <v>3</v>
      </c>
      <c r="G424">
        <v>658</v>
      </c>
      <c r="H424">
        <v>0</v>
      </c>
      <c r="I424">
        <v>48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0.15340909090909091</v>
      </c>
      <c r="M424" s="4">
        <f>IFERROR(AV_PLAN[[#This Row],[TERMINO REAL ACUMULADO]]/AV_PLAN[[#This Row],[TERMINO PLAN ACUMULADO]],"")</f>
        <v>7.29483282674772E-2</v>
      </c>
      <c r="N424">
        <f>+AV_PLAN[[#This Row],[PLAN ACUMULADO]]-AV_PLAN[[#This Row],[INICIO REAL ACUMULADO]]</f>
        <v>596</v>
      </c>
      <c r="O424">
        <f>+AV_PLAN[[#This Row],[TERMINO PLAN ACUMULADO]]-AV_PLAN[[#This Row],[TERMINO REAL ACUMULADO]]</f>
        <v>610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0.15340909090909091</v>
      </c>
      <c r="S424" s="7">
        <f>+AV_PLAN[[#This Row],[TERMINO PLAN ACUMULADO]]/$G$471</f>
        <v>0.93465909090909094</v>
      </c>
      <c r="T424" s="7">
        <f t="shared" si="13"/>
        <v>6.8181818181818177E-2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108</v>
      </c>
      <c r="F425">
        <v>3</v>
      </c>
      <c r="G425">
        <v>661</v>
      </c>
      <c r="H425">
        <v>0</v>
      </c>
      <c r="I425">
        <v>48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0.15340909090909091</v>
      </c>
      <c r="M425" s="4">
        <f>IFERROR(AV_PLAN[[#This Row],[TERMINO REAL ACUMULADO]]/AV_PLAN[[#This Row],[TERMINO PLAN ACUMULADO]],"")</f>
        <v>7.2617246596066568E-2</v>
      </c>
      <c r="N425">
        <f>+AV_PLAN[[#This Row],[PLAN ACUMULADO]]-AV_PLAN[[#This Row],[INICIO REAL ACUMULADO]]</f>
        <v>596</v>
      </c>
      <c r="O425">
        <f>+AV_PLAN[[#This Row],[TERMINO PLAN ACUMULADO]]-AV_PLAN[[#This Row],[TERMINO REAL ACUMULADO]]</f>
        <v>613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0.15340909090909091</v>
      </c>
      <c r="S425" s="7">
        <f>+AV_PLAN[[#This Row],[TERMINO PLAN ACUMULADO]]/$G$471</f>
        <v>0.93892045454545459</v>
      </c>
      <c r="T425" s="7">
        <f t="shared" si="13"/>
        <v>6.8181818181818177E-2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108</v>
      </c>
      <c r="F426">
        <v>2</v>
      </c>
      <c r="G426">
        <v>663</v>
      </c>
      <c r="H426">
        <v>0</v>
      </c>
      <c r="I426">
        <v>48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0.15340909090909091</v>
      </c>
      <c r="M426" s="4">
        <f>IFERROR(AV_PLAN[[#This Row],[TERMINO REAL ACUMULADO]]/AV_PLAN[[#This Row],[TERMINO PLAN ACUMULADO]],"")</f>
        <v>7.2398190045248875E-2</v>
      </c>
      <c r="N426">
        <f>+AV_PLAN[[#This Row],[PLAN ACUMULADO]]-AV_PLAN[[#This Row],[INICIO REAL ACUMULADO]]</f>
        <v>596</v>
      </c>
      <c r="O426">
        <f>+AV_PLAN[[#This Row],[TERMINO PLAN ACUMULADO]]-AV_PLAN[[#This Row],[TERMINO REAL ACUMULADO]]</f>
        <v>615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0.15340909090909091</v>
      </c>
      <c r="S426" s="7">
        <f>+AV_PLAN[[#This Row],[TERMINO PLAN ACUMULADO]]/$G$471</f>
        <v>0.94176136363636365</v>
      </c>
      <c r="T426" s="7">
        <f t="shared" si="13"/>
        <v>6.8181818181818177E-2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108</v>
      </c>
      <c r="F427">
        <v>2</v>
      </c>
      <c r="G427">
        <v>665</v>
      </c>
      <c r="H427">
        <v>0</v>
      </c>
      <c r="I427">
        <v>48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0.15340909090909091</v>
      </c>
      <c r="M427" s="4">
        <f>IFERROR(AV_PLAN[[#This Row],[TERMINO REAL ACUMULADO]]/AV_PLAN[[#This Row],[TERMINO PLAN ACUMULADO]],"")</f>
        <v>7.2180451127819553E-2</v>
      </c>
      <c r="N427">
        <f>+AV_PLAN[[#This Row],[PLAN ACUMULADO]]-AV_PLAN[[#This Row],[INICIO REAL ACUMULADO]]</f>
        <v>596</v>
      </c>
      <c r="O427">
        <f>+AV_PLAN[[#This Row],[TERMINO PLAN ACUMULADO]]-AV_PLAN[[#This Row],[TERMINO REAL ACUMULADO]]</f>
        <v>617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0.15340909090909091</v>
      </c>
      <c r="S427" s="7">
        <f>+AV_PLAN[[#This Row],[TERMINO PLAN ACUMULADO]]/$G$471</f>
        <v>0.94460227272727271</v>
      </c>
      <c r="T427" s="7">
        <f t="shared" si="13"/>
        <v>6.8181818181818177E-2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108</v>
      </c>
      <c r="F428">
        <v>2</v>
      </c>
      <c r="G428">
        <v>667</v>
      </c>
      <c r="H428">
        <v>0</v>
      </c>
      <c r="I428">
        <v>48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0.15340909090909091</v>
      </c>
      <c r="M428" s="4">
        <f>IFERROR(AV_PLAN[[#This Row],[TERMINO REAL ACUMULADO]]/AV_PLAN[[#This Row],[TERMINO PLAN ACUMULADO]],"")</f>
        <v>7.1964017991004492E-2</v>
      </c>
      <c r="N428">
        <f>+AV_PLAN[[#This Row],[PLAN ACUMULADO]]-AV_PLAN[[#This Row],[INICIO REAL ACUMULADO]]</f>
        <v>596</v>
      </c>
      <c r="O428">
        <f>+AV_PLAN[[#This Row],[TERMINO PLAN ACUMULADO]]-AV_PLAN[[#This Row],[TERMINO REAL ACUMULADO]]</f>
        <v>619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0.15340909090909091</v>
      </c>
      <c r="S428" s="7">
        <f>+AV_PLAN[[#This Row],[TERMINO PLAN ACUMULADO]]/$G$471</f>
        <v>0.94744318181818177</v>
      </c>
      <c r="T428" s="7">
        <f t="shared" si="13"/>
        <v>6.8181818181818177E-2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108</v>
      </c>
      <c r="F429">
        <v>1</v>
      </c>
      <c r="G429">
        <v>668</v>
      </c>
      <c r="H429">
        <v>0</v>
      </c>
      <c r="I429">
        <v>48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0.15340909090909091</v>
      </c>
      <c r="M429" s="4">
        <f>IFERROR(AV_PLAN[[#This Row],[TERMINO REAL ACUMULADO]]/AV_PLAN[[#This Row],[TERMINO PLAN ACUMULADO]],"")</f>
        <v>7.1856287425149698E-2</v>
      </c>
      <c r="N429">
        <f>+AV_PLAN[[#This Row],[PLAN ACUMULADO]]-AV_PLAN[[#This Row],[INICIO REAL ACUMULADO]]</f>
        <v>596</v>
      </c>
      <c r="O429">
        <f>+AV_PLAN[[#This Row],[TERMINO PLAN ACUMULADO]]-AV_PLAN[[#This Row],[TERMINO REAL ACUMULADO]]</f>
        <v>620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0.15340909090909091</v>
      </c>
      <c r="S429" s="7">
        <f>+AV_PLAN[[#This Row],[TERMINO PLAN ACUMULADO]]/$G$471</f>
        <v>0.94886363636363635</v>
      </c>
      <c r="T429" s="7">
        <f t="shared" si="13"/>
        <v>6.8181818181818177E-2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108</v>
      </c>
      <c r="F430">
        <v>2</v>
      </c>
      <c r="G430">
        <v>670</v>
      </c>
      <c r="H430">
        <v>0</v>
      </c>
      <c r="I430">
        <v>48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0.15340909090909091</v>
      </c>
      <c r="M430" s="4">
        <f>IFERROR(AV_PLAN[[#This Row],[TERMINO REAL ACUMULADO]]/AV_PLAN[[#This Row],[TERMINO PLAN ACUMULADO]],"")</f>
        <v>7.1641791044776124E-2</v>
      </c>
      <c r="N430">
        <f>+AV_PLAN[[#This Row],[PLAN ACUMULADO]]-AV_PLAN[[#This Row],[INICIO REAL ACUMULADO]]</f>
        <v>596</v>
      </c>
      <c r="O430">
        <f>+AV_PLAN[[#This Row],[TERMINO PLAN ACUMULADO]]-AV_PLAN[[#This Row],[TERMINO REAL ACUMULADO]]</f>
        <v>622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0.15340909090909091</v>
      </c>
      <c r="S430" s="7">
        <f>+AV_PLAN[[#This Row],[TERMINO PLAN ACUMULADO]]/$G$471</f>
        <v>0.95170454545454541</v>
      </c>
      <c r="T430" s="7">
        <f t="shared" si="13"/>
        <v>6.8181818181818177E-2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108</v>
      </c>
      <c r="F431">
        <v>3</v>
      </c>
      <c r="G431">
        <v>673</v>
      </c>
      <c r="H431">
        <v>0</v>
      </c>
      <c r="I431">
        <v>48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0.15340909090909091</v>
      </c>
      <c r="M431" s="4">
        <f>IFERROR(AV_PLAN[[#This Row],[TERMINO REAL ACUMULADO]]/AV_PLAN[[#This Row],[TERMINO PLAN ACUMULADO]],"")</f>
        <v>7.1322436849925702E-2</v>
      </c>
      <c r="N431">
        <f>+AV_PLAN[[#This Row],[PLAN ACUMULADO]]-AV_PLAN[[#This Row],[INICIO REAL ACUMULADO]]</f>
        <v>596</v>
      </c>
      <c r="O431">
        <f>+AV_PLAN[[#This Row],[TERMINO PLAN ACUMULADO]]-AV_PLAN[[#This Row],[TERMINO REAL ACUMULADO]]</f>
        <v>625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0.15340909090909091</v>
      </c>
      <c r="S431" s="7">
        <f>+AV_PLAN[[#This Row],[TERMINO PLAN ACUMULADO]]/$G$471</f>
        <v>0.95596590909090906</v>
      </c>
      <c r="T431" s="7">
        <f t="shared" si="13"/>
        <v>6.8181818181818177E-2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108</v>
      </c>
      <c r="F432">
        <v>3</v>
      </c>
      <c r="G432">
        <v>676</v>
      </c>
      <c r="H432">
        <v>0</v>
      </c>
      <c r="I432">
        <v>48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0.15340909090909091</v>
      </c>
      <c r="M432" s="4">
        <f>IFERROR(AV_PLAN[[#This Row],[TERMINO REAL ACUMULADO]]/AV_PLAN[[#This Row],[TERMINO PLAN ACUMULADO]],"")</f>
        <v>7.1005917159763315E-2</v>
      </c>
      <c r="N432">
        <f>+AV_PLAN[[#This Row],[PLAN ACUMULADO]]-AV_PLAN[[#This Row],[INICIO REAL ACUMULADO]]</f>
        <v>596</v>
      </c>
      <c r="O432">
        <f>+AV_PLAN[[#This Row],[TERMINO PLAN ACUMULADO]]-AV_PLAN[[#This Row],[TERMINO REAL ACUMULADO]]</f>
        <v>628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0.15340909090909091</v>
      </c>
      <c r="S432" s="7">
        <f>+AV_PLAN[[#This Row],[TERMINO PLAN ACUMULADO]]/$G$471</f>
        <v>0.96022727272727271</v>
      </c>
      <c r="T432" s="7">
        <f t="shared" si="13"/>
        <v>6.8181818181818177E-2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108</v>
      </c>
      <c r="F433">
        <v>2</v>
      </c>
      <c r="G433">
        <v>678</v>
      </c>
      <c r="H433">
        <v>0</v>
      </c>
      <c r="I433">
        <v>48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0.15340909090909091</v>
      </c>
      <c r="M433" s="4">
        <f>IFERROR(AV_PLAN[[#This Row],[TERMINO REAL ACUMULADO]]/AV_PLAN[[#This Row],[TERMINO PLAN ACUMULADO]],"")</f>
        <v>7.0796460176991149E-2</v>
      </c>
      <c r="N433">
        <f>+AV_PLAN[[#This Row],[PLAN ACUMULADO]]-AV_PLAN[[#This Row],[INICIO REAL ACUMULADO]]</f>
        <v>596</v>
      </c>
      <c r="O433">
        <f>+AV_PLAN[[#This Row],[TERMINO PLAN ACUMULADO]]-AV_PLAN[[#This Row],[TERMINO REAL ACUMULADO]]</f>
        <v>630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0.15340909090909091</v>
      </c>
      <c r="S433" s="7">
        <f>+AV_PLAN[[#This Row],[TERMINO PLAN ACUMULADO]]/$G$471</f>
        <v>0.96306818181818177</v>
      </c>
      <c r="T433" s="7">
        <f t="shared" si="13"/>
        <v>6.8181818181818177E-2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108</v>
      </c>
      <c r="F434">
        <v>1</v>
      </c>
      <c r="G434">
        <v>679</v>
      </c>
      <c r="H434">
        <v>0</v>
      </c>
      <c r="I434">
        <v>48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0.15340909090909091</v>
      </c>
      <c r="M434" s="4">
        <f>IFERROR(AV_PLAN[[#This Row],[TERMINO REAL ACUMULADO]]/AV_PLAN[[#This Row],[TERMINO PLAN ACUMULADO]],"")</f>
        <v>7.0692194403534608E-2</v>
      </c>
      <c r="N434">
        <f>+AV_PLAN[[#This Row],[PLAN ACUMULADO]]-AV_PLAN[[#This Row],[INICIO REAL ACUMULADO]]</f>
        <v>596</v>
      </c>
      <c r="O434">
        <f>+AV_PLAN[[#This Row],[TERMINO PLAN ACUMULADO]]-AV_PLAN[[#This Row],[TERMINO REAL ACUMULADO]]</f>
        <v>631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0.15340909090909091</v>
      </c>
      <c r="S434" s="7">
        <f>+AV_PLAN[[#This Row],[TERMINO PLAN ACUMULADO]]/$G$471</f>
        <v>0.96448863636363635</v>
      </c>
      <c r="T434" s="7">
        <f t="shared" si="13"/>
        <v>6.8181818181818177E-2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108</v>
      </c>
      <c r="F435">
        <v>2</v>
      </c>
      <c r="G435">
        <v>681</v>
      </c>
      <c r="H435">
        <v>0</v>
      </c>
      <c r="I435">
        <v>48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0.15340909090909091</v>
      </c>
      <c r="M435" s="4">
        <f>IFERROR(AV_PLAN[[#This Row],[TERMINO REAL ACUMULADO]]/AV_PLAN[[#This Row],[TERMINO PLAN ACUMULADO]],"")</f>
        <v>7.0484581497797363E-2</v>
      </c>
      <c r="N435">
        <f>+AV_PLAN[[#This Row],[PLAN ACUMULADO]]-AV_PLAN[[#This Row],[INICIO REAL ACUMULADO]]</f>
        <v>596</v>
      </c>
      <c r="O435">
        <f>+AV_PLAN[[#This Row],[TERMINO PLAN ACUMULADO]]-AV_PLAN[[#This Row],[TERMINO REAL ACUMULADO]]</f>
        <v>633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0.15340909090909091</v>
      </c>
      <c r="S435" s="7">
        <f>+AV_PLAN[[#This Row],[TERMINO PLAN ACUMULADO]]/$G$471</f>
        <v>0.96732954545454541</v>
      </c>
      <c r="T435" s="7">
        <f t="shared" si="13"/>
        <v>6.8181818181818177E-2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108</v>
      </c>
      <c r="F436">
        <v>2</v>
      </c>
      <c r="G436">
        <v>683</v>
      </c>
      <c r="H436">
        <v>0</v>
      </c>
      <c r="I436">
        <v>48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0.15340909090909091</v>
      </c>
      <c r="M436" s="4">
        <f>IFERROR(AV_PLAN[[#This Row],[TERMINO REAL ACUMULADO]]/AV_PLAN[[#This Row],[TERMINO PLAN ACUMULADO]],"")</f>
        <v>7.0278184480234263E-2</v>
      </c>
      <c r="N436">
        <f>+AV_PLAN[[#This Row],[PLAN ACUMULADO]]-AV_PLAN[[#This Row],[INICIO REAL ACUMULADO]]</f>
        <v>596</v>
      </c>
      <c r="O436">
        <f>+AV_PLAN[[#This Row],[TERMINO PLAN ACUMULADO]]-AV_PLAN[[#This Row],[TERMINO REAL ACUMULADO]]</f>
        <v>635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0.15340909090909091</v>
      </c>
      <c r="S436" s="7">
        <f>+AV_PLAN[[#This Row],[TERMINO PLAN ACUMULADO]]/$G$471</f>
        <v>0.97017045454545459</v>
      </c>
      <c r="T436" s="7">
        <f t="shared" si="13"/>
        <v>6.8181818181818177E-2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108</v>
      </c>
      <c r="F437">
        <v>2</v>
      </c>
      <c r="G437">
        <v>685</v>
      </c>
      <c r="H437">
        <v>0</v>
      </c>
      <c r="I437">
        <v>48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0.15340909090909091</v>
      </c>
      <c r="M437" s="4">
        <f>IFERROR(AV_PLAN[[#This Row],[TERMINO REAL ACUMULADO]]/AV_PLAN[[#This Row],[TERMINO PLAN ACUMULADO]],"")</f>
        <v>7.0072992700729933E-2</v>
      </c>
      <c r="N437">
        <f>+AV_PLAN[[#This Row],[PLAN ACUMULADO]]-AV_PLAN[[#This Row],[INICIO REAL ACUMULADO]]</f>
        <v>596</v>
      </c>
      <c r="O437">
        <f>+AV_PLAN[[#This Row],[TERMINO PLAN ACUMULADO]]-AV_PLAN[[#This Row],[TERMINO REAL ACUMULADO]]</f>
        <v>637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0.15340909090909091</v>
      </c>
      <c r="S437" s="7">
        <f>+AV_PLAN[[#This Row],[TERMINO PLAN ACUMULADO]]/$G$471</f>
        <v>0.97301136363636365</v>
      </c>
      <c r="T437" s="7">
        <f t="shared" si="13"/>
        <v>6.8181818181818177E-2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108</v>
      </c>
      <c r="F438">
        <v>3</v>
      </c>
      <c r="G438">
        <v>688</v>
      </c>
      <c r="H438">
        <v>0</v>
      </c>
      <c r="I438">
        <v>48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0.15340909090909091</v>
      </c>
      <c r="M438" s="4">
        <f>IFERROR(AV_PLAN[[#This Row],[TERMINO REAL ACUMULADO]]/AV_PLAN[[#This Row],[TERMINO PLAN ACUMULADO]],"")</f>
        <v>6.9767441860465115E-2</v>
      </c>
      <c r="N438">
        <f>+AV_PLAN[[#This Row],[PLAN ACUMULADO]]-AV_PLAN[[#This Row],[INICIO REAL ACUMULADO]]</f>
        <v>596</v>
      </c>
      <c r="O438">
        <f>+AV_PLAN[[#This Row],[TERMINO PLAN ACUMULADO]]-AV_PLAN[[#This Row],[TERMINO REAL ACUMULADO]]</f>
        <v>640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0.15340909090909091</v>
      </c>
      <c r="S438" s="7">
        <f>+AV_PLAN[[#This Row],[TERMINO PLAN ACUMULADO]]/$G$471</f>
        <v>0.97727272727272729</v>
      </c>
      <c r="T438" s="7">
        <f t="shared" si="13"/>
        <v>6.8181818181818177E-2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108</v>
      </c>
      <c r="F439">
        <v>3</v>
      </c>
      <c r="G439">
        <v>691</v>
      </c>
      <c r="H439">
        <v>0</v>
      </c>
      <c r="I439">
        <v>48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0.15340909090909091</v>
      </c>
      <c r="M439" s="4">
        <f>IFERROR(AV_PLAN[[#This Row],[TERMINO REAL ACUMULADO]]/AV_PLAN[[#This Row],[TERMINO PLAN ACUMULADO]],"")</f>
        <v>6.9464544138929094E-2</v>
      </c>
      <c r="N439">
        <f>+AV_PLAN[[#This Row],[PLAN ACUMULADO]]-AV_PLAN[[#This Row],[INICIO REAL ACUMULADO]]</f>
        <v>596</v>
      </c>
      <c r="O439">
        <f>+AV_PLAN[[#This Row],[TERMINO PLAN ACUMULADO]]-AV_PLAN[[#This Row],[TERMINO REAL ACUMULADO]]</f>
        <v>643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0.15340909090909091</v>
      </c>
      <c r="S439" s="7">
        <f>+AV_PLAN[[#This Row],[TERMINO PLAN ACUMULADO]]/$G$471</f>
        <v>0.98153409090909094</v>
      </c>
      <c r="T439" s="7">
        <f t="shared" si="13"/>
        <v>6.8181818181818177E-2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108</v>
      </c>
      <c r="F440">
        <v>1</v>
      </c>
      <c r="G440">
        <v>692</v>
      </c>
      <c r="H440">
        <v>0</v>
      </c>
      <c r="I440">
        <v>48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0.15340909090909091</v>
      </c>
      <c r="M440" s="4">
        <f>IFERROR(AV_PLAN[[#This Row],[TERMINO REAL ACUMULADO]]/AV_PLAN[[#This Row],[TERMINO PLAN ACUMULADO]],"")</f>
        <v>6.9364161849710976E-2</v>
      </c>
      <c r="N440">
        <f>+AV_PLAN[[#This Row],[PLAN ACUMULADO]]-AV_PLAN[[#This Row],[INICIO REAL ACUMULADO]]</f>
        <v>596</v>
      </c>
      <c r="O440">
        <f>+AV_PLAN[[#This Row],[TERMINO PLAN ACUMULADO]]-AV_PLAN[[#This Row],[TERMINO REAL ACUMULADO]]</f>
        <v>644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0.15340909090909091</v>
      </c>
      <c r="S440" s="7">
        <f>+AV_PLAN[[#This Row],[TERMINO PLAN ACUMULADO]]/$G$471</f>
        <v>0.98295454545454541</v>
      </c>
      <c r="T440" s="7">
        <f t="shared" si="13"/>
        <v>6.8181818181818177E-2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108</v>
      </c>
      <c r="F441">
        <v>1</v>
      </c>
      <c r="G441">
        <v>693</v>
      </c>
      <c r="H441">
        <v>0</v>
      </c>
      <c r="I441">
        <v>48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0.15340909090909091</v>
      </c>
      <c r="M441" s="4">
        <f>IFERROR(AV_PLAN[[#This Row],[TERMINO REAL ACUMULADO]]/AV_PLAN[[#This Row],[TERMINO PLAN ACUMULADO]],"")</f>
        <v>6.9264069264069264E-2</v>
      </c>
      <c r="N441">
        <f>+AV_PLAN[[#This Row],[PLAN ACUMULADO]]-AV_PLAN[[#This Row],[INICIO REAL ACUMULADO]]</f>
        <v>596</v>
      </c>
      <c r="O441">
        <f>+AV_PLAN[[#This Row],[TERMINO PLAN ACUMULADO]]-AV_PLAN[[#This Row],[TERMINO REAL ACUMULADO]]</f>
        <v>645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0.15340909090909091</v>
      </c>
      <c r="S441" s="7">
        <f>+AV_PLAN[[#This Row],[TERMINO PLAN ACUMULADO]]/$G$471</f>
        <v>0.984375</v>
      </c>
      <c r="T441" s="7">
        <f t="shared" si="13"/>
        <v>6.8181818181818177E-2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108</v>
      </c>
      <c r="F442">
        <v>3</v>
      </c>
      <c r="G442">
        <v>696</v>
      </c>
      <c r="H442">
        <v>0</v>
      </c>
      <c r="I442">
        <v>48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0.15340909090909091</v>
      </c>
      <c r="M442" s="4">
        <f>IFERROR(AV_PLAN[[#This Row],[TERMINO REAL ACUMULADO]]/AV_PLAN[[#This Row],[TERMINO PLAN ACUMULADO]],"")</f>
        <v>6.8965517241379309E-2</v>
      </c>
      <c r="N442">
        <f>+AV_PLAN[[#This Row],[PLAN ACUMULADO]]-AV_PLAN[[#This Row],[INICIO REAL ACUMULADO]]</f>
        <v>596</v>
      </c>
      <c r="O442">
        <f>+AV_PLAN[[#This Row],[TERMINO PLAN ACUMULADO]]-AV_PLAN[[#This Row],[TERMINO REAL ACUMULADO]]</f>
        <v>648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0.15340909090909091</v>
      </c>
      <c r="S442" s="7">
        <f>+AV_PLAN[[#This Row],[TERMINO PLAN ACUMULADO]]/$G$471</f>
        <v>0.98863636363636365</v>
      </c>
      <c r="T442" s="7">
        <f t="shared" si="13"/>
        <v>6.8181818181818177E-2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108</v>
      </c>
      <c r="F443">
        <v>0</v>
      </c>
      <c r="G443">
        <v>696</v>
      </c>
      <c r="H443">
        <v>0</v>
      </c>
      <c r="I443">
        <v>48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0.15340909090909091</v>
      </c>
      <c r="M443" s="4">
        <f>IFERROR(AV_PLAN[[#This Row],[TERMINO REAL ACUMULADO]]/AV_PLAN[[#This Row],[TERMINO PLAN ACUMULADO]],"")</f>
        <v>6.8965517241379309E-2</v>
      </c>
      <c r="N443">
        <f>+AV_PLAN[[#This Row],[PLAN ACUMULADO]]-AV_PLAN[[#This Row],[INICIO REAL ACUMULADO]]</f>
        <v>596</v>
      </c>
      <c r="O443">
        <f>+AV_PLAN[[#This Row],[TERMINO PLAN ACUMULADO]]-AV_PLAN[[#This Row],[TERMINO REAL ACUMULADO]]</f>
        <v>648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0.15340909090909091</v>
      </c>
      <c r="S443" s="7">
        <f>+AV_PLAN[[#This Row],[TERMINO PLAN ACUMULADO]]/$G$471</f>
        <v>0.98863636363636365</v>
      </c>
      <c r="T443" s="7">
        <f t="shared" si="13"/>
        <v>6.8181818181818177E-2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108</v>
      </c>
      <c r="F444">
        <v>0</v>
      </c>
      <c r="G444">
        <v>696</v>
      </c>
      <c r="H444">
        <v>0</v>
      </c>
      <c r="I444">
        <v>48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0.15340909090909091</v>
      </c>
      <c r="M444" s="4">
        <f>IFERROR(AV_PLAN[[#This Row],[TERMINO REAL ACUMULADO]]/AV_PLAN[[#This Row],[TERMINO PLAN ACUMULADO]],"")</f>
        <v>6.8965517241379309E-2</v>
      </c>
      <c r="N444">
        <f>+AV_PLAN[[#This Row],[PLAN ACUMULADO]]-AV_PLAN[[#This Row],[INICIO REAL ACUMULADO]]</f>
        <v>596</v>
      </c>
      <c r="O444">
        <f>+AV_PLAN[[#This Row],[TERMINO PLAN ACUMULADO]]-AV_PLAN[[#This Row],[TERMINO REAL ACUMULADO]]</f>
        <v>648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0.15340909090909091</v>
      </c>
      <c r="S444" s="7">
        <f>+AV_PLAN[[#This Row],[TERMINO PLAN ACUMULADO]]/$G$471</f>
        <v>0.98863636363636365</v>
      </c>
      <c r="T444" s="7">
        <f t="shared" si="13"/>
        <v>6.8181818181818177E-2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108</v>
      </c>
      <c r="F445">
        <v>2</v>
      </c>
      <c r="G445">
        <v>698</v>
      </c>
      <c r="H445">
        <v>0</v>
      </c>
      <c r="I445">
        <v>48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0.15340909090909091</v>
      </c>
      <c r="M445" s="4">
        <f>IFERROR(AV_PLAN[[#This Row],[TERMINO REAL ACUMULADO]]/AV_PLAN[[#This Row],[TERMINO PLAN ACUMULADO]],"")</f>
        <v>6.8767908309455589E-2</v>
      </c>
      <c r="N445">
        <f>+AV_PLAN[[#This Row],[PLAN ACUMULADO]]-AV_PLAN[[#This Row],[INICIO REAL ACUMULADO]]</f>
        <v>596</v>
      </c>
      <c r="O445">
        <f>+AV_PLAN[[#This Row],[TERMINO PLAN ACUMULADO]]-AV_PLAN[[#This Row],[TERMINO REAL ACUMULADO]]</f>
        <v>650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0.15340909090909091</v>
      </c>
      <c r="S445" s="7">
        <f>+AV_PLAN[[#This Row],[TERMINO PLAN ACUMULADO]]/$G$471</f>
        <v>0.99147727272727271</v>
      </c>
      <c r="T445" s="7">
        <f t="shared" si="13"/>
        <v>6.8181818181818177E-2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108</v>
      </c>
      <c r="F446">
        <v>1</v>
      </c>
      <c r="G446">
        <v>699</v>
      </c>
      <c r="H446">
        <v>0</v>
      </c>
      <c r="I446">
        <v>48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0.15340909090909091</v>
      </c>
      <c r="M446" s="4">
        <f>IFERROR(AV_PLAN[[#This Row],[TERMINO REAL ACUMULADO]]/AV_PLAN[[#This Row],[TERMINO PLAN ACUMULADO]],"")</f>
        <v>6.8669527896995708E-2</v>
      </c>
      <c r="N446">
        <f>+AV_PLAN[[#This Row],[PLAN ACUMULADO]]-AV_PLAN[[#This Row],[INICIO REAL ACUMULADO]]</f>
        <v>596</v>
      </c>
      <c r="O446">
        <f>+AV_PLAN[[#This Row],[TERMINO PLAN ACUMULADO]]-AV_PLAN[[#This Row],[TERMINO REAL ACUMULADO]]</f>
        <v>651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0.15340909090909091</v>
      </c>
      <c r="S446" s="7">
        <f>+AV_PLAN[[#This Row],[TERMINO PLAN ACUMULADO]]/$G$471</f>
        <v>0.99289772727272729</v>
      </c>
      <c r="T446" s="7">
        <f t="shared" si="13"/>
        <v>6.8181818181818177E-2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108</v>
      </c>
      <c r="F447">
        <v>1</v>
      </c>
      <c r="G447">
        <v>700</v>
      </c>
      <c r="H447">
        <v>0</v>
      </c>
      <c r="I447">
        <v>48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0.15340909090909091</v>
      </c>
      <c r="M447" s="4">
        <f>IFERROR(AV_PLAN[[#This Row],[TERMINO REAL ACUMULADO]]/AV_PLAN[[#This Row],[TERMINO PLAN ACUMULADO]],"")</f>
        <v>6.8571428571428575E-2</v>
      </c>
      <c r="N447">
        <f>+AV_PLAN[[#This Row],[PLAN ACUMULADO]]-AV_PLAN[[#This Row],[INICIO REAL ACUMULADO]]</f>
        <v>596</v>
      </c>
      <c r="O447">
        <f>+AV_PLAN[[#This Row],[TERMINO PLAN ACUMULADO]]-AV_PLAN[[#This Row],[TERMINO REAL ACUMULADO]]</f>
        <v>652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0.15340909090909091</v>
      </c>
      <c r="S447" s="7">
        <f>+AV_PLAN[[#This Row],[TERMINO PLAN ACUMULADO]]/$G$471</f>
        <v>0.99431818181818177</v>
      </c>
      <c r="T447" s="7">
        <f t="shared" si="13"/>
        <v>6.8181818181818177E-2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108</v>
      </c>
      <c r="F448">
        <v>2</v>
      </c>
      <c r="G448">
        <v>702</v>
      </c>
      <c r="H448">
        <v>0</v>
      </c>
      <c r="I448">
        <v>48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0.15340909090909091</v>
      </c>
      <c r="M448" s="4">
        <f>IFERROR(AV_PLAN[[#This Row],[TERMINO REAL ACUMULADO]]/AV_PLAN[[#This Row],[TERMINO PLAN ACUMULADO]],"")</f>
        <v>6.8376068376068383E-2</v>
      </c>
      <c r="N448">
        <f>+AV_PLAN[[#This Row],[PLAN ACUMULADO]]-AV_PLAN[[#This Row],[INICIO REAL ACUMULADO]]</f>
        <v>596</v>
      </c>
      <c r="O448">
        <f>+AV_PLAN[[#This Row],[TERMINO PLAN ACUMULADO]]-AV_PLAN[[#This Row],[TERMINO REAL ACUMULADO]]</f>
        <v>654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0.15340909090909091</v>
      </c>
      <c r="S448" s="7">
        <f>+AV_PLAN[[#This Row],[TERMINO PLAN ACUMULADO]]/$G$471</f>
        <v>0.99715909090909094</v>
      </c>
      <c r="T448" s="7">
        <f t="shared" si="13"/>
        <v>6.8181818181818177E-2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108</v>
      </c>
      <c r="F449">
        <v>2</v>
      </c>
      <c r="G449">
        <v>704</v>
      </c>
      <c r="H449">
        <v>0</v>
      </c>
      <c r="I449">
        <v>48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0.15340909090909091</v>
      </c>
      <c r="M449" s="4">
        <f>IFERROR(AV_PLAN[[#This Row],[TERMINO REAL ACUMULADO]]/AV_PLAN[[#This Row],[TERMINO PLAN ACUMULADO]],"")</f>
        <v>6.8181818181818177E-2</v>
      </c>
      <c r="N449">
        <f>+AV_PLAN[[#This Row],[PLAN ACUMULADO]]-AV_PLAN[[#This Row],[INICIO REAL ACUMULADO]]</f>
        <v>596</v>
      </c>
      <c r="O449">
        <f>+AV_PLAN[[#This Row],[TERMINO PLAN ACUMULADO]]-AV_PLAN[[#This Row],[TERMINO REAL ACUMULADO]]</f>
        <v>656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0.15340909090909091</v>
      </c>
      <c r="S449" s="7">
        <f>+AV_PLAN[[#This Row],[TERMINO PLAN ACUMULADO]]/$G$471</f>
        <v>1</v>
      </c>
      <c r="T449" s="7">
        <f t="shared" si="13"/>
        <v>6.8181818181818177E-2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108</v>
      </c>
      <c r="F450">
        <v>0</v>
      </c>
      <c r="G450">
        <v>704</v>
      </c>
      <c r="H450">
        <v>0</v>
      </c>
      <c r="I450">
        <v>48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0.15340909090909091</v>
      </c>
      <c r="M450" s="4">
        <f>IFERROR(AV_PLAN[[#This Row],[TERMINO REAL ACUMULADO]]/AV_PLAN[[#This Row],[TERMINO PLAN ACUMULADO]],"")</f>
        <v>6.8181818181818177E-2</v>
      </c>
      <c r="N450">
        <f>+AV_PLAN[[#This Row],[PLAN ACUMULADO]]-AV_PLAN[[#This Row],[INICIO REAL ACUMULADO]]</f>
        <v>596</v>
      </c>
      <c r="O450">
        <f>+AV_PLAN[[#This Row],[TERMINO PLAN ACUMULADO]]-AV_PLAN[[#This Row],[TERMINO REAL ACUMULADO]]</f>
        <v>656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0.15340909090909091</v>
      </c>
      <c r="S450" s="7">
        <f>+AV_PLAN[[#This Row],[TERMINO PLAN ACUMULADO]]/$G$471</f>
        <v>1</v>
      </c>
      <c r="T450" s="7">
        <f t="shared" ref="T450:T471" si="15">IF(H450="",NA(),I450/$G$471)</f>
        <v>6.8181818181818177E-2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108</v>
      </c>
      <c r="F451">
        <v>0</v>
      </c>
      <c r="G451">
        <v>704</v>
      </c>
      <c r="H451">
        <v>0</v>
      </c>
      <c r="I451">
        <v>48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0.15340909090909091</v>
      </c>
      <c r="M451" s="4">
        <f>IFERROR(AV_PLAN[[#This Row],[TERMINO REAL ACUMULADO]]/AV_PLAN[[#This Row],[TERMINO PLAN ACUMULADO]],"")</f>
        <v>6.8181818181818177E-2</v>
      </c>
      <c r="N451">
        <f>+AV_PLAN[[#This Row],[PLAN ACUMULADO]]-AV_PLAN[[#This Row],[INICIO REAL ACUMULADO]]</f>
        <v>596</v>
      </c>
      <c r="O451">
        <f>+AV_PLAN[[#This Row],[TERMINO PLAN ACUMULADO]]-AV_PLAN[[#This Row],[TERMINO REAL ACUMULADO]]</f>
        <v>656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0.15340909090909091</v>
      </c>
      <c r="S451" s="7">
        <f>+AV_PLAN[[#This Row],[TERMINO PLAN ACUMULADO]]/$G$471</f>
        <v>1</v>
      </c>
      <c r="T451" s="7">
        <f t="shared" si="15"/>
        <v>6.8181818181818177E-2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108</v>
      </c>
      <c r="F452">
        <v>0</v>
      </c>
      <c r="G452">
        <v>704</v>
      </c>
      <c r="H452">
        <v>0</v>
      </c>
      <c r="I452">
        <v>48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0.15340909090909091</v>
      </c>
      <c r="M452" s="4">
        <f>IFERROR(AV_PLAN[[#This Row],[TERMINO REAL ACUMULADO]]/AV_PLAN[[#This Row],[TERMINO PLAN ACUMULADO]],"")</f>
        <v>6.8181818181818177E-2</v>
      </c>
      <c r="N452">
        <f>+AV_PLAN[[#This Row],[PLAN ACUMULADO]]-AV_PLAN[[#This Row],[INICIO REAL ACUMULADO]]</f>
        <v>596</v>
      </c>
      <c r="O452">
        <f>+AV_PLAN[[#This Row],[TERMINO PLAN ACUMULADO]]-AV_PLAN[[#This Row],[TERMINO REAL ACUMULADO]]</f>
        <v>656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0.15340909090909091</v>
      </c>
      <c r="S452" s="7">
        <f>+AV_PLAN[[#This Row],[TERMINO PLAN ACUMULADO]]/$G$471</f>
        <v>1</v>
      </c>
      <c r="T452" s="7">
        <f t="shared" si="15"/>
        <v>6.8181818181818177E-2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108</v>
      </c>
      <c r="F453">
        <v>0</v>
      </c>
      <c r="G453">
        <v>704</v>
      </c>
      <c r="H453">
        <v>0</v>
      </c>
      <c r="I453">
        <v>48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0.15340909090909091</v>
      </c>
      <c r="M453" s="4">
        <f>IFERROR(AV_PLAN[[#This Row],[TERMINO REAL ACUMULADO]]/AV_PLAN[[#This Row],[TERMINO PLAN ACUMULADO]],"")</f>
        <v>6.8181818181818177E-2</v>
      </c>
      <c r="N453">
        <f>+AV_PLAN[[#This Row],[PLAN ACUMULADO]]-AV_PLAN[[#This Row],[INICIO REAL ACUMULADO]]</f>
        <v>596</v>
      </c>
      <c r="O453">
        <f>+AV_PLAN[[#This Row],[TERMINO PLAN ACUMULADO]]-AV_PLAN[[#This Row],[TERMINO REAL ACUMULADO]]</f>
        <v>656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0.15340909090909091</v>
      </c>
      <c r="S453" s="7">
        <f>+AV_PLAN[[#This Row],[TERMINO PLAN ACUMULADO]]/$G$471</f>
        <v>1</v>
      </c>
      <c r="T453" s="7">
        <f t="shared" si="15"/>
        <v>6.8181818181818177E-2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108</v>
      </c>
      <c r="F454">
        <v>0</v>
      </c>
      <c r="G454">
        <v>704</v>
      </c>
      <c r="H454">
        <v>0</v>
      </c>
      <c r="I454">
        <v>48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0.15340909090909091</v>
      </c>
      <c r="M454" s="4">
        <f>IFERROR(AV_PLAN[[#This Row],[TERMINO REAL ACUMULADO]]/AV_PLAN[[#This Row],[TERMINO PLAN ACUMULADO]],"")</f>
        <v>6.8181818181818177E-2</v>
      </c>
      <c r="N454">
        <f>+AV_PLAN[[#This Row],[PLAN ACUMULADO]]-AV_PLAN[[#This Row],[INICIO REAL ACUMULADO]]</f>
        <v>596</v>
      </c>
      <c r="O454">
        <f>+AV_PLAN[[#This Row],[TERMINO PLAN ACUMULADO]]-AV_PLAN[[#This Row],[TERMINO REAL ACUMULADO]]</f>
        <v>656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0.15340909090909091</v>
      </c>
      <c r="S454" s="7">
        <f>+AV_PLAN[[#This Row],[TERMINO PLAN ACUMULADO]]/$G$471</f>
        <v>1</v>
      </c>
      <c r="T454" s="7">
        <f t="shared" si="15"/>
        <v>6.8181818181818177E-2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108</v>
      </c>
      <c r="F455">
        <v>0</v>
      </c>
      <c r="G455">
        <v>704</v>
      </c>
      <c r="H455">
        <v>0</v>
      </c>
      <c r="I455">
        <v>48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0.15340909090909091</v>
      </c>
      <c r="M455" s="4">
        <f>IFERROR(AV_PLAN[[#This Row],[TERMINO REAL ACUMULADO]]/AV_PLAN[[#This Row],[TERMINO PLAN ACUMULADO]],"")</f>
        <v>6.8181818181818177E-2</v>
      </c>
      <c r="N455">
        <f>+AV_PLAN[[#This Row],[PLAN ACUMULADO]]-AV_PLAN[[#This Row],[INICIO REAL ACUMULADO]]</f>
        <v>596</v>
      </c>
      <c r="O455">
        <f>+AV_PLAN[[#This Row],[TERMINO PLAN ACUMULADO]]-AV_PLAN[[#This Row],[TERMINO REAL ACUMULADO]]</f>
        <v>656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0.15340909090909091</v>
      </c>
      <c r="S455" s="7">
        <f>+AV_PLAN[[#This Row],[TERMINO PLAN ACUMULADO]]/$G$471</f>
        <v>1</v>
      </c>
      <c r="T455" s="7">
        <f t="shared" si="15"/>
        <v>6.8181818181818177E-2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108</v>
      </c>
      <c r="F456">
        <v>0</v>
      </c>
      <c r="G456">
        <v>704</v>
      </c>
      <c r="H456">
        <v>0</v>
      </c>
      <c r="I456">
        <v>48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0.15340909090909091</v>
      </c>
      <c r="M456" s="4">
        <f>IFERROR(AV_PLAN[[#This Row],[TERMINO REAL ACUMULADO]]/AV_PLAN[[#This Row],[TERMINO PLAN ACUMULADO]],"")</f>
        <v>6.8181818181818177E-2</v>
      </c>
      <c r="N456">
        <f>+AV_PLAN[[#This Row],[PLAN ACUMULADO]]-AV_PLAN[[#This Row],[INICIO REAL ACUMULADO]]</f>
        <v>596</v>
      </c>
      <c r="O456">
        <f>+AV_PLAN[[#This Row],[TERMINO PLAN ACUMULADO]]-AV_PLAN[[#This Row],[TERMINO REAL ACUMULADO]]</f>
        <v>656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0.15340909090909091</v>
      </c>
      <c r="S456" s="7">
        <f>+AV_PLAN[[#This Row],[TERMINO PLAN ACUMULADO]]/$G$471</f>
        <v>1</v>
      </c>
      <c r="T456" s="7">
        <f t="shared" si="15"/>
        <v>6.8181818181818177E-2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108</v>
      </c>
      <c r="F457">
        <v>0</v>
      </c>
      <c r="G457">
        <v>704</v>
      </c>
      <c r="H457">
        <v>0</v>
      </c>
      <c r="I457">
        <v>48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0.15340909090909091</v>
      </c>
      <c r="M457" s="4">
        <f>IFERROR(AV_PLAN[[#This Row],[TERMINO REAL ACUMULADO]]/AV_PLAN[[#This Row],[TERMINO PLAN ACUMULADO]],"")</f>
        <v>6.8181818181818177E-2</v>
      </c>
      <c r="N457">
        <f>+AV_PLAN[[#This Row],[PLAN ACUMULADO]]-AV_PLAN[[#This Row],[INICIO REAL ACUMULADO]]</f>
        <v>596</v>
      </c>
      <c r="O457">
        <f>+AV_PLAN[[#This Row],[TERMINO PLAN ACUMULADO]]-AV_PLAN[[#This Row],[TERMINO REAL ACUMULADO]]</f>
        <v>656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0.15340909090909091</v>
      </c>
      <c r="S457" s="7">
        <f>+AV_PLAN[[#This Row],[TERMINO PLAN ACUMULADO]]/$G$471</f>
        <v>1</v>
      </c>
      <c r="T457" s="7">
        <f t="shared" si="15"/>
        <v>6.8181818181818177E-2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108</v>
      </c>
      <c r="F458">
        <v>0</v>
      </c>
      <c r="G458">
        <v>704</v>
      </c>
      <c r="H458">
        <v>0</v>
      </c>
      <c r="I458">
        <v>48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0.15340909090909091</v>
      </c>
      <c r="M458" s="4">
        <f>IFERROR(AV_PLAN[[#This Row],[TERMINO REAL ACUMULADO]]/AV_PLAN[[#This Row],[TERMINO PLAN ACUMULADO]],"")</f>
        <v>6.8181818181818177E-2</v>
      </c>
      <c r="N458">
        <f>+AV_PLAN[[#This Row],[PLAN ACUMULADO]]-AV_PLAN[[#This Row],[INICIO REAL ACUMULADO]]</f>
        <v>596</v>
      </c>
      <c r="O458">
        <f>+AV_PLAN[[#This Row],[TERMINO PLAN ACUMULADO]]-AV_PLAN[[#This Row],[TERMINO REAL ACUMULADO]]</f>
        <v>656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0.15340909090909091</v>
      </c>
      <c r="S458" s="7">
        <f>+AV_PLAN[[#This Row],[TERMINO PLAN ACUMULADO]]/$G$471</f>
        <v>1</v>
      </c>
      <c r="T458" s="7">
        <f t="shared" si="15"/>
        <v>6.8181818181818177E-2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108</v>
      </c>
      <c r="F459">
        <v>0</v>
      </c>
      <c r="G459">
        <v>704</v>
      </c>
      <c r="H459">
        <v>0</v>
      </c>
      <c r="I459">
        <v>48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0.15340909090909091</v>
      </c>
      <c r="M459" s="4">
        <f>IFERROR(AV_PLAN[[#This Row],[TERMINO REAL ACUMULADO]]/AV_PLAN[[#This Row],[TERMINO PLAN ACUMULADO]],"")</f>
        <v>6.8181818181818177E-2</v>
      </c>
      <c r="N459">
        <f>+AV_PLAN[[#This Row],[PLAN ACUMULADO]]-AV_PLAN[[#This Row],[INICIO REAL ACUMULADO]]</f>
        <v>596</v>
      </c>
      <c r="O459">
        <f>+AV_PLAN[[#This Row],[TERMINO PLAN ACUMULADO]]-AV_PLAN[[#This Row],[TERMINO REAL ACUMULADO]]</f>
        <v>656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0.15340909090909091</v>
      </c>
      <c r="S459" s="7">
        <f>+AV_PLAN[[#This Row],[TERMINO PLAN ACUMULADO]]/$G$471</f>
        <v>1</v>
      </c>
      <c r="T459" s="7">
        <f t="shared" si="15"/>
        <v>6.8181818181818177E-2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108</v>
      </c>
      <c r="F460">
        <v>0</v>
      </c>
      <c r="G460">
        <v>704</v>
      </c>
      <c r="H460">
        <v>0</v>
      </c>
      <c r="I460">
        <v>48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0.15340909090909091</v>
      </c>
      <c r="M460" s="4">
        <f>IFERROR(AV_PLAN[[#This Row],[TERMINO REAL ACUMULADO]]/AV_PLAN[[#This Row],[TERMINO PLAN ACUMULADO]],"")</f>
        <v>6.8181818181818177E-2</v>
      </c>
      <c r="N460">
        <f>+AV_PLAN[[#This Row],[PLAN ACUMULADO]]-AV_PLAN[[#This Row],[INICIO REAL ACUMULADO]]</f>
        <v>596</v>
      </c>
      <c r="O460">
        <f>+AV_PLAN[[#This Row],[TERMINO PLAN ACUMULADO]]-AV_PLAN[[#This Row],[TERMINO REAL ACUMULADO]]</f>
        <v>656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0.15340909090909091</v>
      </c>
      <c r="S460" s="7">
        <f>+AV_PLAN[[#This Row],[TERMINO PLAN ACUMULADO]]/$G$471</f>
        <v>1</v>
      </c>
      <c r="T460" s="7">
        <f t="shared" si="15"/>
        <v>6.8181818181818177E-2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108</v>
      </c>
      <c r="F461">
        <v>0</v>
      </c>
      <c r="G461">
        <v>704</v>
      </c>
      <c r="H461">
        <v>0</v>
      </c>
      <c r="I461">
        <v>48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0.15340909090909091</v>
      </c>
      <c r="M461" s="4">
        <f>IFERROR(AV_PLAN[[#This Row],[TERMINO REAL ACUMULADO]]/AV_PLAN[[#This Row],[TERMINO PLAN ACUMULADO]],"")</f>
        <v>6.8181818181818177E-2</v>
      </c>
      <c r="N461">
        <f>+AV_PLAN[[#This Row],[PLAN ACUMULADO]]-AV_PLAN[[#This Row],[INICIO REAL ACUMULADO]]</f>
        <v>596</v>
      </c>
      <c r="O461">
        <f>+AV_PLAN[[#This Row],[TERMINO PLAN ACUMULADO]]-AV_PLAN[[#This Row],[TERMINO REAL ACUMULADO]]</f>
        <v>656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0.15340909090909091</v>
      </c>
      <c r="S461" s="7">
        <f>+AV_PLAN[[#This Row],[TERMINO PLAN ACUMULADO]]/$G$471</f>
        <v>1</v>
      </c>
      <c r="T461" s="7">
        <f t="shared" si="15"/>
        <v>6.8181818181818177E-2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108</v>
      </c>
      <c r="F462">
        <v>0</v>
      </c>
      <c r="G462">
        <v>704</v>
      </c>
      <c r="H462">
        <v>0</v>
      </c>
      <c r="I462">
        <v>48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0.15340909090909091</v>
      </c>
      <c r="M462" s="4">
        <f>IFERROR(AV_PLAN[[#This Row],[TERMINO REAL ACUMULADO]]/AV_PLAN[[#This Row],[TERMINO PLAN ACUMULADO]],"")</f>
        <v>6.8181818181818177E-2</v>
      </c>
      <c r="N462">
        <f>+AV_PLAN[[#This Row],[PLAN ACUMULADO]]-AV_PLAN[[#This Row],[INICIO REAL ACUMULADO]]</f>
        <v>596</v>
      </c>
      <c r="O462">
        <f>+AV_PLAN[[#This Row],[TERMINO PLAN ACUMULADO]]-AV_PLAN[[#This Row],[TERMINO REAL ACUMULADO]]</f>
        <v>656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0.15340909090909091</v>
      </c>
      <c r="S462" s="7">
        <f>+AV_PLAN[[#This Row],[TERMINO PLAN ACUMULADO]]/$G$471</f>
        <v>1</v>
      </c>
      <c r="T462" s="7">
        <f t="shared" si="15"/>
        <v>6.8181818181818177E-2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108</v>
      </c>
      <c r="F463">
        <v>0</v>
      </c>
      <c r="G463">
        <v>704</v>
      </c>
      <c r="H463">
        <v>0</v>
      </c>
      <c r="I463">
        <v>48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0.15340909090909091</v>
      </c>
      <c r="M463" s="4">
        <f>IFERROR(AV_PLAN[[#This Row],[TERMINO REAL ACUMULADO]]/AV_PLAN[[#This Row],[TERMINO PLAN ACUMULADO]],"")</f>
        <v>6.8181818181818177E-2</v>
      </c>
      <c r="N463">
        <f>+AV_PLAN[[#This Row],[PLAN ACUMULADO]]-AV_PLAN[[#This Row],[INICIO REAL ACUMULADO]]</f>
        <v>596</v>
      </c>
      <c r="O463">
        <f>+AV_PLAN[[#This Row],[TERMINO PLAN ACUMULADO]]-AV_PLAN[[#This Row],[TERMINO REAL ACUMULADO]]</f>
        <v>656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0.15340909090909091</v>
      </c>
      <c r="S463" s="7">
        <f>+AV_PLAN[[#This Row],[TERMINO PLAN ACUMULADO]]/$G$471</f>
        <v>1</v>
      </c>
      <c r="T463" s="7">
        <f t="shared" si="15"/>
        <v>6.8181818181818177E-2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108</v>
      </c>
      <c r="F464">
        <v>0</v>
      </c>
      <c r="G464">
        <v>704</v>
      </c>
      <c r="H464">
        <v>0</v>
      </c>
      <c r="I464">
        <v>48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0.15340909090909091</v>
      </c>
      <c r="M464" s="4">
        <f>IFERROR(AV_PLAN[[#This Row],[TERMINO REAL ACUMULADO]]/AV_PLAN[[#This Row],[TERMINO PLAN ACUMULADO]],"")</f>
        <v>6.8181818181818177E-2</v>
      </c>
      <c r="N464">
        <f>+AV_PLAN[[#This Row],[PLAN ACUMULADO]]-AV_PLAN[[#This Row],[INICIO REAL ACUMULADO]]</f>
        <v>596</v>
      </c>
      <c r="O464">
        <f>+AV_PLAN[[#This Row],[TERMINO PLAN ACUMULADO]]-AV_PLAN[[#This Row],[TERMINO REAL ACUMULADO]]</f>
        <v>656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0.15340909090909091</v>
      </c>
      <c r="S464" s="7">
        <f>+AV_PLAN[[#This Row],[TERMINO PLAN ACUMULADO]]/$G$471</f>
        <v>1</v>
      </c>
      <c r="T464" s="7">
        <f t="shared" si="15"/>
        <v>6.8181818181818177E-2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108</v>
      </c>
      <c r="F465">
        <v>0</v>
      </c>
      <c r="G465">
        <v>704</v>
      </c>
      <c r="H465">
        <v>0</v>
      </c>
      <c r="I465">
        <v>48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0.15340909090909091</v>
      </c>
      <c r="M465" s="4">
        <f>IFERROR(AV_PLAN[[#This Row],[TERMINO REAL ACUMULADO]]/AV_PLAN[[#This Row],[TERMINO PLAN ACUMULADO]],"")</f>
        <v>6.8181818181818177E-2</v>
      </c>
      <c r="N465">
        <f>+AV_PLAN[[#This Row],[PLAN ACUMULADO]]-AV_PLAN[[#This Row],[INICIO REAL ACUMULADO]]</f>
        <v>596</v>
      </c>
      <c r="O465">
        <f>+AV_PLAN[[#This Row],[TERMINO PLAN ACUMULADO]]-AV_PLAN[[#This Row],[TERMINO REAL ACUMULADO]]</f>
        <v>656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0.15340909090909091</v>
      </c>
      <c r="S465" s="7">
        <f>+AV_PLAN[[#This Row],[TERMINO PLAN ACUMULADO]]/$G$471</f>
        <v>1</v>
      </c>
      <c r="T465" s="7">
        <f t="shared" si="15"/>
        <v>6.8181818181818177E-2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108</v>
      </c>
      <c r="F466">
        <v>0</v>
      </c>
      <c r="G466">
        <v>704</v>
      </c>
      <c r="H466">
        <v>0</v>
      </c>
      <c r="I466">
        <v>48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0.15340909090909091</v>
      </c>
      <c r="M466" s="4">
        <f>IFERROR(AV_PLAN[[#This Row],[TERMINO REAL ACUMULADO]]/AV_PLAN[[#This Row],[TERMINO PLAN ACUMULADO]],"")</f>
        <v>6.8181818181818177E-2</v>
      </c>
      <c r="N466">
        <f>+AV_PLAN[[#This Row],[PLAN ACUMULADO]]-AV_PLAN[[#This Row],[INICIO REAL ACUMULADO]]</f>
        <v>596</v>
      </c>
      <c r="O466">
        <f>+AV_PLAN[[#This Row],[TERMINO PLAN ACUMULADO]]-AV_PLAN[[#This Row],[TERMINO REAL ACUMULADO]]</f>
        <v>656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0.15340909090909091</v>
      </c>
      <c r="S466" s="7">
        <f>+AV_PLAN[[#This Row],[TERMINO PLAN ACUMULADO]]/$G$471</f>
        <v>1</v>
      </c>
      <c r="T466" s="7">
        <f t="shared" si="15"/>
        <v>6.8181818181818177E-2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108</v>
      </c>
      <c r="F467">
        <v>0</v>
      </c>
      <c r="G467">
        <v>704</v>
      </c>
      <c r="H467">
        <v>0</v>
      </c>
      <c r="I467">
        <v>48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0.15340909090909091</v>
      </c>
      <c r="M467" s="4">
        <f>IFERROR(AV_PLAN[[#This Row],[TERMINO REAL ACUMULADO]]/AV_PLAN[[#This Row],[TERMINO PLAN ACUMULADO]],"")</f>
        <v>6.8181818181818177E-2</v>
      </c>
      <c r="N467">
        <f>+AV_PLAN[[#This Row],[PLAN ACUMULADO]]-AV_PLAN[[#This Row],[INICIO REAL ACUMULADO]]</f>
        <v>596</v>
      </c>
      <c r="O467">
        <f>+AV_PLAN[[#This Row],[TERMINO PLAN ACUMULADO]]-AV_PLAN[[#This Row],[TERMINO REAL ACUMULADO]]</f>
        <v>656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0.15340909090909091</v>
      </c>
      <c r="S467" s="7">
        <f>+AV_PLAN[[#This Row],[TERMINO PLAN ACUMULADO]]/$G$471</f>
        <v>1</v>
      </c>
      <c r="T467" s="7">
        <f t="shared" si="15"/>
        <v>6.8181818181818177E-2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108</v>
      </c>
      <c r="F468">
        <v>0</v>
      </c>
      <c r="G468">
        <v>704</v>
      </c>
      <c r="H468">
        <v>0</v>
      </c>
      <c r="I468">
        <v>48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0.15340909090909091</v>
      </c>
      <c r="M468" s="4">
        <f>IFERROR(AV_PLAN[[#This Row],[TERMINO REAL ACUMULADO]]/AV_PLAN[[#This Row],[TERMINO PLAN ACUMULADO]],"")</f>
        <v>6.8181818181818177E-2</v>
      </c>
      <c r="N468">
        <f>+AV_PLAN[[#This Row],[PLAN ACUMULADO]]-AV_PLAN[[#This Row],[INICIO REAL ACUMULADO]]</f>
        <v>596</v>
      </c>
      <c r="O468">
        <f>+AV_PLAN[[#This Row],[TERMINO PLAN ACUMULADO]]-AV_PLAN[[#This Row],[TERMINO REAL ACUMULADO]]</f>
        <v>656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0.15340909090909091</v>
      </c>
      <c r="S468" s="7">
        <f>+AV_PLAN[[#This Row],[TERMINO PLAN ACUMULADO]]/$G$471</f>
        <v>1</v>
      </c>
      <c r="T468" s="7">
        <f t="shared" si="15"/>
        <v>6.8181818181818177E-2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108</v>
      </c>
      <c r="F469">
        <v>0</v>
      </c>
      <c r="G469">
        <v>704</v>
      </c>
      <c r="H469">
        <v>0</v>
      </c>
      <c r="I469">
        <v>48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0.15340909090909091</v>
      </c>
      <c r="M469" s="4">
        <f>IFERROR(AV_PLAN[[#This Row],[TERMINO REAL ACUMULADO]]/AV_PLAN[[#This Row],[TERMINO PLAN ACUMULADO]],"")</f>
        <v>6.8181818181818177E-2</v>
      </c>
      <c r="N469">
        <f>+AV_PLAN[[#This Row],[PLAN ACUMULADO]]-AV_PLAN[[#This Row],[INICIO REAL ACUMULADO]]</f>
        <v>596</v>
      </c>
      <c r="O469">
        <f>+AV_PLAN[[#This Row],[TERMINO PLAN ACUMULADO]]-AV_PLAN[[#This Row],[TERMINO REAL ACUMULADO]]</f>
        <v>656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0.15340909090909091</v>
      </c>
      <c r="S469" s="7">
        <f>+AV_PLAN[[#This Row],[TERMINO PLAN ACUMULADO]]/$G$471</f>
        <v>1</v>
      </c>
      <c r="T469" s="7">
        <f t="shared" si="15"/>
        <v>6.8181818181818177E-2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108</v>
      </c>
      <c r="F470">
        <v>0</v>
      </c>
      <c r="G470">
        <v>704</v>
      </c>
      <c r="H470">
        <v>0</v>
      </c>
      <c r="I470">
        <v>48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0.15340909090909091</v>
      </c>
      <c r="M470" s="4">
        <f>IFERROR(AV_PLAN[[#This Row],[TERMINO REAL ACUMULADO]]/AV_PLAN[[#This Row],[TERMINO PLAN ACUMULADO]],"")</f>
        <v>6.8181818181818177E-2</v>
      </c>
      <c r="N470">
        <f>+AV_PLAN[[#This Row],[PLAN ACUMULADO]]-AV_PLAN[[#This Row],[INICIO REAL ACUMULADO]]</f>
        <v>596</v>
      </c>
      <c r="O470">
        <f>+AV_PLAN[[#This Row],[TERMINO PLAN ACUMULADO]]-AV_PLAN[[#This Row],[TERMINO REAL ACUMULADO]]</f>
        <v>656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0.15340909090909091</v>
      </c>
      <c r="S470" s="7">
        <f>+AV_PLAN[[#This Row],[TERMINO PLAN ACUMULADO]]/$G$471</f>
        <v>1</v>
      </c>
      <c r="T470" s="7">
        <f t="shared" si="15"/>
        <v>6.8181818181818177E-2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108</v>
      </c>
      <c r="F471">
        <v>0</v>
      </c>
      <c r="G471">
        <v>704</v>
      </c>
      <c r="H471">
        <v>0</v>
      </c>
      <c r="I471">
        <v>48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0.15340909090909091</v>
      </c>
      <c r="M471" s="4">
        <f>IFERROR(AV_PLAN[[#This Row],[TERMINO REAL ACUMULADO]]/AV_PLAN[[#This Row],[TERMINO PLAN ACUMULADO]],"")</f>
        <v>6.8181818181818177E-2</v>
      </c>
      <c r="N471">
        <f>+AV_PLAN[[#This Row],[PLAN ACUMULADO]]-AV_PLAN[[#This Row],[INICIO REAL ACUMULADO]]</f>
        <v>596</v>
      </c>
      <c r="O471">
        <f>+AV_PLAN[[#This Row],[TERMINO PLAN ACUMULADO]]-AV_PLAN[[#This Row],[TERMINO REAL ACUMULADO]]</f>
        <v>656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0.15340909090909091</v>
      </c>
      <c r="S471" s="7">
        <f>+AV_PLAN[[#This Row],[TERMINO PLAN ACUMULADO]]/$G$471</f>
        <v>1</v>
      </c>
      <c r="T471" s="7">
        <f t="shared" si="15"/>
        <v>6.8181818181818177E-2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K2" sqref="K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</row>
    <row r="2" spans="1:6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1" spans="1:61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5" spans="1:61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8" spans="1:61" hidden="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0.98499999999999988</v>
      </c>
      <c r="F48" s="1">
        <v>46127</v>
      </c>
      <c r="G48" s="1">
        <v>46127</v>
      </c>
      <c r="H48" s="1">
        <v>46195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0.35499999999999982</v>
      </c>
      <c r="AI48" s="7">
        <v>0.95945945945945899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0" spans="1:61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hidden="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0.98499999999999988</v>
      </c>
      <c r="F51" s="1">
        <v>46136</v>
      </c>
      <c r="G51" s="1">
        <v>46136</v>
      </c>
      <c r="H51" s="1">
        <v>46195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0.35499999999999982</v>
      </c>
      <c r="AI51" s="7">
        <v>0.95945945945945899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hidden="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0.95499999999999985</v>
      </c>
      <c r="F52" s="1">
        <v>46140</v>
      </c>
      <c r="G52" s="1">
        <v>46140</v>
      </c>
      <c r="H52" s="1">
        <v>46195</v>
      </c>
      <c r="I52" s="1">
        <v>46170</v>
      </c>
      <c r="J52">
        <v>0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0.33499999999999985</v>
      </c>
      <c r="AI52" s="7">
        <v>0.90540540540540515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hidden="1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7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hidden="1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7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hidden="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0.8899999999999999</v>
      </c>
      <c r="F55" s="1">
        <v>46141</v>
      </c>
      <c r="G55" s="1">
        <v>46141</v>
      </c>
      <c r="H55" s="1">
        <v>46195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0.29999999999999988</v>
      </c>
      <c r="AI55" s="7">
        <v>0.81081081081081052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hidden="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0.81</v>
      </c>
      <c r="F56" s="1">
        <v>46136</v>
      </c>
      <c r="G56" s="1">
        <v>46136</v>
      </c>
      <c r="H56" s="1">
        <v>46195</v>
      </c>
      <c r="I56" s="1">
        <v>46174</v>
      </c>
      <c r="J56">
        <v>0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0.26999999999999991</v>
      </c>
      <c r="AI56" s="7">
        <v>0.72972972972972949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hidden="1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33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hidden="1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0.97499999999999987</v>
      </c>
      <c r="F58" s="1">
        <v>46146</v>
      </c>
      <c r="G58" s="1">
        <v>46148</v>
      </c>
      <c r="H58" s="1">
        <v>46195</v>
      </c>
      <c r="I58" s="1">
        <v>46183</v>
      </c>
      <c r="J58">
        <v>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0.35499999999999982</v>
      </c>
      <c r="AI58" s="7">
        <v>0.95945945945945899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hidden="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0.7699999999999998</v>
      </c>
      <c r="F59" s="1">
        <v>46146</v>
      </c>
      <c r="G59" s="1">
        <v>46147</v>
      </c>
      <c r="H59" s="1">
        <v>46195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0.06</v>
      </c>
      <c r="AB59" s="7">
        <v>0.54545454545454541</v>
      </c>
      <c r="AC59" s="7">
        <v>0.27272727272727271</v>
      </c>
      <c r="AD59" s="7">
        <v>0.27272727272727271</v>
      </c>
      <c r="AE59" s="7">
        <v>0</v>
      </c>
      <c r="AF59" s="7">
        <v>0</v>
      </c>
      <c r="AG59" s="7">
        <v>0</v>
      </c>
      <c r="AH59" s="7">
        <v>0.2299999999999999</v>
      </c>
      <c r="AI59" s="7">
        <v>0.62162162162162138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5.4054054054054029E-2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hidden="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0.83</v>
      </c>
      <c r="F60" s="1">
        <v>46147</v>
      </c>
      <c r="G60" s="1">
        <v>46146</v>
      </c>
      <c r="H60" s="1">
        <v>46195</v>
      </c>
      <c r="I60" s="1">
        <v>46184</v>
      </c>
      <c r="J60">
        <v>0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0.06</v>
      </c>
      <c r="AB60" s="7">
        <v>0.54545454545454541</v>
      </c>
      <c r="AC60" s="7">
        <v>0.27272727272727271</v>
      </c>
      <c r="AD60" s="7">
        <v>0.27272727272727271</v>
      </c>
      <c r="AE60" s="7">
        <v>0</v>
      </c>
      <c r="AF60" s="7">
        <v>0</v>
      </c>
      <c r="AG60" s="7">
        <v>0</v>
      </c>
      <c r="AH60" s="7">
        <v>0.2599999999999999</v>
      </c>
      <c r="AI60" s="7">
        <v>0.70270270270270241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0</v>
      </c>
      <c r="AR60" s="7">
        <v>0</v>
      </c>
      <c r="AS60" s="7">
        <v>1.3513513513513507E-2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hidden="1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6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hidden="1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0.95999999999999985</v>
      </c>
      <c r="F62" s="1">
        <v>46148</v>
      </c>
      <c r="G62" s="1">
        <v>46150</v>
      </c>
      <c r="H62" s="1">
        <v>46190</v>
      </c>
      <c r="I62" s="1">
        <v>46185</v>
      </c>
      <c r="J62">
        <v>5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0.33999999999999986</v>
      </c>
      <c r="AI62" s="7">
        <v>0.91891891891891853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0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hidden="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0.7699999999999998</v>
      </c>
      <c r="F63" s="1">
        <v>46148</v>
      </c>
      <c r="G63" s="1">
        <v>46149</v>
      </c>
      <c r="H63" s="1">
        <v>46192</v>
      </c>
      <c r="I63" s="1">
        <v>46185</v>
      </c>
      <c r="J63">
        <v>3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0.05</v>
      </c>
      <c r="T63" s="7">
        <v>0.55555555555555558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0.2599999999999999</v>
      </c>
      <c r="AI63" s="7">
        <v>0.70270270270270241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0</v>
      </c>
      <c r="AR63" s="7">
        <v>0</v>
      </c>
      <c r="AS63" s="7">
        <v>1.3513513513513507E-2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hidden="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5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hidden="1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0.94999999999999984</v>
      </c>
      <c r="F65" s="1">
        <v>46149</v>
      </c>
      <c r="G65" s="1">
        <v>46149</v>
      </c>
      <c r="H65" s="1">
        <v>46195</v>
      </c>
      <c r="I65" s="1">
        <v>46186</v>
      </c>
      <c r="J65">
        <v>0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0.32999999999999985</v>
      </c>
      <c r="AI65" s="7">
        <v>0.89189189189189155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hidden="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hidden="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0.80500000000000005</v>
      </c>
      <c r="F67" s="1">
        <v>46150</v>
      </c>
      <c r="G67" s="1">
        <v>46154</v>
      </c>
      <c r="H67" s="1">
        <v>46195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0.2649999999999999</v>
      </c>
      <c r="AI67" s="7">
        <v>0.71621621621621601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0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hidden="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0.82499999999999984</v>
      </c>
      <c r="F68" s="1">
        <v>46153</v>
      </c>
      <c r="G68" s="1">
        <v>46158</v>
      </c>
      <c r="H68" s="1">
        <v>46191</v>
      </c>
      <c r="I68" s="1">
        <v>46189</v>
      </c>
      <c r="J68">
        <v>4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0.31499999999999984</v>
      </c>
      <c r="AI68" s="7">
        <v>0.85135135135135109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hidden="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hidden="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0.93999999999999972</v>
      </c>
      <c r="F70" s="1">
        <v>46154</v>
      </c>
      <c r="G70" s="1">
        <v>46156</v>
      </c>
      <c r="H70" s="1">
        <v>46195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0.34999999999999981</v>
      </c>
      <c r="AI70" s="7">
        <v>0.94594594594594561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hidden="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0.7599999999999999</v>
      </c>
      <c r="F71" s="1">
        <v>46154</v>
      </c>
      <c r="G71" s="1">
        <v>46158</v>
      </c>
      <c r="H71" s="1">
        <v>46192</v>
      </c>
      <c r="I71" s="1">
        <v>46190</v>
      </c>
      <c r="J71">
        <v>3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0.2599999999999999</v>
      </c>
      <c r="AI71" s="7">
        <v>0.70270270270270241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hidden="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0.755</v>
      </c>
      <c r="F72" s="1">
        <v>46155</v>
      </c>
      <c r="G72" s="1">
        <v>46156</v>
      </c>
      <c r="H72" s="1">
        <v>46195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0.21499999999999991</v>
      </c>
      <c r="AI72" s="7">
        <v>0.58108108108108092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hidden="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10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hidden="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hidden="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0.71499999999999986</v>
      </c>
      <c r="F75" s="1">
        <v>46156</v>
      </c>
      <c r="G75" s="1">
        <v>46161</v>
      </c>
      <c r="H75" s="1">
        <v>46192</v>
      </c>
      <c r="I75" s="1">
        <v>46192</v>
      </c>
      <c r="J75">
        <v>3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0.21499999999999989</v>
      </c>
      <c r="AI75" s="7">
        <v>0.58108108108108081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0</v>
      </c>
      <c r="AP75" s="7">
        <v>0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hidden="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0.75499999999999989</v>
      </c>
      <c r="F76" s="1">
        <v>46157</v>
      </c>
      <c r="G76" s="1">
        <v>46160</v>
      </c>
      <c r="H76" s="1">
        <v>46195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0.25499999999999989</v>
      </c>
      <c r="AI76" s="7">
        <v>0.68918918918918892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0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hidden="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0.86499999999999988</v>
      </c>
      <c r="F77" s="1">
        <v>46157</v>
      </c>
      <c r="G77" s="1">
        <v>46169</v>
      </c>
      <c r="H77" s="1">
        <v>46195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0.27499999999999991</v>
      </c>
      <c r="AI77" s="7">
        <v>0.74324324324324309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hidden="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7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hidden="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0.69</v>
      </c>
      <c r="F79" s="1">
        <v>46160</v>
      </c>
      <c r="G79" s="1">
        <v>46158</v>
      </c>
      <c r="H79" s="1">
        <v>46192</v>
      </c>
      <c r="I79" s="1">
        <v>46196</v>
      </c>
      <c r="J79">
        <v>3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0.18999999999999995</v>
      </c>
      <c r="AI79" s="7">
        <v>0.51351351351351338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hidden="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0.69</v>
      </c>
      <c r="F80" s="1">
        <v>46161</v>
      </c>
      <c r="G80" s="1">
        <v>46162</v>
      </c>
      <c r="H80" s="1">
        <v>46195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0.17999999999999997</v>
      </c>
      <c r="AI80" s="7">
        <v>0.4864864864864864</v>
      </c>
      <c r="AJ80" s="7">
        <v>5.4054054054054029E-2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hidden="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6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hidden="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11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hidden="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0.65999999999999992</v>
      </c>
      <c r="F83" s="1">
        <v>46162</v>
      </c>
      <c r="G83" s="1">
        <v>46171</v>
      </c>
      <c r="H83" s="1">
        <v>46195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0.15999999999999998</v>
      </c>
      <c r="AI83" s="7">
        <v>0.43243243243243235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hidden="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0.63</v>
      </c>
      <c r="F84" s="1">
        <v>46164</v>
      </c>
      <c r="G84" s="1">
        <v>46174</v>
      </c>
      <c r="H84" s="1">
        <v>46191</v>
      </c>
      <c r="I84" s="1">
        <v>46200</v>
      </c>
      <c r="J84">
        <v>4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0.12999999999999998</v>
      </c>
      <c r="AI84" s="7">
        <v>0.35135135135135126</v>
      </c>
      <c r="AJ84" s="7">
        <v>0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hidden="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3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hidden="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0.86499999999999988</v>
      </c>
      <c r="F86" s="1">
        <v>46167</v>
      </c>
      <c r="G86" s="1">
        <v>46171</v>
      </c>
      <c r="H86" s="1">
        <v>46190</v>
      </c>
      <c r="I86" s="1">
        <v>46193</v>
      </c>
      <c r="J86">
        <v>5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0.27499999999999986</v>
      </c>
      <c r="AI86" s="7">
        <v>0.74324324324324287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0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hidden="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0.62</v>
      </c>
      <c r="F87" s="1">
        <v>46167</v>
      </c>
      <c r="G87" s="1">
        <v>46176</v>
      </c>
      <c r="H87" s="1">
        <v>46195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0.11999999999999995</v>
      </c>
      <c r="AI87" s="7">
        <v>0.32432432432432423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hidden="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0.69</v>
      </c>
      <c r="F88" s="1">
        <v>46168</v>
      </c>
      <c r="G88" s="1">
        <v>46171</v>
      </c>
      <c r="H88" s="1">
        <v>46192</v>
      </c>
      <c r="I88" s="1">
        <v>46204</v>
      </c>
      <c r="J88">
        <v>3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0.17999999999999997</v>
      </c>
      <c r="AI88" s="7">
        <v>0.4864864864864864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hidden="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5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hidden="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0.80500000000000005</v>
      </c>
      <c r="F90" s="1">
        <v>46169</v>
      </c>
      <c r="G90" s="1">
        <v>46178</v>
      </c>
      <c r="H90" s="1">
        <v>46191</v>
      </c>
      <c r="I90" s="1">
        <v>46195</v>
      </c>
      <c r="J90">
        <v>4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0.21499999999999991</v>
      </c>
      <c r="AI90" s="7">
        <v>0.58108108108108092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0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hidden="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0.51</v>
      </c>
      <c r="F91" s="1">
        <v>46169</v>
      </c>
      <c r="G91" s="1">
        <v>46176</v>
      </c>
      <c r="H91" s="1">
        <v>46191</v>
      </c>
      <c r="I91" s="1">
        <v>46205</v>
      </c>
      <c r="J91">
        <v>4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2.9999999999999992E-2</v>
      </c>
      <c r="AI91" s="7">
        <v>8.1081081081081058E-2</v>
      </c>
      <c r="AJ91" s="7">
        <v>0</v>
      </c>
      <c r="AK91" s="7">
        <v>0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hidden="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0.55999999999999994</v>
      </c>
      <c r="F92" s="1">
        <v>46170</v>
      </c>
      <c r="G92" s="1">
        <v>46181</v>
      </c>
      <c r="H92" s="1">
        <v>46191</v>
      </c>
      <c r="I92" s="1">
        <v>46206</v>
      </c>
      <c r="J92">
        <v>4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7.9999999999999974E-2</v>
      </c>
      <c r="AI92" s="7">
        <v>0.21621621621621617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hidden="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0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hidden="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0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hidden="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0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hidden="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0.55999999999999994</v>
      </c>
      <c r="F96" s="1">
        <v>46174</v>
      </c>
      <c r="G96" s="1">
        <v>46177</v>
      </c>
      <c r="H96" s="1">
        <v>46190</v>
      </c>
      <c r="I96" s="1">
        <v>46210</v>
      </c>
      <c r="J96">
        <v>5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5.9999999999999984E-2</v>
      </c>
      <c r="AI96" s="7">
        <v>0.16216216216216212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hidden="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0.83499999999999985</v>
      </c>
      <c r="F97" s="1">
        <v>46174</v>
      </c>
      <c r="G97" s="1">
        <v>46177</v>
      </c>
      <c r="H97" s="1">
        <v>46192</v>
      </c>
      <c r="I97" s="1">
        <v>46200</v>
      </c>
      <c r="J97">
        <v>3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0.24499999999999988</v>
      </c>
      <c r="AI97" s="7">
        <v>0.66216216216216184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0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hidden="1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6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hidden="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0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hidden="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0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hidden="1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6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hidden="1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0.39</v>
      </c>
      <c r="F102" s="1">
        <v>46177</v>
      </c>
      <c r="G102" s="1">
        <v>46190</v>
      </c>
      <c r="H102" s="1">
        <v>46192</v>
      </c>
      <c r="I102" s="1">
        <v>46201</v>
      </c>
      <c r="J102">
        <v>3</v>
      </c>
      <c r="K102" s="1"/>
      <c r="L102" s="7">
        <v>0.39</v>
      </c>
      <c r="M102" s="7">
        <v>0.90697674418604635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hidden="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0.39</v>
      </c>
      <c r="F103" s="1">
        <v>46177</v>
      </c>
      <c r="G103" s="1">
        <v>46190</v>
      </c>
      <c r="H103" s="1">
        <v>46190</v>
      </c>
      <c r="I103" s="1">
        <v>46211</v>
      </c>
      <c r="J103">
        <v>5</v>
      </c>
      <c r="K103" s="1"/>
      <c r="L103" s="7">
        <v>0.39</v>
      </c>
      <c r="M103" s="7">
        <v>0.90697674418604635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hidden="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0.5</v>
      </c>
      <c r="F104" s="1">
        <v>46178</v>
      </c>
      <c r="G104" s="1">
        <v>46184</v>
      </c>
      <c r="H104" s="1">
        <v>46195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hidden="1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0.54999999999999993</v>
      </c>
      <c r="F105" s="1">
        <v>46178</v>
      </c>
      <c r="G105" s="1">
        <v>46184</v>
      </c>
      <c r="H105" s="1">
        <v>46195</v>
      </c>
      <c r="I105" s="1">
        <v>46202</v>
      </c>
      <c r="J105">
        <v>0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hidden="1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0.39</v>
      </c>
      <c r="F106" s="1">
        <v>46181</v>
      </c>
      <c r="G106" s="1">
        <v>46189</v>
      </c>
      <c r="H106" s="1">
        <v>46190</v>
      </c>
      <c r="I106" s="1">
        <v>46205</v>
      </c>
      <c r="J106">
        <v>5</v>
      </c>
      <c r="K106" s="1"/>
      <c r="L106" s="7">
        <v>0.39</v>
      </c>
      <c r="M106" s="7">
        <v>0.90697674418604635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hidden="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0.39</v>
      </c>
      <c r="F107" s="1">
        <v>46181</v>
      </c>
      <c r="G107" s="1">
        <v>46190</v>
      </c>
      <c r="H107" s="1">
        <v>46191</v>
      </c>
      <c r="I107" s="1">
        <v>46215</v>
      </c>
      <c r="J107">
        <v>4</v>
      </c>
      <c r="K107" s="1"/>
      <c r="L107" s="7">
        <v>0.39</v>
      </c>
      <c r="M107" s="7">
        <v>0.90697674418604635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hidden="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46195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hidden="1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46195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hidden="1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46195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hidden="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46195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hidden="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0.39</v>
      </c>
      <c r="F112" s="1">
        <v>46184</v>
      </c>
      <c r="G112" s="1">
        <v>46190</v>
      </c>
      <c r="H112" s="1">
        <v>46191</v>
      </c>
      <c r="I112" s="1">
        <v>46218</v>
      </c>
      <c r="J112">
        <v>4</v>
      </c>
      <c r="K112" s="1"/>
      <c r="L112" s="7">
        <v>0.39</v>
      </c>
      <c r="M112" s="7">
        <v>0.90697674418604635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hidden="1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0.39</v>
      </c>
      <c r="F113" s="1">
        <v>46184</v>
      </c>
      <c r="G113" s="1">
        <v>46192</v>
      </c>
      <c r="H113" s="1">
        <v>46195</v>
      </c>
      <c r="I113" s="1">
        <v>46208</v>
      </c>
      <c r="J113">
        <v>0</v>
      </c>
      <c r="K113" s="1"/>
      <c r="L113" s="7">
        <v>0.39</v>
      </c>
      <c r="M113" s="7">
        <v>0.90697674418604635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hidden="1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46195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hidden="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46195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hidden="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46195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hidden="1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46195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hidden="1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46195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hidden="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46195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hidden="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46195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hidden="1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46195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hidden="1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46195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hidden="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46195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hidden="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46195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hidden="1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46195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hidden="1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46195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hidden="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46195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hidden="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46195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hidden="1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46195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hidden="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46195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hidden="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46195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hidden="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46195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hidden="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46195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hidden="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46195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hidden="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46195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hidden="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46195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hidden="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46195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hidden="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46195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hidden="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46195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hidden="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46195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hidden="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46195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hidden="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46195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hidden="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46195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hidden="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46195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hidden="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46195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hidden="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46195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hidden="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46195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hidden="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46195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hidden="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46195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hidden="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46195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hidden="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46195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hidden="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46195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hidden="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46195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hidden="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46195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hidden="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46195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hidden="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46195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hidden="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46195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hidden="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46195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hidden="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46195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hidden="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46195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hidden="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46195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hidden="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46195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hidden="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46195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hidden="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46195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hidden="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46195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hidden="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46195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hidden="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46195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hidden="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46195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hidden="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46195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hidden="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46195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hidden="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46195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hidden="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46195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hidden="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46195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hidden="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46195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hidden="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46195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hidden="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46195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hidden="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46195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hidden="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46195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hidden="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46195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hidden="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46195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hidden="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46195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hidden="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46195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hidden="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46195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hidden="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46195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hidden="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46195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hidden="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46195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hidden="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46195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hidden="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46195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hidden="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46195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hidden="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46195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hidden="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46195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hidden="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46195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hidden="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46195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hidden="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46195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hidden="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46195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hidden="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46195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hidden="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46195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hidden="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46195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hidden="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46195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hidden="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46195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hidden="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46195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hidden="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46195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hidden="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46195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hidden="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46195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hidden="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46195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hidden="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46195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hidden="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46195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hidden="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46195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hidden="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46195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hidden="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46195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hidden="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46195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hidden="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46195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hidden="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46195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hidden="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46195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hidden="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46195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hidden="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46195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hidden="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46195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hidden="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46195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hidden="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46195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hidden="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46195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hidden="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46195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hidden="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46195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hidden="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46195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hidden="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46195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hidden="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46195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hidden="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46195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hidden="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46195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hidden="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46195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hidden="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46195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hidden="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46195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hidden="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46195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hidden="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46195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hidden="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46195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hidden="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46195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hidden="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46195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hidden="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46195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hidden="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46195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hidden="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46195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hidden="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46195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hidden="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46195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hidden="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46195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hidden="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46195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hidden="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46195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hidden="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46195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hidden="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46195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hidden="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46195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hidden="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46195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hidden="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46195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hidden="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46195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hidden="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46195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hidden="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46195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hidden="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46195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hidden="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46195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hidden="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46195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hidden="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46195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hidden="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46195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hidden="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46195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hidden="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46195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hidden="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46195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hidden="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46195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hidden="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46195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hidden="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46195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hidden="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46195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hidden="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46195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hidden="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46195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hidden="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46195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hidden="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46195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hidden="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46195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hidden="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46195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hidden="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46195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hidden="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46195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hidden="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46195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hidden="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46195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hidden="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46195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hidden="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46195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hidden="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46195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hidden="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46195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hidden="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46195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hidden="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46195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hidden="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46195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hidden="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46195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hidden="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46195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hidden="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46195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hidden="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46195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hidden="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46195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hidden="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46195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hidden="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46195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hidden="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46195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hidden="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46195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hidden="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46195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hidden="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46195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hidden="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46195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hidden="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46195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hidden="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46195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hidden="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46195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hidden="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46195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hidden="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46195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hidden="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46195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hidden="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46195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hidden="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46195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hidden="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46195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hidden="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46195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hidden="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46195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hidden="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46195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hidden="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46195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hidden="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46195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hidden="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46195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hidden="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46195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hidden="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46195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hidden="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46195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hidden="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46195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hidden="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46195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hidden="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46195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hidden="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46195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hidden="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46195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hidden="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46195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hidden="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46195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hidden="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46195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hidden="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46195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hidden="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46195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hidden="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46195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hidden="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46195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hidden="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46195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hidden="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46195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hidden="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46195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hidden="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46195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hidden="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46195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hidden="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46195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hidden="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46195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hidden="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46195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hidden="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46195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hidden="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46195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hidden="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46195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hidden="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46195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hidden="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46195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hidden="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46195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hidden="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46195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hidden="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46195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hidden="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46195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hidden="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46195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hidden="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46195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hidden="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46195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hidden="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46195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hidden="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46195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hidden="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46195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hidden="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46195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hidden="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46195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hidden="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46195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hidden="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46195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hidden="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46195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hidden="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46195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hidden="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46195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hidden="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46195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hidden="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46195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hidden="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46195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hidden="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46195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hidden="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46195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hidden="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46195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hidden="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46195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hidden="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46195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hidden="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46195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hidden="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46195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hidden="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46195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hidden="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46195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hidden="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46195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hidden="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46195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hidden="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46195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hidden="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46195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hidden="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46195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hidden="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46195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hidden="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46195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hidden="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46195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hidden="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46195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hidden="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46195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hidden="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46195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hidden="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46195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hidden="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46195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hidden="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46195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hidden="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46195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hidden="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46195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hidden="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46195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hidden="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46195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hidden="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46195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hidden="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46195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hidden="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46195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hidden="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46195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hidden="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46195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hidden="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46195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hidden="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46195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hidden="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46195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hidden="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46195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hidden="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46195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hidden="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46195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hidden="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46195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hidden="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46195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hidden="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46195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hidden="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46195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hidden="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46195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hidden="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46195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hidden="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46195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hidden="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46195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hidden="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46195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hidden="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46195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hidden="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46195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hidden="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46195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hidden="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46195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hidden="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46195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hidden="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46195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hidden="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46195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hidden="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46195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hidden="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46195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hidden="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46195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hidden="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46195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hidden="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46195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hidden="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46195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hidden="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46195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hidden="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46195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hidden="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46195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hidden="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46195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hidden="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46195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hidden="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46195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hidden="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46195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hidden="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46195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hidden="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46195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hidden="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46195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hidden="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46195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hidden="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46195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hidden="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46195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hidden="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46195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hidden="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46195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hidden="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46195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hidden="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46195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hidden="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46195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hidden="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46195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hidden="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46195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hidden="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46195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hidden="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46195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hidden="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46195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hidden="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46195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hidden="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46195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hidden="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46195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hidden="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46195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hidden="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46195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hidden="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46195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hidden="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46195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hidden="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46195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hidden="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46195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hidden="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46195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hidden="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46195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hidden="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46195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hidden="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46195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hidden="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46195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hidden="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46195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hidden="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46195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hidden="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46195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hidden="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46195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hidden="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46195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hidden="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46195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hidden="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46195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hidden="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46195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hidden="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46195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hidden="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46195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hidden="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46195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hidden="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46195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hidden="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46195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hidden="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46195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hidden="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46195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hidden="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46195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hidden="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46195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hidden="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46195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hidden="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46195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hidden="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46195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hidden="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46195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hidden="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46195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hidden="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46195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hidden="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46195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hidden="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46195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hidden="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46195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hidden="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46195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hidden="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46195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hidden="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46195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hidden="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46195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hidden="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46195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hidden="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46195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hidden="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46195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hidden="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46195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hidden="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46195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hidden="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46195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hidden="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46195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hidden="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46195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hidden="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46195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hidden="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46195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hidden="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46195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hidden="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46195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hidden="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46195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hidden="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46195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hidden="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46195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hidden="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46195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hidden="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46195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hidden="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46195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hidden="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46195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hidden="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46195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hidden="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46195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hidden="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46195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hidden="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46195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hidden="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46195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hidden="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46195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hidden="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46195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hidden="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46195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hidden="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46195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hidden="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46195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hidden="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46195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hidden="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46195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hidden="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46195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hidden="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46195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hidden="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46195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hidden="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46195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hidden="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46195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hidden="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46195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hidden="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46195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hidden="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46195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hidden="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46195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hidden="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46195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hidden="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46195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hidden="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46195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hidden="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46195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hidden="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46195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hidden="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46195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hidden="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46195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hidden="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46195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hidden="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46195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hidden="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46195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hidden="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46195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hidden="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46195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hidden="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46195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hidden="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46195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hidden="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46195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hidden="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46195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hidden="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46195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hidden="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46195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hidden="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46195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hidden="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46195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hidden="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46195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hidden="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46195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hidden="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46195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hidden="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46195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hidden="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46195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hidden="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46195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hidden="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46195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hidden="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46195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hidden="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46195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hidden="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46195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hidden="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46195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hidden="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46195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hidden="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46195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hidden="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46195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hidden="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46195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hidden="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46195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hidden="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46195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hidden="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46195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hidden="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46195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hidden="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46195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hidden="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46195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hidden="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46195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hidden="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46195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hidden="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46195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hidden="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46195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hidden="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46195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hidden="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46195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hidden="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46195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hidden="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46195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hidden="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46195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hidden="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46195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hidden="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46195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hidden="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46195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hidden="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46195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hidden="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46195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hidden="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46195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hidden="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46195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hidden="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46195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hidden="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46195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hidden="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46195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hidden="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46195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hidden="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46195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hidden="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46195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hidden="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46195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hidden="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46195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hidden="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46195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hidden="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46195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hidden="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46195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hidden="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46195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hidden="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46195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hidden="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46195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hidden="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46195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hidden="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46195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hidden="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46195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hidden="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46195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hidden="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46195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hidden="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46195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hidden="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46195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hidden="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46195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hidden="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46195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hidden="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46195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hidden="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46195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hidden="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46195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hidden="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46195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hidden="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46195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hidden="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46195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hidden="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46195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hidden="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46195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hidden="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46195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hidden="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46195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hidden="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46195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hidden="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46195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hidden="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46195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hidden="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46195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hidden="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46195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hidden="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46195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hidden="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46195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hidden="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46195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hidden="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46195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hidden="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46195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hidden="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46195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hidden="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46195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hidden="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46195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hidden="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46195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hidden="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46195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hidden="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46195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hidden="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46195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hidden="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46195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hidden="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46195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hidden="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46195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hidden="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46195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hidden="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46195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hidden="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46195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hidden="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46195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hidden="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46195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hidden="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46195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hidden="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46195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hidden="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46195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hidden="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46195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hidden="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46195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hidden="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46195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hidden="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46195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hidden="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46195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hidden="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46195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hidden="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46195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hidden="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46195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hidden="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46195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hidden="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46195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hidden="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46195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hidden="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46195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hidden="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46195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hidden="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46195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hidden="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46195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hidden="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46195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hidden="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46195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hidden="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46195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hidden="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46195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hidden="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46195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hidden="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46195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hidden="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46195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hidden="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46195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hidden="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46195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hidden="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46195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hidden="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46195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hidden="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46195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hidden="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46195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hidden="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46195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hidden="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46195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hidden="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46195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hidden="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46195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hidden="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46195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hidden="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46195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hidden="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46195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hidden="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46195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hidden="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46195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hidden="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46195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hidden="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46195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hidden="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46195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hidden="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46195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hidden="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46195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hidden="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46195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hidden="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46195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hidden="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46195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hidden="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46195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hidden="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46195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hidden="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46195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hidden="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46195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hidden="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46195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hidden="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46195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hidden="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46195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hidden="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46195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hidden="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46195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hidden="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46195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hidden="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46195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hidden="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46195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hidden="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46195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hidden="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46195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hidden="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46195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hidden="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46195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hidden="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46195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hidden="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46195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hidden="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46195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hidden="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46195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8" workbookViewId="0">
      <selection activeCell="F127" sqref="F127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3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E91" zoomScale="91" zoomScaleNormal="91" workbookViewId="0">
      <selection activeCell="AF1" sqref="A1:AF1048576"/>
    </sheetView>
  </sheetViews>
  <sheetFormatPr baseColWidth="10" defaultRowHeight="15" x14ac:dyDescent="0.25"/>
  <cols>
    <col min="1" max="1" width="1.85546875" customWidth="1"/>
    <col min="2" max="2" width="17.85546875" bestFit="1" customWidth="1"/>
    <col min="3" max="3" width="20.28515625" bestFit="1" customWidth="1"/>
    <col min="4" max="4" width="12.42578125" bestFit="1" customWidth="1"/>
    <col min="5" max="5" width="5.5703125" customWidth="1"/>
    <col min="6" max="6" width="17.85546875" bestFit="1" customWidth="1"/>
    <col min="7" max="7" width="21.85546875" customWidth="1"/>
    <col min="8" max="8" width="12.28515625" customWidth="1"/>
    <col min="9" max="9" width="2.5703125" customWidth="1"/>
    <col min="10" max="10" width="12.5703125" bestFit="1" customWidth="1"/>
    <col min="11" max="11" width="10.42578125" bestFit="1" customWidth="1"/>
    <col min="12" max="12" width="11.42578125" bestFit="1" customWidth="1"/>
    <col min="13" max="13" width="3.28515625" customWidth="1"/>
    <col min="14" max="14" width="4.140625" customWidth="1"/>
    <col min="15" max="15" width="17.85546875" bestFit="1" customWidth="1"/>
    <col min="16" max="16" width="21.85546875" bestFit="1" customWidth="1"/>
    <col min="17" max="17" width="4.140625" customWidth="1"/>
    <col min="18" max="18" width="2.42578125" customWidth="1"/>
    <col min="19" max="19" width="17.85546875" bestFit="1" customWidth="1"/>
    <col min="20" max="20" width="19.42578125" bestFit="1" customWidth="1"/>
    <col min="21" max="21" width="22" bestFit="1" customWidth="1"/>
    <col min="22" max="22" width="1.85546875" customWidth="1"/>
    <col min="23" max="23" width="17.85546875" bestFit="1" customWidth="1"/>
    <col min="24" max="24" width="29.28515625" bestFit="1" customWidth="1"/>
    <col min="25" max="25" width="33.140625" customWidth="1"/>
    <col min="26" max="26" width="2.28515625" customWidth="1"/>
    <col min="27" max="27" width="17.85546875" bestFit="1" customWidth="1"/>
    <col min="28" max="28" width="15.85546875" bestFit="1" customWidth="1"/>
    <col min="29" max="29" width="21.42578125" bestFit="1" customWidth="1"/>
    <col min="30" max="30" width="23.140625" customWidth="1"/>
    <col min="31" max="31" width="15.28515625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46195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46243</v>
      </c>
      <c r="C4" s="24">
        <v>210</v>
      </c>
      <c r="D4" s="24">
        <v>108</v>
      </c>
      <c r="F4" s="9" t="s">
        <v>815</v>
      </c>
      <c r="G4" s="81">
        <v>0</v>
      </c>
      <c r="H4" s="81">
        <v>13</v>
      </c>
      <c r="J4" s="39">
        <v>46243</v>
      </c>
      <c r="K4" s="13">
        <v>0.51428571428571423</v>
      </c>
      <c r="L4" s="13">
        <v>0.29090909090909089</v>
      </c>
      <c r="O4" s="9" t="s">
        <v>1574</v>
      </c>
      <c r="P4" s="13">
        <v>0.52777777777777779</v>
      </c>
      <c r="S4" s="39">
        <v>46243</v>
      </c>
      <c r="T4" s="81">
        <v>102</v>
      </c>
      <c r="U4" s="81">
        <v>117</v>
      </c>
      <c r="X4" t="s">
        <v>1581</v>
      </c>
      <c r="Y4" t="str">
        <f ca="1">+_xlfn.XLOOKUP(X2,S4:S500,U4:U500,"",0)</f>
        <v/>
      </c>
    </row>
    <row r="5" spans="2:32" x14ac:dyDescent="0.25">
      <c r="B5" s="39" t="s">
        <v>420</v>
      </c>
      <c r="C5" s="24">
        <v>210</v>
      </c>
      <c r="D5" s="24">
        <v>108</v>
      </c>
      <c r="F5" s="10">
        <v>33</v>
      </c>
      <c r="G5" s="81">
        <v>0</v>
      </c>
      <c r="H5" s="81">
        <v>13</v>
      </c>
      <c r="J5" s="39" t="s">
        <v>420</v>
      </c>
      <c r="K5" s="13">
        <v>0.51428571428571423</v>
      </c>
      <c r="L5" s="13">
        <v>0.29090909090909089</v>
      </c>
      <c r="O5" s="9" t="s">
        <v>1575</v>
      </c>
      <c r="P5" s="13">
        <v>3.7037037037037035E-2</v>
      </c>
      <c r="S5" s="39" t="s">
        <v>420</v>
      </c>
      <c r="T5" s="81">
        <v>102</v>
      </c>
      <c r="U5" s="81">
        <v>117</v>
      </c>
    </row>
    <row r="6" spans="2:32" x14ac:dyDescent="0.25">
      <c r="O6" s="9" t="s">
        <v>1576</v>
      </c>
      <c r="P6" s="13">
        <v>0.43518518518518517</v>
      </c>
    </row>
    <row r="7" spans="2:32" x14ac:dyDescent="0.25">
      <c r="O7" s="9" t="s">
        <v>420</v>
      </c>
      <c r="P7" s="13">
        <v>1</v>
      </c>
      <c r="X7" t="s">
        <v>1583</v>
      </c>
      <c r="Y7">
        <v>704</v>
      </c>
    </row>
    <row r="8" spans="2:32" x14ac:dyDescent="0.25">
      <c r="O8" s="8" t="s">
        <v>1573</v>
      </c>
      <c r="P8" t="s">
        <v>1579</v>
      </c>
      <c r="X8" t="s">
        <v>1584</v>
      </c>
      <c r="Y8">
        <f>+COUNTIF(AVANCE[% AVANCE],100%)</f>
        <v>48</v>
      </c>
    </row>
    <row r="9" spans="2:32" x14ac:dyDescent="0.25">
      <c r="X9" t="s">
        <v>1585</v>
      </c>
      <c r="Y9">
        <f>+Y7-Y8</f>
        <v>656</v>
      </c>
    </row>
    <row r="10" spans="2:32" x14ac:dyDescent="0.25">
      <c r="O10" s="8" t="s">
        <v>419</v>
      </c>
      <c r="P10" t="s">
        <v>1558</v>
      </c>
      <c r="X10" t="s">
        <v>1586</v>
      </c>
      <c r="Y10">
        <f>+AVERAGE(G4:G500)</f>
        <v>0</v>
      </c>
    </row>
    <row r="11" spans="2:32" x14ac:dyDescent="0.25">
      <c r="O11" s="9" t="s">
        <v>1576</v>
      </c>
      <c r="P11" s="13">
        <v>0.44444444444444442</v>
      </c>
      <c r="X11" t="s">
        <v>1587</v>
      </c>
      <c r="Y11" s="42" t="e">
        <f>+Y9/Y10</f>
        <v>#DIV/0!</v>
      </c>
    </row>
    <row r="12" spans="2:32" x14ac:dyDescent="0.25">
      <c r="O12" s="9" t="s">
        <v>1578</v>
      </c>
      <c r="P12" s="13">
        <v>0.55555555555555558</v>
      </c>
      <c r="W12" s="8" t="s">
        <v>825</v>
      </c>
      <c r="X12" t="s">
        <v>449</v>
      </c>
      <c r="Y12" s="1"/>
    </row>
    <row r="13" spans="2:32" x14ac:dyDescent="0.25">
      <c r="O13" s="9" t="s">
        <v>420</v>
      </c>
      <c r="P13" s="13">
        <v>1</v>
      </c>
      <c r="W13" s="8" t="s">
        <v>1577</v>
      </c>
      <c r="X13" t="s">
        <v>1576</v>
      </c>
      <c r="Y13" s="1"/>
    </row>
    <row r="15" spans="2:32" x14ac:dyDescent="0.25">
      <c r="W15" s="8" t="s">
        <v>419</v>
      </c>
      <c r="X15" t="s">
        <v>1656</v>
      </c>
      <c r="AF15"/>
    </row>
    <row r="16" spans="2:32" x14ac:dyDescent="0.25">
      <c r="W16" s="9" t="s">
        <v>114</v>
      </c>
      <c r="X16" s="81">
        <v>0</v>
      </c>
      <c r="AF16"/>
    </row>
    <row r="17" spans="23:36" x14ac:dyDescent="0.25">
      <c r="W17" s="9" t="s">
        <v>150</v>
      </c>
      <c r="X17" s="81">
        <v>0</v>
      </c>
      <c r="AF17"/>
    </row>
    <row r="18" spans="23:36" x14ac:dyDescent="0.25">
      <c r="W18" s="9" t="s">
        <v>75</v>
      </c>
      <c r="X18" s="81">
        <v>0</v>
      </c>
      <c r="AF18"/>
    </row>
    <row r="19" spans="23:36" x14ac:dyDescent="0.25">
      <c r="W19" s="9" t="s">
        <v>123</v>
      </c>
      <c r="X19" s="81">
        <v>0</v>
      </c>
      <c r="AF19"/>
    </row>
    <row r="20" spans="23:36" x14ac:dyDescent="0.25">
      <c r="W20" s="9" t="s">
        <v>198</v>
      </c>
      <c r="X20" s="81">
        <v>0</v>
      </c>
      <c r="AF20"/>
    </row>
    <row r="21" spans="23:36" x14ac:dyDescent="0.25">
      <c r="W21" s="9" t="s">
        <v>200</v>
      </c>
      <c r="X21" s="81">
        <v>0</v>
      </c>
      <c r="AF21"/>
    </row>
    <row r="22" spans="23:36" x14ac:dyDescent="0.25">
      <c r="W22" s="9" t="s">
        <v>834</v>
      </c>
      <c r="X22" s="81">
        <v>0</v>
      </c>
      <c r="AF22"/>
    </row>
    <row r="23" spans="23:36" x14ac:dyDescent="0.25">
      <c r="W23" s="9" t="s">
        <v>835</v>
      </c>
      <c r="X23" s="81">
        <v>0</v>
      </c>
      <c r="AF23"/>
    </row>
    <row r="24" spans="23:36" x14ac:dyDescent="0.25">
      <c r="W24" s="9" t="s">
        <v>176</v>
      </c>
      <c r="X24" s="81">
        <v>0</v>
      </c>
      <c r="AF24"/>
    </row>
    <row r="25" spans="23:36" x14ac:dyDescent="0.25">
      <c r="W25" s="9" t="s">
        <v>836</v>
      </c>
      <c r="X25" s="81">
        <v>0</v>
      </c>
      <c r="AF25"/>
    </row>
    <row r="26" spans="23:36" x14ac:dyDescent="0.25">
      <c r="W26" s="9" t="s">
        <v>224</v>
      </c>
      <c r="X26" s="81">
        <v>0</v>
      </c>
      <c r="AF26"/>
    </row>
    <row r="27" spans="23:36" x14ac:dyDescent="0.25">
      <c r="W27" s="9" t="s">
        <v>227</v>
      </c>
      <c r="X27" s="81">
        <v>0</v>
      </c>
    </row>
    <row r="28" spans="23:36" x14ac:dyDescent="0.25">
      <c r="W28" s="9" t="s">
        <v>837</v>
      </c>
      <c r="X28" s="81">
        <v>0</v>
      </c>
    </row>
    <row r="29" spans="23:36" x14ac:dyDescent="0.25">
      <c r="W29" s="9" t="s">
        <v>838</v>
      </c>
      <c r="X29" s="81">
        <v>0</v>
      </c>
    </row>
    <row r="30" spans="23:36" x14ac:dyDescent="0.25">
      <c r="W30" s="9" t="s">
        <v>839</v>
      </c>
      <c r="X30" s="81">
        <v>0</v>
      </c>
    </row>
    <row r="31" spans="23:36" x14ac:dyDescent="0.25">
      <c r="W31" s="9" t="s">
        <v>840</v>
      </c>
      <c r="X31" s="81">
        <v>0</v>
      </c>
      <c r="AF31" s="77"/>
      <c r="AG31" s="77"/>
      <c r="AH31" s="77"/>
      <c r="AI31" s="77"/>
      <c r="AJ31" s="77"/>
    </row>
    <row r="32" spans="23:36" x14ac:dyDescent="0.25">
      <c r="W32" s="9" t="s">
        <v>841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842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843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844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845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846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847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848</v>
      </c>
      <c r="X40" s="81">
        <v>0</v>
      </c>
      <c r="AD40" s="43"/>
    </row>
    <row r="41" spans="23:36" ht="15" customHeight="1" x14ac:dyDescent="0.25">
      <c r="W41" s="9" t="s">
        <v>849</v>
      </c>
      <c r="X41" s="81">
        <v>0</v>
      </c>
    </row>
    <row r="42" spans="23:36" x14ac:dyDescent="0.25">
      <c r="W42" s="9" t="s">
        <v>850</v>
      </c>
      <c r="X42" s="81">
        <v>0</v>
      </c>
    </row>
    <row r="43" spans="23:36" x14ac:dyDescent="0.25">
      <c r="W43" s="9" t="s">
        <v>851</v>
      </c>
      <c r="X43" s="81">
        <v>0</v>
      </c>
    </row>
    <row r="44" spans="23:36" x14ac:dyDescent="0.25">
      <c r="W44" s="9" t="s">
        <v>852</v>
      </c>
      <c r="X44" s="81">
        <v>0</v>
      </c>
    </row>
    <row r="45" spans="23:36" x14ac:dyDescent="0.25">
      <c r="W45" s="9" t="s">
        <v>853</v>
      </c>
      <c r="X45" s="81">
        <v>0</v>
      </c>
    </row>
    <row r="46" spans="23:36" x14ac:dyDescent="0.25">
      <c r="W46" s="9" t="s">
        <v>854</v>
      </c>
      <c r="X46" s="81">
        <v>0</v>
      </c>
    </row>
    <row r="47" spans="23:36" x14ac:dyDescent="0.25">
      <c r="W47" s="9" t="s">
        <v>855</v>
      </c>
      <c r="X47" s="81">
        <v>0</v>
      </c>
    </row>
    <row r="48" spans="23:36" x14ac:dyDescent="0.25">
      <c r="W48" s="9" t="s">
        <v>857</v>
      </c>
      <c r="X48" s="81">
        <v>0</v>
      </c>
    </row>
    <row r="49" spans="23:24" x14ac:dyDescent="0.25">
      <c r="W49" s="9" t="s">
        <v>858</v>
      </c>
      <c r="X49" s="81">
        <v>0</v>
      </c>
    </row>
    <row r="50" spans="23:24" x14ac:dyDescent="0.25">
      <c r="W50" s="9" t="s">
        <v>859</v>
      </c>
      <c r="X50" s="81">
        <v>0</v>
      </c>
    </row>
    <row r="51" spans="23:24" x14ac:dyDescent="0.25">
      <c r="W51" s="9" t="s">
        <v>860</v>
      </c>
      <c r="X51" s="81">
        <v>0</v>
      </c>
    </row>
    <row r="52" spans="23:24" x14ac:dyDescent="0.25">
      <c r="W52" s="9" t="s">
        <v>861</v>
      </c>
      <c r="X52" s="81">
        <v>0</v>
      </c>
    </row>
    <row r="53" spans="23:24" x14ac:dyDescent="0.25">
      <c r="W53" s="9" t="s">
        <v>862</v>
      </c>
      <c r="X53" s="81">
        <v>0</v>
      </c>
    </row>
    <row r="54" spans="23:24" x14ac:dyDescent="0.25">
      <c r="W54" s="9" t="s">
        <v>863</v>
      </c>
      <c r="X54" s="81">
        <v>0</v>
      </c>
    </row>
    <row r="55" spans="23:24" x14ac:dyDescent="0.25">
      <c r="W55" s="9" t="s">
        <v>864</v>
      </c>
      <c r="X55" s="81">
        <v>0</v>
      </c>
    </row>
    <row r="56" spans="23:24" x14ac:dyDescent="0.25">
      <c r="W56" s="9" t="s">
        <v>865</v>
      </c>
      <c r="X56" s="81">
        <v>0</v>
      </c>
    </row>
    <row r="57" spans="23:24" x14ac:dyDescent="0.25">
      <c r="W57" s="9" t="s">
        <v>866</v>
      </c>
      <c r="X57" s="81">
        <v>0</v>
      </c>
    </row>
    <row r="58" spans="23:24" x14ac:dyDescent="0.25">
      <c r="W58" s="9" t="s">
        <v>867</v>
      </c>
      <c r="X58" s="81">
        <v>0</v>
      </c>
    </row>
    <row r="59" spans="23:24" x14ac:dyDescent="0.25">
      <c r="W59" s="9" t="s">
        <v>868</v>
      </c>
      <c r="X59" s="81">
        <v>0</v>
      </c>
    </row>
    <row r="60" spans="23:24" x14ac:dyDescent="0.25">
      <c r="W60" s="9" t="s">
        <v>869</v>
      </c>
      <c r="X60" s="81">
        <v>0</v>
      </c>
    </row>
    <row r="61" spans="23:24" x14ac:dyDescent="0.25">
      <c r="W61" s="9" t="s">
        <v>870</v>
      </c>
      <c r="X61" s="81">
        <v>0</v>
      </c>
    </row>
    <row r="62" spans="23:24" x14ac:dyDescent="0.25">
      <c r="W62" s="9" t="s">
        <v>872</v>
      </c>
      <c r="X62" s="81">
        <v>0</v>
      </c>
    </row>
    <row r="63" spans="23:24" x14ac:dyDescent="0.25">
      <c r="W63" s="9" t="s">
        <v>873</v>
      </c>
      <c r="X63" s="81">
        <v>0</v>
      </c>
    </row>
    <row r="64" spans="23:24" x14ac:dyDescent="0.25">
      <c r="W64" s="9" t="s">
        <v>420</v>
      </c>
      <c r="X64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46243</v>
      </c>
      <c r="C504" s="81">
        <v>165</v>
      </c>
      <c r="D504" s="81">
        <v>48</v>
      </c>
      <c r="F504" s="9" t="s">
        <v>1560</v>
      </c>
      <c r="G504" s="81">
        <v>7</v>
      </c>
      <c r="J504" s="9">
        <v>33</v>
      </c>
      <c r="K504" s="81">
        <v>0</v>
      </c>
      <c r="L504" s="24">
        <v>13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 t="s">
        <v>420</v>
      </c>
      <c r="C505" s="81">
        <v>165</v>
      </c>
      <c r="D505" s="81">
        <v>48</v>
      </c>
      <c r="F505" s="9" t="s">
        <v>1561</v>
      </c>
      <c r="G505" s="81">
        <v>6</v>
      </c>
      <c r="J505" s="9" t="s">
        <v>420</v>
      </c>
      <c r="K505" s="81">
        <v>0</v>
      </c>
      <c r="L505" s="24">
        <v>13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F506" s="9" t="s">
        <v>1562</v>
      </c>
      <c r="G506" s="81">
        <v>10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F507" s="9" t="s">
        <v>1563</v>
      </c>
      <c r="G507" s="81">
        <v>12</v>
      </c>
      <c r="O507" s="9" t="s">
        <v>455</v>
      </c>
      <c r="P507" s="13">
        <v>0.98269230769230775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F508" s="9" t="s">
        <v>1564</v>
      </c>
      <c r="G508" s="81">
        <v>16</v>
      </c>
      <c r="O508" s="9" t="s">
        <v>780</v>
      </c>
      <c r="P508" s="13">
        <v>0.83616666666666661</v>
      </c>
      <c r="S508" s="9" t="s">
        <v>1595</v>
      </c>
      <c r="T508" s="13">
        <v>0.13120000000000001</v>
      </c>
      <c r="U508" s="13">
        <v>0.16602659701966191</v>
      </c>
      <c r="W508" s="9" t="s">
        <v>1595</v>
      </c>
      <c r="X508" s="71">
        <v>3520.3074844418165</v>
      </c>
      <c r="Y508" s="72">
        <v>2781.8695934848884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F509" s="9" t="s">
        <v>1567</v>
      </c>
      <c r="G509" s="81">
        <v>48</v>
      </c>
      <c r="O509" s="9" t="s">
        <v>1595</v>
      </c>
      <c r="P509" s="13">
        <v>0.53181818181818197</v>
      </c>
      <c r="S509" s="9" t="s">
        <v>420</v>
      </c>
      <c r="T509" s="13">
        <v>0.13120000000000001</v>
      </c>
      <c r="U509" s="13">
        <v>0.16602659701966191</v>
      </c>
      <c r="W509" s="9" t="s">
        <v>420</v>
      </c>
      <c r="X509" s="71">
        <v>3520.3074844418165</v>
      </c>
      <c r="Y509" s="72">
        <v>2781.8695934848884</v>
      </c>
      <c r="AA509" s="9" t="s">
        <v>1595</v>
      </c>
      <c r="AB509" s="72">
        <v>1314.0587200762486</v>
      </c>
      <c r="AC509" s="75">
        <v>815.20740098257329</v>
      </c>
    </row>
    <row r="510" spans="2:29" x14ac:dyDescent="0.25">
      <c r="F510" s="9" t="s">
        <v>420</v>
      </c>
      <c r="G510" s="81">
        <v>99</v>
      </c>
      <c r="O510" s="9" t="s">
        <v>420</v>
      </c>
      <c r="P510" s="13">
        <v>0.13115767045454543</v>
      </c>
      <c r="AA510" s="9" t="s">
        <v>420</v>
      </c>
      <c r="AB510" s="72">
        <v>10521.30339419924</v>
      </c>
      <c r="AC510" s="75" t="e">
        <v>#VALUE!</v>
      </c>
    </row>
    <row r="516" spans="33:36" x14ac:dyDescent="0.25">
      <c r="AG516" s="73">
        <f>+GETPIVOTDATA("% AVANCE",$O$503)</f>
        <v>0.13115767045454543</v>
      </c>
      <c r="AH516" s="73">
        <f>+AI516-AG516</f>
        <v>0.86884232954545459</v>
      </c>
      <c r="AI516" s="73">
        <v>1</v>
      </c>
      <c r="AJ516" s="52"/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Z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92.078770680056039</v>
      </c>
    </row>
    <row r="6" spans="2:55" x14ac:dyDescent="0.25">
      <c r="B6" s="9" t="s">
        <v>549</v>
      </c>
      <c r="C6" s="24">
        <v>86.807644987001439</v>
      </c>
    </row>
    <row r="7" spans="2:55" x14ac:dyDescent="0.25">
      <c r="B7" s="9" t="s">
        <v>539</v>
      </c>
      <c r="C7" s="24">
        <v>108.07247807460378</v>
      </c>
    </row>
    <row r="8" spans="2:55" x14ac:dyDescent="0.25">
      <c r="B8" s="9" t="s">
        <v>543</v>
      </c>
      <c r="C8" s="24">
        <v>53.936178854168624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48.678955453148987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84.368816778789082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107.82106782106787</v>
      </c>
      <c r="AH14" s="7">
        <f>+GETPIVOTDATA(" % AVANCE TOTAL",$B$526)</f>
        <v>0.13978652525633761</v>
      </c>
      <c r="AI14" s="7">
        <f>+AJ14-AH14</f>
        <v>0.86021347474366239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59.059198147344063</v>
      </c>
      <c r="BA15" t="str">
        <f t="shared" ref="BA15:BA34" si="0">+B262</f>
        <v>PINO 2X6X320</v>
      </c>
      <c r="BB15" s="7">
        <f t="shared" ref="BB15:BB34" si="1">+C262</f>
        <v>-0.27760981123540751</v>
      </c>
      <c r="BC15" s="2">
        <f t="shared" ref="BC15:BC34" si="2">+D262</f>
        <v>22944301</v>
      </c>
    </row>
    <row r="16" spans="2:55" x14ac:dyDescent="0.25">
      <c r="B16" s="9" t="s">
        <v>536</v>
      </c>
      <c r="C16" s="24">
        <v>98.646616541353325</v>
      </c>
      <c r="BA16" t="str">
        <f t="shared" si="0"/>
        <v>CUBREJUNTA</v>
      </c>
      <c r="BB16" s="7">
        <f t="shared" si="1"/>
        <v>-0.25759874220644718</v>
      </c>
      <c r="BC16" s="2">
        <f t="shared" si="2"/>
        <v>5295855</v>
      </c>
    </row>
    <row r="17" spans="2:55" x14ac:dyDescent="0.25">
      <c r="B17" s="9" t="s">
        <v>546</v>
      </c>
      <c r="C17" s="24">
        <v>139.59595959595961</v>
      </c>
      <c r="BA17" t="str">
        <f t="shared" si="0"/>
        <v>OSB 11MM</v>
      </c>
      <c r="BB17" s="7">
        <f t="shared" si="1"/>
        <v>-0.20755436159817942</v>
      </c>
      <c r="BC17" s="2">
        <f t="shared" si="2"/>
        <v>14808508</v>
      </c>
    </row>
    <row r="18" spans="2:55" x14ac:dyDescent="0.25">
      <c r="B18" s="9" t="s">
        <v>535</v>
      </c>
      <c r="C18" s="24">
        <v>28.54299928926795</v>
      </c>
      <c r="BA18" t="str">
        <f t="shared" si="0"/>
        <v>PINO 3X8X320</v>
      </c>
      <c r="BB18" s="7">
        <f t="shared" si="1"/>
        <v>-0.19585211151897863</v>
      </c>
      <c r="BC18" s="2">
        <f t="shared" si="2"/>
        <v>13713845</v>
      </c>
    </row>
    <row r="19" spans="2:55" x14ac:dyDescent="0.25">
      <c r="B19" s="9" t="s">
        <v>527</v>
      </c>
      <c r="C19" s="24">
        <v>140.95238095238093</v>
      </c>
      <c r="BA19" t="str">
        <f t="shared" si="0"/>
        <v>PINO 2X6X400</v>
      </c>
      <c r="BB19" s="7">
        <f t="shared" si="1"/>
        <v>-0.18783487390938003</v>
      </c>
      <c r="BC19" s="2">
        <f t="shared" si="2"/>
        <v>49768122</v>
      </c>
    </row>
    <row r="20" spans="2:55" x14ac:dyDescent="0.25">
      <c r="B20" s="9" t="s">
        <v>533</v>
      </c>
      <c r="C20" s="24">
        <v>105.09031198686371</v>
      </c>
      <c r="BA20" t="str">
        <f t="shared" si="0"/>
        <v>HOLDOWN PB2</v>
      </c>
      <c r="BB20" s="7">
        <f t="shared" si="1"/>
        <v>-0.18647817836113778</v>
      </c>
      <c r="BC20" s="2">
        <f t="shared" si="2"/>
        <v>36177719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VOLCANITA EMPAPELADA CIELO</v>
      </c>
      <c r="BB21" s="7">
        <f t="shared" si="1"/>
        <v>-0.17890895084818992</v>
      </c>
      <c r="BC21" s="2">
        <f t="shared" si="2"/>
        <v>21504261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SIMPLISIMA</v>
      </c>
      <c r="BB22" s="7">
        <f t="shared" si="1"/>
        <v>-0.17859236862408612</v>
      </c>
      <c r="BC22" s="2">
        <f t="shared" si="2"/>
        <v>10231413</v>
      </c>
    </row>
    <row r="23" spans="2:55" x14ac:dyDescent="0.25">
      <c r="B23" s="9" t="s">
        <v>544</v>
      </c>
      <c r="C23" s="24">
        <v>119.45808182427902</v>
      </c>
      <c r="L23" s="7"/>
      <c r="BA23" t="str">
        <f t="shared" si="0"/>
        <v>AISLAN GLASS 90MM</v>
      </c>
      <c r="BB23" s="7">
        <f t="shared" si="1"/>
        <v>-0.17406494352316149</v>
      </c>
      <c r="BC23" s="2">
        <f t="shared" si="2"/>
        <v>13908918</v>
      </c>
    </row>
    <row r="24" spans="2:55" x14ac:dyDescent="0.25">
      <c r="B24" s="9" t="s">
        <v>538</v>
      </c>
      <c r="C24" s="24">
        <v>107.84914010720459</v>
      </c>
      <c r="BA24" t="str">
        <f t="shared" si="0"/>
        <v>PAPEL KRAFT</v>
      </c>
      <c r="BB24" s="7">
        <f t="shared" si="1"/>
        <v>-0.17254753504183318</v>
      </c>
      <c r="BC24" s="2">
        <f t="shared" si="2"/>
        <v>13290445</v>
      </c>
    </row>
    <row r="25" spans="2:55" x14ac:dyDescent="0.25">
      <c r="B25" s="9" t="s">
        <v>548</v>
      </c>
      <c r="C25" s="24">
        <v>109.35034013605443</v>
      </c>
      <c r="BA25" t="str">
        <f t="shared" si="0"/>
        <v>TORNILLO SIMPSON 6"</v>
      </c>
      <c r="BB25" s="7">
        <f t="shared" si="1"/>
        <v>-0.17141851461555546</v>
      </c>
      <c r="BC25" s="2">
        <f t="shared" si="2"/>
        <v>29844629</v>
      </c>
    </row>
    <row r="26" spans="2:55" x14ac:dyDescent="0.25">
      <c r="B26" s="9" t="s">
        <v>529</v>
      </c>
      <c r="C26" s="24">
        <v>89.523809523809518</v>
      </c>
      <c r="BA26" t="str">
        <f t="shared" si="0"/>
        <v>HOLDOWN PB1</v>
      </c>
      <c r="BB26" s="7">
        <f t="shared" si="1"/>
        <v>-0.1593629099328836</v>
      </c>
      <c r="BC26" s="2">
        <f t="shared" si="2"/>
        <v>53852106</v>
      </c>
    </row>
    <row r="27" spans="2:55" x14ac:dyDescent="0.25">
      <c r="B27" s="9" t="s">
        <v>528</v>
      </c>
      <c r="C27" s="24">
        <v>89.523809523809518</v>
      </c>
      <c r="BA27" t="str">
        <f t="shared" si="0"/>
        <v>SMARTPANEL</v>
      </c>
      <c r="BB27" s="7">
        <f t="shared" si="1"/>
        <v>-0.15612396477097734</v>
      </c>
      <c r="BC27" s="2">
        <f t="shared" si="2"/>
        <v>60094732</v>
      </c>
    </row>
    <row r="28" spans="2:55" x14ac:dyDescent="0.25">
      <c r="B28" s="9" t="s">
        <v>541</v>
      </c>
      <c r="C28" s="24">
        <v>91.364545818327343</v>
      </c>
      <c r="BA28" t="str">
        <f t="shared" si="0"/>
        <v>OSB 9.5</v>
      </c>
      <c r="BB28" s="7">
        <f t="shared" si="1"/>
        <v>-0.15384196909019865</v>
      </c>
      <c r="BC28" s="2">
        <f t="shared" si="2"/>
        <v>49570780</v>
      </c>
    </row>
    <row r="29" spans="2:55" x14ac:dyDescent="0.25">
      <c r="B29" s="9" t="s">
        <v>547</v>
      </c>
      <c r="C29" s="24">
        <v>134.8853615520282</v>
      </c>
      <c r="BA29" t="str">
        <f t="shared" si="0"/>
        <v>PINO 2X4X320</v>
      </c>
      <c r="BB29" s="7">
        <f t="shared" si="1"/>
        <v>-0.1526121068740709</v>
      </c>
      <c r="BC29" s="2">
        <f t="shared" si="2"/>
        <v>51467953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-0.1483666261810237</v>
      </c>
      <c r="BC30" s="2">
        <f t="shared" si="2"/>
        <v>37819229</v>
      </c>
    </row>
    <row r="31" spans="2:55" x14ac:dyDescent="0.25">
      <c r="B31" s="9" t="s">
        <v>551</v>
      </c>
      <c r="C31" s="24">
        <v>117.58730158730158</v>
      </c>
      <c r="BA31" t="str">
        <f t="shared" si="0"/>
        <v>AISLAN GLASS 140MM</v>
      </c>
      <c r="BB31" s="7">
        <f t="shared" si="1"/>
        <v>-0.14105539293241975</v>
      </c>
      <c r="BC31" s="2">
        <f t="shared" si="2"/>
        <v>10036586</v>
      </c>
    </row>
    <row r="32" spans="2:55" x14ac:dyDescent="0.25">
      <c r="B32" s="9" t="s">
        <v>550</v>
      </c>
      <c r="C32" s="24">
        <v>107.35930735930735</v>
      </c>
      <c r="BA32" t="str">
        <f t="shared" si="0"/>
        <v>VENTANA V-01</v>
      </c>
      <c r="BB32" s="7">
        <f t="shared" si="1"/>
        <v>-0.13838311400712389</v>
      </c>
      <c r="BC32" s="2">
        <f t="shared" si="2"/>
        <v>28603076</v>
      </c>
    </row>
    <row r="33" spans="2:55" x14ac:dyDescent="0.25">
      <c r="B33" s="9" t="s">
        <v>420</v>
      </c>
      <c r="C33" s="24">
        <v>2546.7229901785422</v>
      </c>
      <c r="BA33" t="str">
        <f t="shared" si="0"/>
        <v>VOLCOGLASS</v>
      </c>
      <c r="BB33" s="7">
        <f t="shared" si="1"/>
        <v>-0.13338933396044594</v>
      </c>
      <c r="BC33" s="2">
        <f t="shared" si="2"/>
        <v>15495874</v>
      </c>
    </row>
    <row r="34" spans="2:55" hidden="1" x14ac:dyDescent="0.25">
      <c r="BA34" t="str">
        <f t="shared" si="0"/>
        <v>MEMBRANA PVC</v>
      </c>
      <c r="BB34" s="7">
        <f t="shared" si="1"/>
        <v>-0.13184576324466502</v>
      </c>
      <c r="BC34" s="2">
        <f t="shared" si="2"/>
        <v>9248277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4.2117920016796463E-2</v>
      </c>
    </row>
    <row r="175" spans="2:46" x14ac:dyDescent="0.25">
      <c r="B175" s="9" t="s">
        <v>279</v>
      </c>
      <c r="C175" s="13">
        <v>3.2665001701855566E-2</v>
      </c>
    </row>
    <row r="176" spans="2:46" x14ac:dyDescent="0.25">
      <c r="B176" s="9" t="s">
        <v>39</v>
      </c>
      <c r="C176" s="13">
        <v>1.9269454825172623E-2</v>
      </c>
    </row>
    <row r="177" spans="2:55" x14ac:dyDescent="0.25">
      <c r="B177" s="9" t="s">
        <v>83</v>
      </c>
      <c r="C177" s="13">
        <v>5.4746990637923858E-3</v>
      </c>
    </row>
    <row r="178" spans="2:55" x14ac:dyDescent="0.25">
      <c r="B178" s="9" t="s">
        <v>249</v>
      </c>
      <c r="C178" s="13">
        <v>1.7251719352914609E-2</v>
      </c>
    </row>
    <row r="179" spans="2:55" x14ac:dyDescent="0.25">
      <c r="B179" s="9" t="s">
        <v>40</v>
      </c>
      <c r="C179" s="13">
        <v>4.6569578464436961E-2</v>
      </c>
    </row>
    <row r="180" spans="2:55" x14ac:dyDescent="0.25">
      <c r="B180" s="9" t="s">
        <v>41</v>
      </c>
      <c r="C180" s="13">
        <v>4.1789971934105115E-2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1.5769267186714567E-2</v>
      </c>
      <c r="BA181" t="str">
        <f t="shared" ref="BA181:BA189" si="3">+B422</f>
        <v>CERRADURA DE EMB 85000 MULTIPLE C/REC</v>
      </c>
      <c r="BB181" s="7">
        <f t="shared" ref="BB181:BB189" si="4">+C422</f>
        <v>0.44252002473722274</v>
      </c>
      <c r="BC181" s="2">
        <f t="shared" ref="BC181:BC189" si="5">+D422</f>
        <v>520734</v>
      </c>
    </row>
    <row r="182" spans="2:55" x14ac:dyDescent="0.25">
      <c r="B182" s="9" t="s">
        <v>256</v>
      </c>
      <c r="C182" s="13">
        <v>3.1622335457455401E-2</v>
      </c>
      <c r="BA182" t="str">
        <f t="shared" si="3"/>
        <v>ESPEJO RECTO AL. BLANCO DE 50x70 CMS</v>
      </c>
      <c r="BB182" s="7">
        <f t="shared" si="4"/>
        <v>0.12645368291320502</v>
      </c>
      <c r="BC182" s="2">
        <f t="shared" si="5"/>
        <v>865168</v>
      </c>
    </row>
    <row r="183" spans="2:55" x14ac:dyDescent="0.25">
      <c r="B183" s="9" t="s">
        <v>247</v>
      </c>
      <c r="C183" s="13">
        <v>9.814024734007094E-3</v>
      </c>
      <c r="BA183" t="str">
        <f t="shared" si="3"/>
        <v>MANILLA JUEGO 2816-C 19MM REVERSIBLE SIN BOC.</v>
      </c>
      <c r="BB183" s="7">
        <f t="shared" si="4"/>
        <v>6.9027471087296455E-2</v>
      </c>
      <c r="BC183" s="2">
        <f t="shared" si="5"/>
        <v>354545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3.1915031236718461E-2</v>
      </c>
      <c r="BC184" s="2">
        <f t="shared" si="5"/>
        <v>5624894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2.7136019011710255E-2</v>
      </c>
      <c r="BC185" s="2">
        <f t="shared" si="5"/>
        <v>392172</v>
      </c>
    </row>
    <row r="186" spans="2:55" x14ac:dyDescent="0.25">
      <c r="B186" s="9" t="s">
        <v>246</v>
      </c>
      <c r="C186" s="13">
        <v>2.2640168019631313E-2</v>
      </c>
      <c r="BA186" t="str">
        <f t="shared" si="3"/>
        <v>AISLAN ROCA 90 MM D: 32 KG/M3 DE 0.375x1.200 MM (5.4 M2) SKU 3000481</v>
      </c>
      <c r="BB186" s="7">
        <f t="shared" si="4"/>
        <v>1.4281788731164147E-2</v>
      </c>
      <c r="BC186" s="2">
        <f t="shared" si="5"/>
        <v>9949676</v>
      </c>
    </row>
    <row r="187" spans="2:55" x14ac:dyDescent="0.25">
      <c r="B187" s="9" t="s">
        <v>323</v>
      </c>
      <c r="C187" s="13">
        <v>4.5575352189323716E-2</v>
      </c>
      <c r="BA187" t="str">
        <f t="shared" si="3"/>
        <v>Total general</v>
      </c>
      <c r="BB187" s="7">
        <f t="shared" si="4"/>
        <v>0.71133401771731708</v>
      </c>
      <c r="BC187" s="2">
        <f t="shared" si="5"/>
        <v>17707189</v>
      </c>
    </row>
    <row r="188" spans="2:55" x14ac:dyDescent="0.25">
      <c r="B188" s="9" t="s">
        <v>115</v>
      </c>
      <c r="C188" s="13">
        <v>5.7441792403017659E-2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5.8139666833533173E-2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4.0751780815013558E-2</v>
      </c>
    </row>
    <row r="191" spans="2:55" x14ac:dyDescent="0.25">
      <c r="B191" s="9" t="s">
        <v>72</v>
      </c>
      <c r="C191" s="13">
        <v>4.8768934192441431E-2</v>
      </c>
    </row>
    <row r="192" spans="2:55" x14ac:dyDescent="0.25">
      <c r="B192" s="9" t="s">
        <v>17</v>
      </c>
      <c r="C192" s="13">
        <v>4.2002220691597876E-2</v>
      </c>
    </row>
    <row r="193" spans="2:3" x14ac:dyDescent="0.25">
      <c r="B193" s="9" t="s">
        <v>80</v>
      </c>
      <c r="C193" s="13">
        <v>6.2184181302555645E-2</v>
      </c>
    </row>
    <row r="194" spans="2:3" x14ac:dyDescent="0.25">
      <c r="B194" s="9" t="s">
        <v>37</v>
      </c>
      <c r="C194" s="13">
        <v>4.7461900575755146E-2</v>
      </c>
    </row>
    <row r="195" spans="2:3" x14ac:dyDescent="0.25">
      <c r="B195" s="9" t="s">
        <v>197</v>
      </c>
      <c r="C195" s="13">
        <v>5.5044041381077116E-2</v>
      </c>
    </row>
    <row r="196" spans="2:3" x14ac:dyDescent="0.25">
      <c r="B196" s="9" t="s">
        <v>204</v>
      </c>
      <c r="C196" s="13">
        <v>3.463544898731432E-2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4.201513475428597E-2</v>
      </c>
    </row>
    <row r="199" spans="2:3" x14ac:dyDescent="0.25">
      <c r="B199" s="9" t="s">
        <v>30</v>
      </c>
      <c r="C199" s="13">
        <v>4.2707506158106256E-2</v>
      </c>
    </row>
    <row r="200" spans="2:3" x14ac:dyDescent="0.25">
      <c r="B200" s="9" t="s">
        <v>297</v>
      </c>
      <c r="C200" s="13">
        <v>3.3835978755870501E-2</v>
      </c>
    </row>
    <row r="201" spans="2:3" x14ac:dyDescent="0.25">
      <c r="B201" s="9" t="s">
        <v>289</v>
      </c>
      <c r="C201" s="13">
        <v>3.3835978755870508E-2</v>
      </c>
    </row>
    <row r="202" spans="2:3" x14ac:dyDescent="0.25">
      <c r="B202" s="9" t="s">
        <v>287</v>
      </c>
      <c r="C202" s="13">
        <v>3.3835978755870508E-2</v>
      </c>
    </row>
    <row r="203" spans="2:3" x14ac:dyDescent="0.25">
      <c r="B203" s="9" t="s">
        <v>338</v>
      </c>
      <c r="C203" s="13">
        <v>8.459328742753641E-4</v>
      </c>
    </row>
    <row r="204" spans="2:3" x14ac:dyDescent="0.25">
      <c r="B204" s="9" t="s">
        <v>316</v>
      </c>
      <c r="C204" s="13">
        <v>3.5934029817209105E-2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536</v>
      </c>
      <c r="C262" s="13">
        <v>-0.27760981123540751</v>
      </c>
      <c r="D262" s="14">
        <v>22944301</v>
      </c>
    </row>
    <row r="263" spans="2:4" x14ac:dyDescent="0.25">
      <c r="B263" s="9" t="s">
        <v>542</v>
      </c>
      <c r="C263" s="13">
        <v>-0.25759874220644718</v>
      </c>
      <c r="D263" s="14">
        <v>5295855</v>
      </c>
    </row>
    <row r="264" spans="2:4" x14ac:dyDescent="0.25">
      <c r="B264" s="9" t="s">
        <v>540</v>
      </c>
      <c r="C264" s="13">
        <v>-0.20755436159817942</v>
      </c>
      <c r="D264" s="14">
        <v>14808508</v>
      </c>
    </row>
    <row r="265" spans="2:4" x14ac:dyDescent="0.25">
      <c r="B265" s="9" t="s">
        <v>527</v>
      </c>
      <c r="C265" s="13">
        <v>-0.19585211151897863</v>
      </c>
      <c r="D265" s="14">
        <v>13713845</v>
      </c>
    </row>
    <row r="266" spans="2:4" x14ac:dyDescent="0.25">
      <c r="B266" s="9" t="s">
        <v>546</v>
      </c>
      <c r="C266" s="13">
        <v>-0.18783487390938003</v>
      </c>
      <c r="D266" s="14">
        <v>49768122</v>
      </c>
    </row>
    <row r="267" spans="2:4" x14ac:dyDescent="0.25">
      <c r="B267" s="9" t="s">
        <v>747</v>
      </c>
      <c r="C267" s="13">
        <v>-0.18647817836113778</v>
      </c>
      <c r="D267" s="14">
        <v>36177719</v>
      </c>
    </row>
    <row r="268" spans="2:4" x14ac:dyDescent="0.25">
      <c r="B268" s="9" t="s">
        <v>547</v>
      </c>
      <c r="C268" s="13">
        <v>-0.17890895084818992</v>
      </c>
      <c r="D268" s="14">
        <v>21504261</v>
      </c>
    </row>
    <row r="269" spans="2:4" x14ac:dyDescent="0.25">
      <c r="B269" s="9" t="s">
        <v>589</v>
      </c>
      <c r="C269" s="13">
        <v>-0.17859236862408612</v>
      </c>
      <c r="D269" s="14">
        <v>10231413</v>
      </c>
    </row>
    <row r="270" spans="2:4" x14ac:dyDescent="0.25">
      <c r="B270" s="9" t="s">
        <v>539</v>
      </c>
      <c r="C270" s="13">
        <v>-0.17406494352316149</v>
      </c>
      <c r="D270" s="14">
        <v>13908918</v>
      </c>
    </row>
    <row r="271" spans="2:4" x14ac:dyDescent="0.25">
      <c r="B271" s="9" t="s">
        <v>2007</v>
      </c>
      <c r="C271" s="13">
        <v>-0.17254753504183318</v>
      </c>
      <c r="D271" s="14">
        <v>13290445</v>
      </c>
    </row>
    <row r="272" spans="2:4" x14ac:dyDescent="0.25">
      <c r="B272" s="9" t="s">
        <v>548</v>
      </c>
      <c r="C272" s="13">
        <v>-0.17141851461555546</v>
      </c>
      <c r="D272" s="14">
        <v>29844629</v>
      </c>
    </row>
    <row r="273" spans="2:7" x14ac:dyDescent="0.25">
      <c r="B273" s="9" t="s">
        <v>746</v>
      </c>
      <c r="C273" s="13">
        <v>-0.1593629099328836</v>
      </c>
      <c r="D273" s="14">
        <v>53852106</v>
      </c>
    </row>
    <row r="274" spans="2:7" x14ac:dyDescent="0.25">
      <c r="B274" s="9" t="s">
        <v>544</v>
      </c>
      <c r="C274" s="13">
        <v>-0.15612396477097734</v>
      </c>
      <c r="D274" s="14">
        <v>60094732</v>
      </c>
    </row>
    <row r="275" spans="2:7" x14ac:dyDescent="0.25">
      <c r="B275" s="9" t="s">
        <v>534</v>
      </c>
      <c r="C275" s="13">
        <v>-0.15384196909019865</v>
      </c>
      <c r="D275" s="14">
        <v>49570780</v>
      </c>
    </row>
    <row r="276" spans="2:7" x14ac:dyDescent="0.25">
      <c r="B276" s="9" t="s">
        <v>537</v>
      </c>
      <c r="C276" s="13">
        <v>-0.1526121068740709</v>
      </c>
      <c r="D276" s="14">
        <v>51467953</v>
      </c>
    </row>
    <row r="277" spans="2:7" x14ac:dyDescent="0.25">
      <c r="B277" s="9" t="s">
        <v>538</v>
      </c>
      <c r="C277" s="13">
        <v>-0.1483666261810237</v>
      </c>
      <c r="D277" s="14">
        <v>37819229</v>
      </c>
    </row>
    <row r="278" spans="2:7" x14ac:dyDescent="0.25">
      <c r="B278" s="9" t="s">
        <v>549</v>
      </c>
      <c r="C278" s="13">
        <v>-0.14105539293241975</v>
      </c>
      <c r="D278" s="14">
        <v>10036586</v>
      </c>
    </row>
    <row r="279" spans="2:7" x14ac:dyDescent="0.25">
      <c r="B279" s="9" t="s">
        <v>528</v>
      </c>
      <c r="C279" s="13">
        <v>-0.13838311400712389</v>
      </c>
      <c r="D279" s="14">
        <v>28603076</v>
      </c>
    </row>
    <row r="280" spans="2:7" x14ac:dyDescent="0.25">
      <c r="B280" s="9" t="s">
        <v>300</v>
      </c>
      <c r="C280" s="13">
        <v>-0.13338933396044594</v>
      </c>
      <c r="D280" s="14">
        <v>15495874</v>
      </c>
    </row>
    <row r="281" spans="2:7" x14ac:dyDescent="0.25">
      <c r="B281" s="9" t="s">
        <v>545</v>
      </c>
      <c r="C281" s="13">
        <v>-0.13184576324466502</v>
      </c>
      <c r="D281" s="14">
        <v>9248277</v>
      </c>
    </row>
    <row r="282" spans="2:7" x14ac:dyDescent="0.25">
      <c r="B282" s="9" t="s">
        <v>541</v>
      </c>
      <c r="C282" s="13">
        <v>-0.11845144003731956</v>
      </c>
      <c r="D282" s="14">
        <v>46315905</v>
      </c>
    </row>
    <row r="283" spans="2:7" x14ac:dyDescent="0.25">
      <c r="B283" s="9" t="s">
        <v>531</v>
      </c>
      <c r="C283" s="13">
        <v>-8.1878472333178021E-2</v>
      </c>
      <c r="D283" s="14">
        <v>4877286</v>
      </c>
      <c r="G283" s="7"/>
    </row>
    <row r="284" spans="2:7" x14ac:dyDescent="0.25">
      <c r="B284" s="9" t="s">
        <v>529</v>
      </c>
      <c r="C284" s="13">
        <v>-4.8672421993316783E-2</v>
      </c>
      <c r="D284" s="14">
        <v>17936431</v>
      </c>
      <c r="G284" s="7"/>
    </row>
    <row r="285" spans="2:7" x14ac:dyDescent="0.25">
      <c r="B285" s="9" t="s">
        <v>533</v>
      </c>
      <c r="C285" s="13">
        <v>-4.5400194673726912E-2</v>
      </c>
      <c r="D285" s="14">
        <v>10666609</v>
      </c>
      <c r="G285" s="7"/>
    </row>
    <row r="286" spans="2:7" x14ac:dyDescent="0.25">
      <c r="B286" s="9" t="s">
        <v>535</v>
      </c>
      <c r="C286" s="13">
        <v>-3.6441633910114568E-2</v>
      </c>
      <c r="D286" s="14">
        <v>52543920</v>
      </c>
      <c r="G286" s="7"/>
    </row>
    <row r="287" spans="2:7" x14ac:dyDescent="0.25">
      <c r="B287" s="9" t="s">
        <v>532</v>
      </c>
      <c r="C287" s="13">
        <v>-2.7395305306378903E-2</v>
      </c>
      <c r="D287" s="14">
        <v>2059387</v>
      </c>
      <c r="G287" s="7"/>
    </row>
    <row r="288" spans="2:7" x14ac:dyDescent="0.25">
      <c r="B288" s="9" t="s">
        <v>2006</v>
      </c>
      <c r="C288" s="13">
        <v>0</v>
      </c>
      <c r="D288" s="14">
        <v>77733788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1.4281788731164147E-2</v>
      </c>
      <c r="D290" s="14">
        <v>9949676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-3.8154842207623179</v>
      </c>
      <c r="D292" s="14">
        <v>775384525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0.44252002473722274</v>
      </c>
      <c r="D422" s="34">
        <v>520734</v>
      </c>
    </row>
    <row r="423" spans="2:4" x14ac:dyDescent="0.25">
      <c r="B423" s="9" t="s">
        <v>192</v>
      </c>
      <c r="C423" s="13">
        <v>0.12645368291320502</v>
      </c>
      <c r="D423" s="34">
        <v>865168</v>
      </c>
    </row>
    <row r="424" spans="2:4" x14ac:dyDescent="0.25">
      <c r="B424" s="9" t="s">
        <v>486</v>
      </c>
      <c r="C424" s="13">
        <v>6.9027471087296455E-2</v>
      </c>
      <c r="D424" s="34">
        <v>354545</v>
      </c>
    </row>
    <row r="425" spans="2:4" x14ac:dyDescent="0.25">
      <c r="B425" s="9" t="s">
        <v>289</v>
      </c>
      <c r="C425" s="13">
        <v>3.1915031236718461E-2</v>
      </c>
      <c r="D425" s="34">
        <v>5624894</v>
      </c>
    </row>
    <row r="426" spans="2:4" x14ac:dyDescent="0.25">
      <c r="B426" s="9" t="s">
        <v>485</v>
      </c>
      <c r="C426" s="13">
        <v>2.7136019011710255E-2</v>
      </c>
      <c r="D426" s="34">
        <v>392172</v>
      </c>
    </row>
    <row r="427" spans="2:4" x14ac:dyDescent="0.25">
      <c r="B427" s="9" t="s">
        <v>39</v>
      </c>
      <c r="C427" s="13">
        <v>1.4281788731164147E-2</v>
      </c>
      <c r="D427" s="34">
        <v>9949676</v>
      </c>
    </row>
    <row r="428" spans="2:4" x14ac:dyDescent="0.25">
      <c r="B428" s="9" t="s">
        <v>420</v>
      </c>
      <c r="C428" s="13">
        <v>0.71133401771731708</v>
      </c>
      <c r="D428" s="34">
        <v>17707189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333</v>
      </c>
      <c r="E528" s="13">
        <v>3.639545806618974E-3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3169</v>
      </c>
      <c r="E531" s="13">
        <v>6.9343241386252114E-2</v>
      </c>
    </row>
    <row r="532" spans="2:5" x14ac:dyDescent="0.25">
      <c r="B532" t="s">
        <v>543</v>
      </c>
      <c r="C532" s="36">
        <v>28087.195499999998</v>
      </c>
      <c r="D532" s="35">
        <v>2158</v>
      </c>
      <c r="E532" s="13">
        <v>7.6832163609926812E-2</v>
      </c>
    </row>
    <row r="533" spans="2:5" x14ac:dyDescent="0.25">
      <c r="B533" t="s">
        <v>537</v>
      </c>
      <c r="C533" s="36">
        <v>121252.94999999995</v>
      </c>
      <c r="D533" s="35">
        <v>10801</v>
      </c>
      <c r="E533" s="13">
        <v>8.907824510661394E-2</v>
      </c>
    </row>
    <row r="534" spans="2:5" x14ac:dyDescent="0.25">
      <c r="B534" t="s">
        <v>545</v>
      </c>
      <c r="C534" s="36">
        <v>499.23658536585361</v>
      </c>
      <c r="D534" s="35">
        <v>60</v>
      </c>
      <c r="E534" s="13">
        <v>0.12018349968488473</v>
      </c>
    </row>
    <row r="535" spans="2:5" x14ac:dyDescent="0.25">
      <c r="B535" t="s">
        <v>549</v>
      </c>
      <c r="C535" s="36">
        <v>22319.693159400002</v>
      </c>
      <c r="D535" s="35">
        <v>2760</v>
      </c>
      <c r="E535" s="13">
        <v>0.12365761394159749</v>
      </c>
    </row>
    <row r="536" spans="2:5" x14ac:dyDescent="0.25">
      <c r="B536" t="s">
        <v>529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236</v>
      </c>
      <c r="C538" s="36">
        <v>368.55</v>
      </c>
      <c r="D538" s="35">
        <v>47</v>
      </c>
      <c r="E538" s="13">
        <v>0.12752679419346086</v>
      </c>
    </row>
    <row r="539" spans="2:5" x14ac:dyDescent="0.25">
      <c r="B539" t="s">
        <v>541</v>
      </c>
      <c r="C539" s="36">
        <v>21928.724999999999</v>
      </c>
      <c r="D539" s="35">
        <v>2854</v>
      </c>
      <c r="E539" s="13">
        <v>0.13014892566713296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533</v>
      </c>
      <c r="C541" s="36">
        <v>5343.9749999999995</v>
      </c>
      <c r="D541" s="35">
        <v>800</v>
      </c>
      <c r="E541" s="13">
        <v>0.1497012991265865</v>
      </c>
    </row>
    <row r="542" spans="2:5" x14ac:dyDescent="0.25">
      <c r="B542" t="s">
        <v>746</v>
      </c>
      <c r="C542" s="36">
        <v>4054.05</v>
      </c>
      <c r="D542" s="35">
        <v>620</v>
      </c>
      <c r="E542" s="13">
        <v>0.1529334862668196</v>
      </c>
    </row>
    <row r="543" spans="2:5" x14ac:dyDescent="0.25">
      <c r="B543" t="s">
        <v>534</v>
      </c>
      <c r="C543" s="36">
        <v>33445.912499999984</v>
      </c>
      <c r="D543" s="35">
        <v>5137</v>
      </c>
      <c r="E543" s="13">
        <v>0.15359126470237588</v>
      </c>
    </row>
    <row r="544" spans="2:5" x14ac:dyDescent="0.25">
      <c r="B544" t="s">
        <v>538</v>
      </c>
      <c r="C544" s="36">
        <v>16337.821500000005</v>
      </c>
      <c r="D544" s="35">
        <v>2510</v>
      </c>
      <c r="E544" s="13">
        <v>0.15363125371396666</v>
      </c>
    </row>
    <row r="545" spans="2:5" x14ac:dyDescent="0.25">
      <c r="B545" t="s">
        <v>539</v>
      </c>
      <c r="C545" s="36">
        <v>43826.088606300007</v>
      </c>
      <c r="D545" s="35">
        <v>6747</v>
      </c>
      <c r="E545" s="13">
        <v>0.15394939896667206</v>
      </c>
    </row>
    <row r="546" spans="2:5" x14ac:dyDescent="0.25">
      <c r="B546" t="s">
        <v>535</v>
      </c>
      <c r="C546" s="36">
        <v>24692.85</v>
      </c>
      <c r="D546" s="35">
        <v>3818</v>
      </c>
      <c r="E546" s="13">
        <v>0.15461965710721931</v>
      </c>
    </row>
    <row r="547" spans="2:5" x14ac:dyDescent="0.25">
      <c r="B547" t="s">
        <v>548</v>
      </c>
      <c r="C547" s="36">
        <v>412776</v>
      </c>
      <c r="D547" s="35">
        <v>64298</v>
      </c>
      <c r="E547" s="13">
        <v>0.15576971529352482</v>
      </c>
    </row>
    <row r="548" spans="2:5" x14ac:dyDescent="0.25">
      <c r="B548" t="s">
        <v>536</v>
      </c>
      <c r="C548" s="36">
        <v>24508.575000000015</v>
      </c>
      <c r="D548" s="35">
        <v>4032</v>
      </c>
      <c r="E548" s="13">
        <v>0.16451384872437494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544</v>
      </c>
      <c r="C550" s="36">
        <v>16354.406249999998</v>
      </c>
      <c r="D550" s="35">
        <v>2783</v>
      </c>
      <c r="E550" s="13">
        <v>0.1701682077268932</v>
      </c>
    </row>
    <row r="551" spans="2:5" x14ac:dyDescent="0.25">
      <c r="B551" t="s">
        <v>589</v>
      </c>
      <c r="C551" s="36">
        <v>2579.85</v>
      </c>
      <c r="D551" s="35">
        <v>449</v>
      </c>
      <c r="E551" s="13">
        <v>0.17404112642207881</v>
      </c>
    </row>
    <row r="552" spans="2:5" x14ac:dyDescent="0.25">
      <c r="B552" t="s">
        <v>547</v>
      </c>
      <c r="C552" s="36">
        <v>4975.4250000000011</v>
      </c>
      <c r="D552" s="35">
        <v>956</v>
      </c>
      <c r="E552" s="13">
        <v>0.19214438967525382</v>
      </c>
    </row>
    <row r="553" spans="2:5" x14ac:dyDescent="0.25">
      <c r="B553" t="s">
        <v>546</v>
      </c>
      <c r="C553" s="36">
        <v>24324.3</v>
      </c>
      <c r="D553" s="35">
        <v>4837</v>
      </c>
      <c r="E553" s="13">
        <v>0.19885464329908775</v>
      </c>
    </row>
    <row r="554" spans="2:5" x14ac:dyDescent="0.25">
      <c r="B554" t="s">
        <v>527</v>
      </c>
      <c r="C554" s="36">
        <v>4422.6000000000004</v>
      </c>
      <c r="D554" s="35">
        <v>888</v>
      </c>
      <c r="E554" s="13">
        <v>0.20078686745353411</v>
      </c>
    </row>
    <row r="555" spans="2:5" x14ac:dyDescent="0.25">
      <c r="B555" t="s">
        <v>540</v>
      </c>
      <c r="C555" s="36">
        <v>6081.0750000000007</v>
      </c>
      <c r="D555" s="35">
        <v>1288</v>
      </c>
      <c r="E555" s="13">
        <v>0.21180465624910066</v>
      </c>
    </row>
    <row r="556" spans="2:5" x14ac:dyDescent="0.25">
      <c r="B556" t="s">
        <v>2006</v>
      </c>
      <c r="C556" s="36">
        <v>0</v>
      </c>
      <c r="D556" s="35">
        <v>15936</v>
      </c>
      <c r="E556" s="13" t="e">
        <v>#DIV/0!</v>
      </c>
    </row>
    <row r="557" spans="2:5" x14ac:dyDescent="0.25">
      <c r="B557" t="s">
        <v>420</v>
      </c>
      <c r="C557" s="36">
        <v>994838.37762606598</v>
      </c>
      <c r="D557" s="35">
        <v>139065</v>
      </c>
      <c r="E557" s="13">
        <v>0.13978652525633761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 t="s">
        <v>420</v>
      </c>
      <c r="C762" s="81">
        <v>3289</v>
      </c>
      <c r="D762" s="81">
        <v>667.39229024943313</v>
      </c>
      <c r="E762" s="81">
        <v>3289</v>
      </c>
      <c r="F762" s="81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780</v>
      </c>
      <c r="H11" s="82" t="s">
        <v>1595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780</v>
      </c>
      <c r="AV11" s="82" t="s">
        <v>1595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-1.8771320288816579E-2</v>
      </c>
      <c r="AP12" s="83" t="s">
        <v>278</v>
      </c>
      <c r="AQ12" s="85">
        <v>1049.3172</v>
      </c>
      <c r="AR12" s="85">
        <v>31182.953999999998</v>
      </c>
      <c r="AS12" s="85">
        <v>49893.618800000004</v>
      </c>
      <c r="AT12" s="85">
        <v>76359.758499999996</v>
      </c>
      <c r="AU12" s="85">
        <v>130836.3407</v>
      </c>
      <c r="AV12" s="85">
        <v>32124.580900000001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-1.6053065710166573E-2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38609.402399999999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5.0652908541701215E-2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-284971.478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74528.666700000002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3.3028209000346115E-2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-293439.66519999999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-0.20845248847657391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3706401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-5.0040765622796718E-2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149738.51620000001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-4.8971565156848548E-3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39727.877999999997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1.8936158127675615E-2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-260709.36489999999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4.9494672736647115E-3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-60432.018399999994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2.215996862902149E-2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-215851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-5.958860481276284E-2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394742.36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0.31745575405487086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-699560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-0.16604533586588285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219936.07980000001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1.8976674788458228E-3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2545270.8682999997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1679240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810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2366499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648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2098256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432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3363393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22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9177970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648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14118159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3120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2924543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600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8072646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840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14028446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648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10152960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630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8980321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585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6229711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14000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2903206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74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1079181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620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152280737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26966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2026-06-22T19:56:51Z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