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D6E4B15C-BDC5-45D9-B3C3-412EFFD9981A}" xr6:coauthVersionLast="47" xr6:coauthVersionMax="47" xr10:uidLastSave="{00000000-0000-0000-0000-000000000000}"/>
  <bookViews>
    <workbookView xWindow="-120" yWindow="-120" windowWidth="29040" windowHeight="18240" tabRatio="820" firstSheet="8" activeTab="12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state="hidden" r:id="rId4"/>
    <sheet name="DETALLE GD" sheetId="20" state="hidden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  <sheet name="MEMBRANA_CIELO" sheetId="45" r:id="rId19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GD'!$A$1:$Z$2475</definedName>
    <definedName name="DatosExternos_1" localSheetId="7" hidden="1">GD_MODULOS!$A$1:$I$42</definedName>
    <definedName name="DatosExternos_1" localSheetId="3" hidden="1">'REG STOCK'!$A$1:$G$258</definedName>
    <definedName name="DatosExternos_2" localSheetId="11" hidden="1">AVANCE!$A$1:$BE$705</definedName>
    <definedName name="DatosExternos_3" localSheetId="2" hidden="1">PRODUCTOS!$A$1:$I$274</definedName>
    <definedName name="DatosExternos_4" localSheetId="0" hidden="1">BD_MODULO!$A$1:$H$257</definedName>
    <definedName name="NativeTimeline_Días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75" r:id="rId20"/>
    <pivotCache cacheId="81" r:id="rId21"/>
    <pivotCache cacheId="87" r:id="rId22"/>
    <pivotCache cacheId="92" r:id="rId23"/>
    <pivotCache cacheId="96" r:id="rId24"/>
    <pivotCache cacheId="102" r:id="rId25"/>
    <pivotCache cacheId="113" r:id="rId26"/>
  </pivotCaches>
  <extLst>
    <ext xmlns:x14="http://schemas.microsoft.com/office/spreadsheetml/2009/9/main" uri="{BBE1A952-AA13-448e-AADC-164F8A28A991}">
      <x14:slicerCaches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6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M4" i="42"/>
  <c r="M5" i="42"/>
  <c r="N5" i="42" s="1"/>
  <c r="M6" i="42"/>
  <c r="N6" i="42" s="1"/>
  <c r="M7" i="42"/>
  <c r="M8" i="42"/>
  <c r="M9" i="42"/>
  <c r="M10" i="42"/>
  <c r="N11" i="42" s="1"/>
  <c r="M11" i="42"/>
  <c r="M12" i="42"/>
  <c r="M13" i="42"/>
  <c r="M14" i="42"/>
  <c r="M15" i="42"/>
  <c r="N15" i="42" s="1"/>
  <c r="M16" i="42"/>
  <c r="N16" i="42" s="1"/>
  <c r="M17" i="42"/>
  <c r="M18" i="42"/>
  <c r="M19" i="42"/>
  <c r="N19" i="42" s="1"/>
  <c r="M20" i="42"/>
  <c r="N20" i="42" s="1"/>
  <c r="M21" i="42"/>
  <c r="M22" i="42"/>
  <c r="M23" i="42"/>
  <c r="M24" i="42"/>
  <c r="N24" i="42" s="1"/>
  <c r="M25" i="42"/>
  <c r="M26" i="42"/>
  <c r="M27" i="42"/>
  <c r="M28" i="42"/>
  <c r="M29" i="42"/>
  <c r="N29" i="42" s="1"/>
  <c r="M30" i="42"/>
  <c r="N30" i="42" s="1"/>
  <c r="M31" i="42"/>
  <c r="M32" i="42"/>
  <c r="M33" i="42"/>
  <c r="N33" i="42" s="1"/>
  <c r="M34" i="42"/>
  <c r="N34" i="42" s="1"/>
  <c r="M35" i="42"/>
  <c r="M36" i="42"/>
  <c r="M37" i="42"/>
  <c r="M38" i="42"/>
  <c r="N38" i="42" s="1"/>
  <c r="M39" i="42"/>
  <c r="M40" i="42"/>
  <c r="M41" i="42"/>
  <c r="M42" i="42"/>
  <c r="M43" i="42"/>
  <c r="N43" i="42" s="1"/>
  <c r="M44" i="42"/>
  <c r="N44" i="42" s="1"/>
  <c r="M45" i="42"/>
  <c r="M46" i="42"/>
  <c r="M47" i="42"/>
  <c r="N47" i="42" s="1"/>
  <c r="M48" i="42"/>
  <c r="N48" i="42" s="1"/>
  <c r="M49" i="42"/>
  <c r="M50" i="42"/>
  <c r="M51" i="42"/>
  <c r="M52" i="42"/>
  <c r="N53" i="42" s="1"/>
  <c r="M53" i="42"/>
  <c r="M54" i="42"/>
  <c r="M55" i="42"/>
  <c r="M56" i="42"/>
  <c r="M57" i="42"/>
  <c r="M58" i="42"/>
  <c r="N58" i="42" s="1"/>
  <c r="M59" i="42"/>
  <c r="M60" i="42"/>
  <c r="M61" i="42"/>
  <c r="N61" i="42" s="1"/>
  <c r="M62" i="42"/>
  <c r="N62" i="42" s="1"/>
  <c r="M63" i="42"/>
  <c r="M64" i="42"/>
  <c r="M65" i="42"/>
  <c r="M66" i="42"/>
  <c r="N66" i="42" s="1"/>
  <c r="M67" i="42"/>
  <c r="M68" i="42"/>
  <c r="M69" i="42"/>
  <c r="M70" i="42"/>
  <c r="M71" i="42"/>
  <c r="N71" i="42" s="1"/>
  <c r="M72" i="42"/>
  <c r="N72" i="42" s="1"/>
  <c r="M73" i="42"/>
  <c r="M74" i="42"/>
  <c r="M75" i="42"/>
  <c r="N75" i="42" s="1"/>
  <c r="M76" i="42"/>
  <c r="N76" i="42" s="1"/>
  <c r="M77" i="42"/>
  <c r="M78" i="42"/>
  <c r="M79" i="42"/>
  <c r="M80" i="42"/>
  <c r="N80" i="42" s="1"/>
  <c r="M81" i="42"/>
  <c r="M82" i="42"/>
  <c r="M83" i="42"/>
  <c r="M84" i="42"/>
  <c r="M85" i="42"/>
  <c r="M86" i="42"/>
  <c r="N86" i="42" s="1"/>
  <c r="M87" i="42"/>
  <c r="M88" i="42"/>
  <c r="M89" i="42"/>
  <c r="N89" i="42" s="1"/>
  <c r="M90" i="42"/>
  <c r="N90" i="42" s="1"/>
  <c r="M91" i="42"/>
  <c r="M92" i="42"/>
  <c r="M93" i="42"/>
  <c r="M94" i="42"/>
  <c r="N94" i="42" s="1"/>
  <c r="M95" i="42"/>
  <c r="M96" i="42"/>
  <c r="M97" i="42"/>
  <c r="M98" i="42"/>
  <c r="M99" i="42"/>
  <c r="M100" i="42"/>
  <c r="N100" i="42" s="1"/>
  <c r="M101" i="42"/>
  <c r="M102" i="42"/>
  <c r="M103" i="42"/>
  <c r="N103" i="42" s="1"/>
  <c r="M104" i="42"/>
  <c r="N104" i="42" s="1"/>
  <c r="M105" i="42"/>
  <c r="M106" i="42"/>
  <c r="M107" i="42"/>
  <c r="M108" i="42"/>
  <c r="N108" i="42" s="1"/>
  <c r="M109" i="42"/>
  <c r="M110" i="42"/>
  <c r="M111" i="42"/>
  <c r="M112" i="42"/>
  <c r="M113" i="42"/>
  <c r="N113" i="42" s="1"/>
  <c r="M114" i="42"/>
  <c r="N114" i="42" s="1"/>
  <c r="M115" i="42"/>
  <c r="M116" i="42"/>
  <c r="M117" i="42"/>
  <c r="N117" i="42" s="1"/>
  <c r="M118" i="42"/>
  <c r="N118" i="42" s="1"/>
  <c r="M119" i="42"/>
  <c r="M120" i="42"/>
  <c r="M121" i="42"/>
  <c r="M122" i="42"/>
  <c r="N122" i="42" s="1"/>
  <c r="M123" i="42"/>
  <c r="M124" i="42"/>
  <c r="M125" i="42"/>
  <c r="M126" i="42"/>
  <c r="M127" i="42"/>
  <c r="N127" i="42" s="1"/>
  <c r="M128" i="42"/>
  <c r="N128" i="42" s="1"/>
  <c r="M129" i="42"/>
  <c r="M130" i="42"/>
  <c r="M131" i="42"/>
  <c r="N131" i="42" s="1"/>
  <c r="M132" i="42"/>
  <c r="N132" i="42" s="1"/>
  <c r="M133" i="42"/>
  <c r="M134" i="42"/>
  <c r="M135" i="42"/>
  <c r="M136" i="42"/>
  <c r="N137" i="42" s="1"/>
  <c r="M137" i="42"/>
  <c r="M138" i="42"/>
  <c r="M139" i="42"/>
  <c r="M140" i="42"/>
  <c r="M141" i="42"/>
  <c r="N141" i="42" s="1"/>
  <c r="M142" i="42"/>
  <c r="N142" i="42" s="1"/>
  <c r="M143" i="42"/>
  <c r="M144" i="42"/>
  <c r="M145" i="42"/>
  <c r="N145" i="42" s="1"/>
  <c r="M146" i="42"/>
  <c r="N146" i="42" s="1"/>
  <c r="M147" i="42"/>
  <c r="M148" i="42"/>
  <c r="M149" i="42"/>
  <c r="M150" i="42"/>
  <c r="N150" i="42" s="1"/>
  <c r="M151" i="42"/>
  <c r="M152" i="42"/>
  <c r="M153" i="42"/>
  <c r="M154" i="42"/>
  <c r="M155" i="42"/>
  <c r="N155" i="42" s="1"/>
  <c r="M156" i="42"/>
  <c r="N156" i="42" s="1"/>
  <c r="M157" i="42"/>
  <c r="M158" i="42"/>
  <c r="M159" i="42"/>
  <c r="N159" i="42" s="1"/>
  <c r="M160" i="42"/>
  <c r="N160" i="42" s="1"/>
  <c r="M161" i="42"/>
  <c r="M162" i="42"/>
  <c r="M163" i="42"/>
  <c r="M164" i="42"/>
  <c r="N164" i="42" s="1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4" i="42"/>
  <c r="N8" i="42"/>
  <c r="N9" i="42"/>
  <c r="N10" i="42"/>
  <c r="N12" i="42"/>
  <c r="N13" i="42"/>
  <c r="N14" i="42"/>
  <c r="N18" i="42"/>
  <c r="N22" i="42"/>
  <c r="N23" i="42"/>
  <c r="N26" i="42"/>
  <c r="N27" i="42"/>
  <c r="N28" i="42"/>
  <c r="N32" i="42"/>
  <c r="N35" i="42"/>
  <c r="N36" i="42"/>
  <c r="N37" i="42"/>
  <c r="N40" i="42"/>
  <c r="N41" i="42"/>
  <c r="N42" i="42"/>
  <c r="N46" i="42"/>
  <c r="N50" i="42"/>
  <c r="N51" i="42"/>
  <c r="N52" i="42"/>
  <c r="N54" i="42"/>
  <c r="N55" i="42"/>
  <c r="N56" i="42"/>
  <c r="N57" i="42"/>
  <c r="N59" i="42"/>
  <c r="N60" i="42"/>
  <c r="N64" i="42"/>
  <c r="N65" i="42"/>
  <c r="N68" i="42"/>
  <c r="N69" i="42"/>
  <c r="N70" i="42"/>
  <c r="N74" i="42"/>
  <c r="N78" i="42"/>
  <c r="N79" i="42"/>
  <c r="N82" i="42"/>
  <c r="N83" i="42"/>
  <c r="N84" i="42"/>
  <c r="N85" i="42"/>
  <c r="N87" i="42"/>
  <c r="N88" i="42"/>
  <c r="N92" i="42"/>
  <c r="N93" i="42"/>
  <c r="N96" i="42"/>
  <c r="N97" i="42"/>
  <c r="N98" i="42"/>
  <c r="N99" i="42"/>
  <c r="N102" i="42"/>
  <c r="N106" i="42"/>
  <c r="N107" i="42"/>
  <c r="N110" i="42"/>
  <c r="N111" i="42"/>
  <c r="N112" i="42"/>
  <c r="N116" i="42"/>
  <c r="N119" i="42"/>
  <c r="N120" i="42"/>
  <c r="N121" i="42"/>
  <c r="N123" i="42"/>
  <c r="N124" i="42"/>
  <c r="N125" i="42"/>
  <c r="N126" i="42"/>
  <c r="N130" i="42"/>
  <c r="N134" i="42"/>
  <c r="N135" i="42"/>
  <c r="N136" i="42"/>
  <c r="N138" i="42"/>
  <c r="N139" i="42"/>
  <c r="N140" i="42"/>
  <c r="N144" i="42"/>
  <c r="N148" i="42"/>
  <c r="N149" i="42"/>
  <c r="N152" i="42"/>
  <c r="N153" i="42"/>
  <c r="N154" i="42"/>
  <c r="N158" i="42"/>
  <c r="N161" i="42"/>
  <c r="N162" i="42"/>
  <c r="N163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BJ2" i="40"/>
  <c r="BJ3" i="40"/>
  <c r="BJ4" i="40"/>
  <c r="BJ5" i="40"/>
  <c r="BJ6" i="40"/>
  <c r="BJ7" i="40"/>
  <c r="BJ8" i="40"/>
  <c r="BJ9" i="40"/>
  <c r="BJ10" i="40"/>
  <c r="BJ11" i="40"/>
  <c r="BJ12" i="40"/>
  <c r="BJ13" i="40"/>
  <c r="BJ14" i="40"/>
  <c r="BJ15" i="40"/>
  <c r="BJ16" i="40"/>
  <c r="BJ17" i="40"/>
  <c r="BJ18" i="40"/>
  <c r="BJ19" i="40"/>
  <c r="BJ20" i="40"/>
  <c r="BJ21" i="40"/>
  <c r="BJ22" i="40"/>
  <c r="BJ23" i="40"/>
  <c r="BJ24" i="40"/>
  <c r="BJ25" i="40"/>
  <c r="BJ26" i="40"/>
  <c r="BJ27" i="40"/>
  <c r="BJ28" i="40"/>
  <c r="BJ29" i="40"/>
  <c r="BJ30" i="40"/>
  <c r="BJ31" i="40"/>
  <c r="BJ32" i="40"/>
  <c r="BJ33" i="40"/>
  <c r="BJ34" i="40"/>
  <c r="BJ35" i="40"/>
  <c r="BJ36" i="40"/>
  <c r="BJ37" i="40"/>
  <c r="BJ38" i="40"/>
  <c r="BJ39" i="40"/>
  <c r="BJ40" i="40"/>
  <c r="BJ41" i="40"/>
  <c r="BJ42" i="40"/>
  <c r="BJ43" i="40"/>
  <c r="BJ44" i="40"/>
  <c r="BJ45" i="40"/>
  <c r="BJ46" i="40"/>
  <c r="BJ47" i="40"/>
  <c r="BJ48" i="40"/>
  <c r="BJ49" i="40"/>
  <c r="BJ50" i="40"/>
  <c r="BJ51" i="40"/>
  <c r="BJ52" i="40"/>
  <c r="BJ53" i="40"/>
  <c r="BJ54" i="40"/>
  <c r="BJ55" i="40"/>
  <c r="BJ56" i="40"/>
  <c r="BJ57" i="40"/>
  <c r="BJ58" i="40"/>
  <c r="BJ59" i="40"/>
  <c r="BJ60" i="40"/>
  <c r="BJ61" i="40"/>
  <c r="BJ62" i="40"/>
  <c r="BJ63" i="40"/>
  <c r="BJ64" i="40"/>
  <c r="BJ65" i="40"/>
  <c r="BJ66" i="40"/>
  <c r="BJ67" i="40"/>
  <c r="BJ68" i="40"/>
  <c r="BJ69" i="40"/>
  <c r="BJ70" i="40"/>
  <c r="BJ71" i="40"/>
  <c r="BJ72" i="40"/>
  <c r="BJ73" i="40"/>
  <c r="BJ74" i="40"/>
  <c r="BJ75" i="40"/>
  <c r="BJ76" i="40"/>
  <c r="BJ77" i="40"/>
  <c r="BJ78" i="40"/>
  <c r="BJ79" i="40"/>
  <c r="BJ80" i="40"/>
  <c r="BJ81" i="40"/>
  <c r="BJ82" i="40"/>
  <c r="BJ83" i="40"/>
  <c r="BJ84" i="40"/>
  <c r="BJ85" i="40"/>
  <c r="BJ86" i="40"/>
  <c r="BJ87" i="40"/>
  <c r="BJ88" i="40"/>
  <c r="BJ89" i="40"/>
  <c r="BJ90" i="40"/>
  <c r="BJ91" i="40"/>
  <c r="BJ92" i="40"/>
  <c r="BJ93" i="40"/>
  <c r="BJ94" i="40"/>
  <c r="BJ95" i="40"/>
  <c r="BJ96" i="40"/>
  <c r="BJ97" i="40"/>
  <c r="BJ98" i="40"/>
  <c r="BJ99" i="40"/>
  <c r="BJ100" i="40"/>
  <c r="BJ101" i="40"/>
  <c r="BJ102" i="40"/>
  <c r="BJ103" i="40"/>
  <c r="BJ104" i="40"/>
  <c r="BJ105" i="40"/>
  <c r="BJ106" i="40"/>
  <c r="BJ107" i="40"/>
  <c r="BJ108" i="40"/>
  <c r="BJ109" i="40"/>
  <c r="BJ110" i="40"/>
  <c r="BJ111" i="40"/>
  <c r="BJ112" i="40"/>
  <c r="BJ113" i="40"/>
  <c r="BJ114" i="40"/>
  <c r="BJ115" i="40"/>
  <c r="BJ116" i="40"/>
  <c r="BJ117" i="40"/>
  <c r="BJ118" i="40"/>
  <c r="BJ119" i="40"/>
  <c r="BJ120" i="40"/>
  <c r="BJ121" i="40"/>
  <c r="BJ122" i="40"/>
  <c r="BJ123" i="40"/>
  <c r="BJ124" i="40"/>
  <c r="BJ125" i="40"/>
  <c r="BJ126" i="40"/>
  <c r="BJ127" i="40"/>
  <c r="BJ128" i="40"/>
  <c r="BJ129" i="40"/>
  <c r="BJ130" i="40"/>
  <c r="BJ131" i="40"/>
  <c r="BJ132" i="40"/>
  <c r="BJ133" i="40"/>
  <c r="BJ134" i="40"/>
  <c r="BJ135" i="40"/>
  <c r="BJ136" i="40"/>
  <c r="BJ137" i="40"/>
  <c r="BJ138" i="40"/>
  <c r="BJ139" i="40"/>
  <c r="BJ140" i="40"/>
  <c r="BJ141" i="40"/>
  <c r="BJ142" i="40"/>
  <c r="BJ143" i="40"/>
  <c r="BJ144" i="40"/>
  <c r="BJ145" i="40"/>
  <c r="BJ146" i="40"/>
  <c r="BJ147" i="40"/>
  <c r="BJ148" i="40"/>
  <c r="BJ149" i="40"/>
  <c r="BJ150" i="40"/>
  <c r="BJ151" i="40"/>
  <c r="BJ152" i="40"/>
  <c r="BJ153" i="40"/>
  <c r="BJ154" i="40"/>
  <c r="BJ155" i="40"/>
  <c r="BJ156" i="40"/>
  <c r="BJ157" i="40"/>
  <c r="BJ158" i="40"/>
  <c r="BJ159" i="40"/>
  <c r="BJ160" i="40"/>
  <c r="BJ161" i="40"/>
  <c r="BJ162" i="40"/>
  <c r="BJ163" i="40"/>
  <c r="BJ164" i="40"/>
  <c r="BJ165" i="40"/>
  <c r="BJ166" i="40"/>
  <c r="BJ167" i="40"/>
  <c r="BJ168" i="40"/>
  <c r="BJ169" i="40"/>
  <c r="BJ170" i="40"/>
  <c r="BJ171" i="40"/>
  <c r="BJ172" i="40"/>
  <c r="BJ173" i="40"/>
  <c r="BJ174" i="40"/>
  <c r="BJ175" i="40"/>
  <c r="BJ176" i="40"/>
  <c r="BJ177" i="40"/>
  <c r="BJ178" i="40"/>
  <c r="BJ179" i="40"/>
  <c r="BJ180" i="40"/>
  <c r="BJ181" i="40"/>
  <c r="BJ182" i="40"/>
  <c r="BJ183" i="40"/>
  <c r="BJ184" i="40"/>
  <c r="BJ185" i="40"/>
  <c r="BJ186" i="40"/>
  <c r="BJ187" i="40"/>
  <c r="BJ188" i="40"/>
  <c r="BJ189" i="40"/>
  <c r="BJ190" i="40"/>
  <c r="BJ191" i="40"/>
  <c r="BJ192" i="40"/>
  <c r="BJ193" i="40"/>
  <c r="BJ194" i="40"/>
  <c r="BJ195" i="40"/>
  <c r="BJ196" i="40"/>
  <c r="BJ197" i="40"/>
  <c r="BJ198" i="40"/>
  <c r="BJ199" i="40"/>
  <c r="BJ200" i="40"/>
  <c r="BJ201" i="40"/>
  <c r="BJ202" i="40"/>
  <c r="BJ203" i="40"/>
  <c r="BJ204" i="40"/>
  <c r="BJ205" i="40"/>
  <c r="BJ206" i="40"/>
  <c r="BJ207" i="40"/>
  <c r="BJ208" i="40"/>
  <c r="BJ209" i="40"/>
  <c r="BJ210" i="40"/>
  <c r="BJ211" i="40"/>
  <c r="BJ212" i="40"/>
  <c r="BJ213" i="40"/>
  <c r="BJ214" i="40"/>
  <c r="BJ215" i="40"/>
  <c r="BJ216" i="40"/>
  <c r="BJ217" i="40"/>
  <c r="BJ218" i="40"/>
  <c r="BJ219" i="40"/>
  <c r="BJ220" i="40"/>
  <c r="BJ221" i="40"/>
  <c r="BJ222" i="40"/>
  <c r="BJ223" i="40"/>
  <c r="BJ224" i="40"/>
  <c r="BJ225" i="40"/>
  <c r="BJ226" i="40"/>
  <c r="BJ227" i="40"/>
  <c r="BJ228" i="40"/>
  <c r="BJ229" i="40"/>
  <c r="BJ230" i="40"/>
  <c r="BJ231" i="40"/>
  <c r="BJ232" i="40"/>
  <c r="BJ233" i="40"/>
  <c r="BJ234" i="40"/>
  <c r="BJ235" i="40"/>
  <c r="BJ236" i="40"/>
  <c r="BJ237" i="40"/>
  <c r="BJ238" i="40"/>
  <c r="BJ239" i="40"/>
  <c r="BJ240" i="40"/>
  <c r="BJ241" i="40"/>
  <c r="BJ242" i="40"/>
  <c r="BJ243" i="40"/>
  <c r="BJ244" i="40"/>
  <c r="BJ245" i="40"/>
  <c r="BJ246" i="40"/>
  <c r="BJ247" i="40"/>
  <c r="BJ248" i="40"/>
  <c r="BJ249" i="40"/>
  <c r="BJ250" i="40"/>
  <c r="BJ251" i="40"/>
  <c r="BJ252" i="40"/>
  <c r="BJ253" i="40"/>
  <c r="BJ254" i="40"/>
  <c r="BJ255" i="40"/>
  <c r="BJ256" i="40"/>
  <c r="BJ257" i="40"/>
  <c r="BJ258" i="40"/>
  <c r="BJ259" i="40"/>
  <c r="BJ260" i="40"/>
  <c r="BJ261" i="40"/>
  <c r="BJ262" i="40"/>
  <c r="BJ263" i="40"/>
  <c r="BJ264" i="40"/>
  <c r="BJ265" i="40"/>
  <c r="BJ266" i="40"/>
  <c r="BJ267" i="40"/>
  <c r="BJ268" i="40"/>
  <c r="BJ269" i="40"/>
  <c r="BJ270" i="40"/>
  <c r="BJ271" i="40"/>
  <c r="BJ272" i="40"/>
  <c r="BJ273" i="40"/>
  <c r="BJ274" i="40"/>
  <c r="BJ275" i="40"/>
  <c r="BJ276" i="40"/>
  <c r="BJ277" i="40"/>
  <c r="BJ278" i="40"/>
  <c r="BJ279" i="40"/>
  <c r="BJ280" i="40"/>
  <c r="BJ281" i="40"/>
  <c r="BJ282" i="40"/>
  <c r="BJ283" i="40"/>
  <c r="BJ284" i="40"/>
  <c r="BJ285" i="40"/>
  <c r="BJ286" i="40"/>
  <c r="BJ287" i="40"/>
  <c r="BJ288" i="40"/>
  <c r="BJ289" i="40"/>
  <c r="BJ290" i="40"/>
  <c r="BJ291" i="40"/>
  <c r="BJ292" i="40"/>
  <c r="BJ293" i="40"/>
  <c r="BJ294" i="40"/>
  <c r="BJ295" i="40"/>
  <c r="BJ296" i="40"/>
  <c r="BJ297" i="40"/>
  <c r="BJ298" i="40"/>
  <c r="BJ299" i="40"/>
  <c r="BJ300" i="40"/>
  <c r="BJ301" i="40"/>
  <c r="BJ302" i="40"/>
  <c r="BJ303" i="40"/>
  <c r="BJ304" i="40"/>
  <c r="BJ305" i="40"/>
  <c r="BJ306" i="40"/>
  <c r="BJ307" i="40"/>
  <c r="BJ308" i="40"/>
  <c r="BJ309" i="40"/>
  <c r="BJ310" i="40"/>
  <c r="BJ311" i="40"/>
  <c r="BJ312" i="40"/>
  <c r="BJ313" i="40"/>
  <c r="BJ314" i="40"/>
  <c r="BJ315" i="40"/>
  <c r="BJ316" i="40"/>
  <c r="BJ317" i="40"/>
  <c r="BJ318" i="40"/>
  <c r="BJ319" i="40"/>
  <c r="BJ320" i="40"/>
  <c r="BJ321" i="40"/>
  <c r="BJ322" i="40"/>
  <c r="BJ323" i="40"/>
  <c r="BJ324" i="40"/>
  <c r="BJ325" i="40"/>
  <c r="BJ326" i="40"/>
  <c r="BJ327" i="40"/>
  <c r="BJ328" i="40"/>
  <c r="BJ329" i="40"/>
  <c r="BJ330" i="40"/>
  <c r="BJ331" i="40"/>
  <c r="BJ332" i="40"/>
  <c r="BJ333" i="40"/>
  <c r="BJ334" i="40"/>
  <c r="BJ335" i="40"/>
  <c r="BJ336" i="40"/>
  <c r="BJ337" i="40"/>
  <c r="BJ338" i="40"/>
  <c r="BJ339" i="40"/>
  <c r="BJ340" i="40"/>
  <c r="BJ341" i="40"/>
  <c r="BJ342" i="40"/>
  <c r="BJ343" i="40"/>
  <c r="BJ344" i="40"/>
  <c r="BJ345" i="40"/>
  <c r="BJ346" i="40"/>
  <c r="BJ347" i="40"/>
  <c r="BJ348" i="40"/>
  <c r="BJ349" i="40"/>
  <c r="BJ350" i="40"/>
  <c r="BJ351" i="40"/>
  <c r="BJ352" i="40"/>
  <c r="BJ353" i="40"/>
  <c r="BJ354" i="40"/>
  <c r="BJ355" i="40"/>
  <c r="BJ356" i="40"/>
  <c r="BJ357" i="40"/>
  <c r="BJ358" i="40"/>
  <c r="BJ359" i="40"/>
  <c r="BJ360" i="40"/>
  <c r="BJ361" i="40"/>
  <c r="BJ362" i="40"/>
  <c r="BJ363" i="40"/>
  <c r="BJ364" i="40"/>
  <c r="BJ365" i="40"/>
  <c r="BJ366" i="40"/>
  <c r="BJ367" i="40"/>
  <c r="BJ368" i="40"/>
  <c r="BJ369" i="40"/>
  <c r="BJ370" i="40"/>
  <c r="BJ371" i="40"/>
  <c r="BJ372" i="40"/>
  <c r="BJ373" i="40"/>
  <c r="BJ374" i="40"/>
  <c r="BJ375" i="40"/>
  <c r="BJ376" i="40"/>
  <c r="BJ377" i="40"/>
  <c r="BJ378" i="40"/>
  <c r="BJ379" i="40"/>
  <c r="BJ380" i="40"/>
  <c r="BJ381" i="40"/>
  <c r="BJ382" i="40"/>
  <c r="BJ383" i="40"/>
  <c r="BJ384" i="40"/>
  <c r="BJ385" i="40"/>
  <c r="BJ386" i="40"/>
  <c r="BJ387" i="40"/>
  <c r="BJ388" i="40"/>
  <c r="BJ389" i="40"/>
  <c r="BJ390" i="40"/>
  <c r="BJ391" i="40"/>
  <c r="BJ392" i="40"/>
  <c r="BJ393" i="40"/>
  <c r="BJ394" i="40"/>
  <c r="BJ395" i="40"/>
  <c r="BJ396" i="40"/>
  <c r="BJ397" i="40"/>
  <c r="BJ398" i="40"/>
  <c r="BJ399" i="40"/>
  <c r="BJ400" i="40"/>
  <c r="BJ401" i="40"/>
  <c r="BJ402" i="40"/>
  <c r="BJ403" i="40"/>
  <c r="BJ404" i="40"/>
  <c r="BJ405" i="40"/>
  <c r="BJ406" i="40"/>
  <c r="BJ407" i="40"/>
  <c r="BJ408" i="40"/>
  <c r="BJ409" i="40"/>
  <c r="BJ410" i="40"/>
  <c r="BJ411" i="40"/>
  <c r="BJ412" i="40"/>
  <c r="BJ413" i="40"/>
  <c r="BJ414" i="40"/>
  <c r="BJ415" i="40"/>
  <c r="BJ416" i="40"/>
  <c r="BJ417" i="40"/>
  <c r="BJ418" i="40"/>
  <c r="BJ419" i="40"/>
  <c r="BJ420" i="40"/>
  <c r="BJ421" i="40"/>
  <c r="BJ422" i="40"/>
  <c r="BJ423" i="40"/>
  <c r="BJ424" i="40"/>
  <c r="BJ425" i="40"/>
  <c r="BJ426" i="40"/>
  <c r="BJ427" i="40"/>
  <c r="BJ428" i="40"/>
  <c r="BJ429" i="40"/>
  <c r="BJ430" i="40"/>
  <c r="BJ431" i="40"/>
  <c r="BJ432" i="40"/>
  <c r="BJ433" i="40"/>
  <c r="BJ434" i="40"/>
  <c r="BJ435" i="40"/>
  <c r="BJ436" i="40"/>
  <c r="BJ437" i="40"/>
  <c r="BJ438" i="40"/>
  <c r="BJ439" i="40"/>
  <c r="BJ440" i="40"/>
  <c r="BJ441" i="40"/>
  <c r="BJ442" i="40"/>
  <c r="BJ443" i="40"/>
  <c r="BJ444" i="40"/>
  <c r="BJ445" i="40"/>
  <c r="BJ446" i="40"/>
  <c r="BJ447" i="40"/>
  <c r="BJ448" i="40"/>
  <c r="BJ449" i="40"/>
  <c r="BJ450" i="40"/>
  <c r="BJ451" i="40"/>
  <c r="BJ452" i="40"/>
  <c r="BJ453" i="40"/>
  <c r="BJ454" i="40"/>
  <c r="BJ455" i="40"/>
  <c r="BJ456" i="40"/>
  <c r="BJ457" i="40"/>
  <c r="BJ458" i="40"/>
  <c r="BJ459" i="40"/>
  <c r="BJ460" i="40"/>
  <c r="BJ461" i="40"/>
  <c r="BJ462" i="40"/>
  <c r="BJ463" i="40"/>
  <c r="BJ464" i="40"/>
  <c r="BJ465" i="40"/>
  <c r="BJ466" i="40"/>
  <c r="BJ467" i="40"/>
  <c r="BJ468" i="40"/>
  <c r="BJ469" i="40"/>
  <c r="BJ470" i="40"/>
  <c r="BJ471" i="40"/>
  <c r="BJ472" i="40"/>
  <c r="BJ473" i="40"/>
  <c r="BJ474" i="40"/>
  <c r="BJ475" i="40"/>
  <c r="BJ476" i="40"/>
  <c r="BJ477" i="40"/>
  <c r="BJ478" i="40"/>
  <c r="BJ479" i="40"/>
  <c r="BJ480" i="40"/>
  <c r="BJ481" i="40"/>
  <c r="BJ482" i="40"/>
  <c r="BJ483" i="40"/>
  <c r="BJ484" i="40"/>
  <c r="BJ485" i="40"/>
  <c r="BJ486" i="40"/>
  <c r="BJ487" i="40"/>
  <c r="BJ488" i="40"/>
  <c r="BJ489" i="40"/>
  <c r="BJ490" i="40"/>
  <c r="BJ491" i="40"/>
  <c r="BJ492" i="40"/>
  <c r="BJ493" i="40"/>
  <c r="BJ494" i="40"/>
  <c r="BJ495" i="40"/>
  <c r="BJ496" i="40"/>
  <c r="BJ497" i="40"/>
  <c r="BJ498" i="40"/>
  <c r="BJ499" i="40"/>
  <c r="BJ500" i="40"/>
  <c r="BJ501" i="40"/>
  <c r="BJ502" i="40"/>
  <c r="BJ503" i="40"/>
  <c r="BJ504" i="40"/>
  <c r="BJ505" i="40"/>
  <c r="BJ506" i="40"/>
  <c r="BJ507" i="40"/>
  <c r="BJ508" i="40"/>
  <c r="BJ509" i="40"/>
  <c r="BJ510" i="40"/>
  <c r="BJ511" i="40"/>
  <c r="BJ512" i="40"/>
  <c r="BJ513" i="40"/>
  <c r="BJ514" i="40"/>
  <c r="BJ515" i="40"/>
  <c r="BJ516" i="40"/>
  <c r="BJ517" i="40"/>
  <c r="BJ518" i="40"/>
  <c r="BJ519" i="40"/>
  <c r="BJ520" i="40"/>
  <c r="BJ521" i="40"/>
  <c r="BJ522" i="40"/>
  <c r="BJ523" i="40"/>
  <c r="BJ524" i="40"/>
  <c r="BJ525" i="40"/>
  <c r="BJ526" i="40"/>
  <c r="BJ527" i="40"/>
  <c r="BJ528" i="40"/>
  <c r="BJ529" i="40"/>
  <c r="BJ530" i="40"/>
  <c r="BJ531" i="40"/>
  <c r="BJ532" i="40"/>
  <c r="BJ533" i="40"/>
  <c r="BJ534" i="40"/>
  <c r="BJ535" i="40"/>
  <c r="BJ536" i="40"/>
  <c r="BJ537" i="40"/>
  <c r="BJ538" i="40"/>
  <c r="BJ539" i="40"/>
  <c r="BJ540" i="40"/>
  <c r="BJ541" i="40"/>
  <c r="BJ542" i="40"/>
  <c r="BJ543" i="40"/>
  <c r="BJ544" i="40"/>
  <c r="BJ545" i="40"/>
  <c r="BJ546" i="40"/>
  <c r="BJ547" i="40"/>
  <c r="BJ548" i="40"/>
  <c r="BJ549" i="40"/>
  <c r="BJ550" i="40"/>
  <c r="BJ551" i="40"/>
  <c r="BJ552" i="40"/>
  <c r="BJ553" i="40"/>
  <c r="BJ554" i="40"/>
  <c r="BJ555" i="40"/>
  <c r="BJ556" i="40"/>
  <c r="BJ557" i="40"/>
  <c r="BJ558" i="40"/>
  <c r="BJ559" i="40"/>
  <c r="BJ560" i="40"/>
  <c r="BJ561" i="40"/>
  <c r="BJ562" i="40"/>
  <c r="BJ563" i="40"/>
  <c r="BJ564" i="40"/>
  <c r="BJ565" i="40"/>
  <c r="BJ566" i="40"/>
  <c r="BJ567" i="40"/>
  <c r="BJ568" i="40"/>
  <c r="BJ569" i="40"/>
  <c r="BJ570" i="40"/>
  <c r="BJ571" i="40"/>
  <c r="BJ572" i="40"/>
  <c r="BJ573" i="40"/>
  <c r="BJ574" i="40"/>
  <c r="BJ575" i="40"/>
  <c r="BJ576" i="40"/>
  <c r="BJ577" i="40"/>
  <c r="BJ578" i="40"/>
  <c r="BJ579" i="40"/>
  <c r="BJ580" i="40"/>
  <c r="BJ581" i="40"/>
  <c r="BJ582" i="40"/>
  <c r="BJ583" i="40"/>
  <c r="BJ584" i="40"/>
  <c r="BJ585" i="40"/>
  <c r="BJ586" i="40"/>
  <c r="BJ587" i="40"/>
  <c r="BJ588" i="40"/>
  <c r="BJ589" i="40"/>
  <c r="BJ590" i="40"/>
  <c r="BJ591" i="40"/>
  <c r="BJ592" i="40"/>
  <c r="BJ593" i="40"/>
  <c r="BJ594" i="40"/>
  <c r="BJ595" i="40"/>
  <c r="BJ596" i="40"/>
  <c r="BJ597" i="40"/>
  <c r="BJ598" i="40"/>
  <c r="BJ599" i="40"/>
  <c r="BJ600" i="40"/>
  <c r="BJ601" i="40"/>
  <c r="BJ602" i="40"/>
  <c r="BJ603" i="40"/>
  <c r="BJ604" i="40"/>
  <c r="BJ605" i="40"/>
  <c r="BJ606" i="40"/>
  <c r="BJ607" i="40"/>
  <c r="BJ608" i="40"/>
  <c r="BJ609" i="40"/>
  <c r="BJ610" i="40"/>
  <c r="BJ611" i="40"/>
  <c r="BJ612" i="40"/>
  <c r="BJ613" i="40"/>
  <c r="BJ614" i="40"/>
  <c r="BJ615" i="40"/>
  <c r="BJ616" i="40"/>
  <c r="BJ617" i="40"/>
  <c r="BJ618" i="40"/>
  <c r="BJ619" i="40"/>
  <c r="BJ620" i="40"/>
  <c r="BJ621" i="40"/>
  <c r="BJ622" i="40"/>
  <c r="BJ623" i="40"/>
  <c r="BJ624" i="40"/>
  <c r="BJ625" i="40"/>
  <c r="BJ626" i="40"/>
  <c r="BJ627" i="40"/>
  <c r="BJ628" i="40"/>
  <c r="BJ629" i="40"/>
  <c r="BJ630" i="40"/>
  <c r="BJ631" i="40"/>
  <c r="BJ632" i="40"/>
  <c r="BJ633" i="40"/>
  <c r="BJ634" i="40"/>
  <c r="BJ635" i="40"/>
  <c r="BJ636" i="40"/>
  <c r="BJ637" i="40"/>
  <c r="BJ638" i="40"/>
  <c r="BJ639" i="40"/>
  <c r="BJ640" i="40"/>
  <c r="BJ641" i="40"/>
  <c r="BJ642" i="40"/>
  <c r="BJ643" i="40"/>
  <c r="BJ644" i="40"/>
  <c r="BJ645" i="40"/>
  <c r="BJ646" i="40"/>
  <c r="BJ647" i="40"/>
  <c r="BJ648" i="40"/>
  <c r="BJ649" i="40"/>
  <c r="BJ650" i="40"/>
  <c r="BJ651" i="40"/>
  <c r="BJ652" i="40"/>
  <c r="BJ653" i="40"/>
  <c r="BJ654" i="40"/>
  <c r="BJ655" i="40"/>
  <c r="BJ656" i="40"/>
  <c r="BJ657" i="40"/>
  <c r="BJ658" i="40"/>
  <c r="BJ659" i="40"/>
  <c r="BJ660" i="40"/>
  <c r="BJ661" i="40"/>
  <c r="BJ662" i="40"/>
  <c r="BJ663" i="40"/>
  <c r="BJ664" i="40"/>
  <c r="BJ665" i="40"/>
  <c r="BJ666" i="40"/>
  <c r="BJ667" i="40"/>
  <c r="BJ668" i="40"/>
  <c r="BJ669" i="40"/>
  <c r="BJ670" i="40"/>
  <c r="BJ671" i="40"/>
  <c r="BJ672" i="40"/>
  <c r="BJ673" i="40"/>
  <c r="BJ674" i="40"/>
  <c r="BJ675" i="40"/>
  <c r="BJ676" i="40"/>
  <c r="BJ677" i="40"/>
  <c r="BJ678" i="40"/>
  <c r="BJ679" i="40"/>
  <c r="BJ680" i="40"/>
  <c r="BJ681" i="40"/>
  <c r="BJ682" i="40"/>
  <c r="BJ683" i="40"/>
  <c r="BJ684" i="40"/>
  <c r="BJ685" i="40"/>
  <c r="BJ686" i="40"/>
  <c r="BJ687" i="40"/>
  <c r="BJ688" i="40"/>
  <c r="BJ689" i="40"/>
  <c r="BJ690" i="40"/>
  <c r="BJ691" i="40"/>
  <c r="BJ692" i="40"/>
  <c r="BJ693" i="40"/>
  <c r="BJ694" i="40"/>
  <c r="BJ695" i="40"/>
  <c r="BJ696" i="40"/>
  <c r="BJ697" i="40"/>
  <c r="BJ698" i="40"/>
  <c r="BJ699" i="40"/>
  <c r="BJ700" i="40"/>
  <c r="BJ701" i="40"/>
  <c r="BJ702" i="40"/>
  <c r="BJ703" i="40"/>
  <c r="BJ704" i="40"/>
  <c r="BJ705" i="40"/>
  <c r="BK2" i="40"/>
  <c r="BK3" i="40"/>
  <c r="BK4" i="40"/>
  <c r="BK5" i="40"/>
  <c r="BK6" i="40"/>
  <c r="BK7" i="40"/>
  <c r="BK8" i="40"/>
  <c r="BK9" i="40"/>
  <c r="BK10" i="40"/>
  <c r="BK11" i="40"/>
  <c r="BK12" i="40"/>
  <c r="BK13" i="40"/>
  <c r="BK14" i="40"/>
  <c r="BK15" i="40"/>
  <c r="BK16" i="40"/>
  <c r="BK17" i="40"/>
  <c r="BK18" i="40"/>
  <c r="BK19" i="40"/>
  <c r="BK20" i="40"/>
  <c r="BK21" i="40"/>
  <c r="BK22" i="40"/>
  <c r="BK23" i="40"/>
  <c r="BK24" i="40"/>
  <c r="BK25" i="40"/>
  <c r="BK26" i="40"/>
  <c r="BK27" i="40"/>
  <c r="BK28" i="40"/>
  <c r="BK29" i="40"/>
  <c r="BK30" i="40"/>
  <c r="BK31" i="40"/>
  <c r="BK32" i="40"/>
  <c r="BK33" i="40"/>
  <c r="BK34" i="40"/>
  <c r="BK35" i="40"/>
  <c r="BK36" i="40"/>
  <c r="BK37" i="40"/>
  <c r="BK38" i="40"/>
  <c r="BK39" i="40"/>
  <c r="BK40" i="40"/>
  <c r="BK41" i="40"/>
  <c r="BK42" i="40"/>
  <c r="BK43" i="40"/>
  <c r="BK44" i="40"/>
  <c r="BK45" i="40"/>
  <c r="BK46" i="40"/>
  <c r="BK47" i="40"/>
  <c r="BK48" i="40"/>
  <c r="BK49" i="40"/>
  <c r="BK50" i="40"/>
  <c r="BK51" i="40"/>
  <c r="BK52" i="40"/>
  <c r="BK53" i="40"/>
  <c r="BK54" i="40"/>
  <c r="BK55" i="40"/>
  <c r="BK56" i="40"/>
  <c r="BK57" i="40"/>
  <c r="BK58" i="40"/>
  <c r="BK59" i="40"/>
  <c r="BK60" i="40"/>
  <c r="BK61" i="40"/>
  <c r="BK62" i="40"/>
  <c r="BK63" i="40"/>
  <c r="BK64" i="40"/>
  <c r="BK65" i="40"/>
  <c r="BK66" i="40"/>
  <c r="BK67" i="40"/>
  <c r="BK68" i="40"/>
  <c r="BK69" i="40"/>
  <c r="BK70" i="40"/>
  <c r="BK71" i="40"/>
  <c r="BK72" i="40"/>
  <c r="BK73" i="40"/>
  <c r="BK74" i="40"/>
  <c r="BK75" i="40"/>
  <c r="BK76" i="40"/>
  <c r="BK77" i="40"/>
  <c r="BK78" i="40"/>
  <c r="BK79" i="40"/>
  <c r="BK80" i="40"/>
  <c r="BK81" i="40"/>
  <c r="BK82" i="40"/>
  <c r="BK83" i="40"/>
  <c r="BK84" i="40"/>
  <c r="BK85" i="40"/>
  <c r="BK86" i="40"/>
  <c r="BK87" i="40"/>
  <c r="BK88" i="40"/>
  <c r="BK89" i="40"/>
  <c r="BK90" i="40"/>
  <c r="BK91" i="40"/>
  <c r="BK92" i="40"/>
  <c r="BK93" i="40"/>
  <c r="BK94" i="40"/>
  <c r="BK95" i="40"/>
  <c r="BK96" i="40"/>
  <c r="BK97" i="40"/>
  <c r="BK98" i="40"/>
  <c r="BK99" i="40"/>
  <c r="BK100" i="40"/>
  <c r="BK101" i="40"/>
  <c r="BK102" i="40"/>
  <c r="BK103" i="40"/>
  <c r="BK104" i="40"/>
  <c r="BK105" i="40"/>
  <c r="BK106" i="40"/>
  <c r="BK107" i="40"/>
  <c r="BK108" i="40"/>
  <c r="BK109" i="40"/>
  <c r="BK110" i="40"/>
  <c r="BK111" i="40"/>
  <c r="BK112" i="40"/>
  <c r="BK113" i="40"/>
  <c r="BK114" i="40"/>
  <c r="BK115" i="40"/>
  <c r="BK116" i="40"/>
  <c r="BK117" i="40"/>
  <c r="BK118" i="40"/>
  <c r="BK119" i="40"/>
  <c r="BK120" i="40"/>
  <c r="BK121" i="40"/>
  <c r="BK122" i="40"/>
  <c r="BK123" i="40"/>
  <c r="BK124" i="40"/>
  <c r="BK125" i="40"/>
  <c r="BK126" i="40"/>
  <c r="BK127" i="40"/>
  <c r="BK128" i="40"/>
  <c r="BK129" i="40"/>
  <c r="BK130" i="40"/>
  <c r="BK131" i="40"/>
  <c r="BK132" i="40"/>
  <c r="BK133" i="40"/>
  <c r="BK134" i="40"/>
  <c r="BK135" i="40"/>
  <c r="BK136" i="40"/>
  <c r="BK137" i="40"/>
  <c r="BK138" i="40"/>
  <c r="BK139" i="40"/>
  <c r="BK140" i="40"/>
  <c r="BK141" i="40"/>
  <c r="BK142" i="40"/>
  <c r="BK143" i="40"/>
  <c r="BK144" i="40"/>
  <c r="BK145" i="40"/>
  <c r="BK146" i="40"/>
  <c r="BK147" i="40"/>
  <c r="BK148" i="40"/>
  <c r="BK149" i="40"/>
  <c r="BK150" i="40"/>
  <c r="BK151" i="40"/>
  <c r="BK152" i="40"/>
  <c r="BK153" i="40"/>
  <c r="BK154" i="40"/>
  <c r="BK155" i="40"/>
  <c r="BK156" i="40"/>
  <c r="BK157" i="40"/>
  <c r="BK158" i="40"/>
  <c r="BK159" i="40"/>
  <c r="BK160" i="40"/>
  <c r="BK161" i="40"/>
  <c r="BK162" i="40"/>
  <c r="BK163" i="40"/>
  <c r="BK164" i="40"/>
  <c r="BK165" i="40"/>
  <c r="BK166" i="40"/>
  <c r="BK167" i="40"/>
  <c r="BK168" i="40"/>
  <c r="BK169" i="40"/>
  <c r="BK170" i="40"/>
  <c r="BK171" i="40"/>
  <c r="BK172" i="40"/>
  <c r="BK173" i="40"/>
  <c r="BK174" i="40"/>
  <c r="BK175" i="40"/>
  <c r="BK176" i="40"/>
  <c r="BK177" i="40"/>
  <c r="BK178" i="40"/>
  <c r="BK179" i="40"/>
  <c r="BK180" i="40"/>
  <c r="BK181" i="40"/>
  <c r="BK182" i="40"/>
  <c r="BK183" i="40"/>
  <c r="BK184" i="40"/>
  <c r="BK185" i="40"/>
  <c r="BK186" i="40"/>
  <c r="BK187" i="40"/>
  <c r="BK188" i="40"/>
  <c r="BK189" i="40"/>
  <c r="BK190" i="40"/>
  <c r="BK191" i="40"/>
  <c r="BK192" i="40"/>
  <c r="BK193" i="40"/>
  <c r="BK194" i="40"/>
  <c r="BK195" i="40"/>
  <c r="BK196" i="40"/>
  <c r="BK197" i="40"/>
  <c r="BK198" i="40"/>
  <c r="BK199" i="40"/>
  <c r="BK200" i="40"/>
  <c r="BK201" i="40"/>
  <c r="BK202" i="40"/>
  <c r="BK203" i="40"/>
  <c r="BK204" i="40"/>
  <c r="BK205" i="40"/>
  <c r="BK206" i="40"/>
  <c r="BK207" i="40"/>
  <c r="BK208" i="40"/>
  <c r="BK209" i="40"/>
  <c r="BK210" i="40"/>
  <c r="BK211" i="40"/>
  <c r="BK212" i="40"/>
  <c r="BK213" i="40"/>
  <c r="BK214" i="40"/>
  <c r="BK215" i="40"/>
  <c r="BK216" i="40"/>
  <c r="BK217" i="40"/>
  <c r="BK218" i="40"/>
  <c r="BK219" i="40"/>
  <c r="BK220" i="40"/>
  <c r="BK221" i="40"/>
  <c r="BK222" i="40"/>
  <c r="BK223" i="40"/>
  <c r="BK224" i="40"/>
  <c r="BK225" i="40"/>
  <c r="BK226" i="40"/>
  <c r="BK227" i="40"/>
  <c r="BK228" i="40"/>
  <c r="BK229" i="40"/>
  <c r="BK230" i="40"/>
  <c r="BK231" i="40"/>
  <c r="BK232" i="40"/>
  <c r="BK233" i="40"/>
  <c r="BK234" i="40"/>
  <c r="BK235" i="40"/>
  <c r="BK236" i="40"/>
  <c r="BK237" i="40"/>
  <c r="BK238" i="40"/>
  <c r="BK239" i="40"/>
  <c r="BK240" i="40"/>
  <c r="BK241" i="40"/>
  <c r="BK242" i="40"/>
  <c r="BK243" i="40"/>
  <c r="BK244" i="40"/>
  <c r="BK245" i="40"/>
  <c r="BK246" i="40"/>
  <c r="BK247" i="40"/>
  <c r="BK248" i="40"/>
  <c r="BK249" i="40"/>
  <c r="BK250" i="40"/>
  <c r="BK251" i="40"/>
  <c r="BK252" i="40"/>
  <c r="BK253" i="40"/>
  <c r="BK254" i="40"/>
  <c r="BK255" i="40"/>
  <c r="BK256" i="40"/>
  <c r="BK257" i="40"/>
  <c r="BK258" i="40"/>
  <c r="BK259" i="40"/>
  <c r="BK260" i="40"/>
  <c r="BK261" i="40"/>
  <c r="BK262" i="40"/>
  <c r="BK263" i="40"/>
  <c r="BK264" i="40"/>
  <c r="BK265" i="40"/>
  <c r="BK266" i="40"/>
  <c r="BK267" i="40"/>
  <c r="BK268" i="40"/>
  <c r="BK269" i="40"/>
  <c r="BK270" i="40"/>
  <c r="BK271" i="40"/>
  <c r="BK272" i="40"/>
  <c r="BK273" i="40"/>
  <c r="BK274" i="40"/>
  <c r="BK275" i="40"/>
  <c r="BK276" i="40"/>
  <c r="BK277" i="40"/>
  <c r="BK278" i="40"/>
  <c r="BK279" i="40"/>
  <c r="BK280" i="40"/>
  <c r="BK281" i="40"/>
  <c r="BK282" i="40"/>
  <c r="BK283" i="40"/>
  <c r="BK284" i="40"/>
  <c r="BK285" i="40"/>
  <c r="BK286" i="40"/>
  <c r="BK287" i="40"/>
  <c r="BK288" i="40"/>
  <c r="BK289" i="40"/>
  <c r="BK290" i="40"/>
  <c r="BK291" i="40"/>
  <c r="BK292" i="40"/>
  <c r="BK293" i="40"/>
  <c r="BK294" i="40"/>
  <c r="BK295" i="40"/>
  <c r="BK296" i="40"/>
  <c r="BK297" i="40"/>
  <c r="BK298" i="40"/>
  <c r="BK299" i="40"/>
  <c r="BK300" i="40"/>
  <c r="BK301" i="40"/>
  <c r="BK302" i="40"/>
  <c r="BK303" i="40"/>
  <c r="BK304" i="40"/>
  <c r="BK305" i="40"/>
  <c r="BK306" i="40"/>
  <c r="BK307" i="40"/>
  <c r="BK308" i="40"/>
  <c r="BK309" i="40"/>
  <c r="BK310" i="40"/>
  <c r="BK311" i="40"/>
  <c r="BK312" i="40"/>
  <c r="BK313" i="40"/>
  <c r="BK314" i="40"/>
  <c r="BK315" i="40"/>
  <c r="BK316" i="40"/>
  <c r="BK317" i="40"/>
  <c r="BK318" i="40"/>
  <c r="BK319" i="40"/>
  <c r="BK320" i="40"/>
  <c r="BK321" i="40"/>
  <c r="BK322" i="40"/>
  <c r="BK323" i="40"/>
  <c r="BK324" i="40"/>
  <c r="BK325" i="40"/>
  <c r="BK326" i="40"/>
  <c r="BK327" i="40"/>
  <c r="BK328" i="40"/>
  <c r="BK329" i="40"/>
  <c r="BK330" i="40"/>
  <c r="BK331" i="40"/>
  <c r="BK332" i="40"/>
  <c r="BK333" i="40"/>
  <c r="BK334" i="40"/>
  <c r="BK335" i="40"/>
  <c r="BK336" i="40"/>
  <c r="BK337" i="40"/>
  <c r="BK338" i="40"/>
  <c r="BK339" i="40"/>
  <c r="BK340" i="40"/>
  <c r="BK341" i="40"/>
  <c r="BK342" i="40"/>
  <c r="BK343" i="40"/>
  <c r="BK344" i="40"/>
  <c r="BK345" i="40"/>
  <c r="BK346" i="40"/>
  <c r="BK347" i="40"/>
  <c r="BK348" i="40"/>
  <c r="BK349" i="40"/>
  <c r="BK350" i="40"/>
  <c r="BK351" i="40"/>
  <c r="BK352" i="40"/>
  <c r="BK353" i="40"/>
  <c r="BK354" i="40"/>
  <c r="BK355" i="40"/>
  <c r="BK356" i="40"/>
  <c r="BK357" i="40"/>
  <c r="BK358" i="40"/>
  <c r="BK359" i="40"/>
  <c r="BK360" i="40"/>
  <c r="BK361" i="40"/>
  <c r="BK362" i="40"/>
  <c r="BK363" i="40"/>
  <c r="BK364" i="40"/>
  <c r="BK365" i="40"/>
  <c r="BK366" i="40"/>
  <c r="BK367" i="40"/>
  <c r="BK368" i="40"/>
  <c r="BK369" i="40"/>
  <c r="BK370" i="40"/>
  <c r="BK371" i="40"/>
  <c r="BK372" i="40"/>
  <c r="BK373" i="40"/>
  <c r="BK374" i="40"/>
  <c r="BK375" i="40"/>
  <c r="BK376" i="40"/>
  <c r="BK377" i="40"/>
  <c r="BK378" i="40"/>
  <c r="BK379" i="40"/>
  <c r="BK380" i="40"/>
  <c r="BK381" i="40"/>
  <c r="BK382" i="40"/>
  <c r="BK383" i="40"/>
  <c r="BK384" i="40"/>
  <c r="BK385" i="40"/>
  <c r="BK386" i="40"/>
  <c r="BK387" i="40"/>
  <c r="BK388" i="40"/>
  <c r="BK389" i="40"/>
  <c r="BK390" i="40"/>
  <c r="BK391" i="40"/>
  <c r="BK392" i="40"/>
  <c r="BK393" i="40"/>
  <c r="BK394" i="40"/>
  <c r="BK395" i="40"/>
  <c r="BK396" i="40"/>
  <c r="BK397" i="40"/>
  <c r="BK398" i="40"/>
  <c r="BK399" i="40"/>
  <c r="BK400" i="40"/>
  <c r="BK401" i="40"/>
  <c r="BK402" i="40"/>
  <c r="BK403" i="40"/>
  <c r="BK404" i="40"/>
  <c r="BK405" i="40"/>
  <c r="BK406" i="40"/>
  <c r="BK407" i="40"/>
  <c r="BK408" i="40"/>
  <c r="BK409" i="40"/>
  <c r="BK410" i="40"/>
  <c r="BK411" i="40"/>
  <c r="BK412" i="40"/>
  <c r="BK413" i="40"/>
  <c r="BK414" i="40"/>
  <c r="BK415" i="40"/>
  <c r="BK416" i="40"/>
  <c r="BK417" i="40"/>
  <c r="BK418" i="40"/>
  <c r="BK419" i="40"/>
  <c r="BK420" i="40"/>
  <c r="BK421" i="40"/>
  <c r="BK422" i="40"/>
  <c r="BK423" i="40"/>
  <c r="BK424" i="40"/>
  <c r="BK425" i="40"/>
  <c r="BK426" i="40"/>
  <c r="BK427" i="40"/>
  <c r="BK428" i="40"/>
  <c r="BK429" i="40"/>
  <c r="BK430" i="40"/>
  <c r="BK431" i="40"/>
  <c r="BK432" i="40"/>
  <c r="BK433" i="40"/>
  <c r="BK434" i="40"/>
  <c r="BK435" i="40"/>
  <c r="BK436" i="40"/>
  <c r="BK437" i="40"/>
  <c r="BK438" i="40"/>
  <c r="BK439" i="40"/>
  <c r="BK440" i="40"/>
  <c r="BK441" i="40"/>
  <c r="BK442" i="40"/>
  <c r="BK443" i="40"/>
  <c r="BK444" i="40"/>
  <c r="BK445" i="40"/>
  <c r="BK446" i="40"/>
  <c r="BK447" i="40"/>
  <c r="BK448" i="40"/>
  <c r="BK449" i="40"/>
  <c r="BK450" i="40"/>
  <c r="BK451" i="40"/>
  <c r="BK452" i="40"/>
  <c r="BK453" i="40"/>
  <c r="BK454" i="40"/>
  <c r="BK455" i="40"/>
  <c r="BK456" i="40"/>
  <c r="BK457" i="40"/>
  <c r="BK458" i="40"/>
  <c r="BK459" i="40"/>
  <c r="BK460" i="40"/>
  <c r="BK461" i="40"/>
  <c r="BK462" i="40"/>
  <c r="BK463" i="40"/>
  <c r="BK464" i="40"/>
  <c r="BK465" i="40"/>
  <c r="BK466" i="40"/>
  <c r="BK467" i="40"/>
  <c r="BK468" i="40"/>
  <c r="BK469" i="40"/>
  <c r="BK470" i="40"/>
  <c r="BK471" i="40"/>
  <c r="BK472" i="40"/>
  <c r="BK473" i="40"/>
  <c r="BK474" i="40"/>
  <c r="BK475" i="40"/>
  <c r="BK476" i="40"/>
  <c r="BK477" i="40"/>
  <c r="BK478" i="40"/>
  <c r="BK479" i="40"/>
  <c r="BK480" i="40"/>
  <c r="BK481" i="40"/>
  <c r="BK482" i="40"/>
  <c r="BK483" i="40"/>
  <c r="BK484" i="40"/>
  <c r="BK485" i="40"/>
  <c r="BK486" i="40"/>
  <c r="BK487" i="40"/>
  <c r="BK488" i="40"/>
  <c r="BK489" i="40"/>
  <c r="BK490" i="40"/>
  <c r="BK491" i="40"/>
  <c r="BK492" i="40"/>
  <c r="BK493" i="40"/>
  <c r="BK494" i="40"/>
  <c r="BK495" i="40"/>
  <c r="BK496" i="40"/>
  <c r="BK497" i="40"/>
  <c r="BK498" i="40"/>
  <c r="BK499" i="40"/>
  <c r="BK500" i="40"/>
  <c r="BK501" i="40"/>
  <c r="BK502" i="40"/>
  <c r="BK503" i="40"/>
  <c r="BK504" i="40"/>
  <c r="BK505" i="40"/>
  <c r="BK506" i="40"/>
  <c r="BK507" i="40"/>
  <c r="BK508" i="40"/>
  <c r="BK509" i="40"/>
  <c r="BK510" i="40"/>
  <c r="BK511" i="40"/>
  <c r="BK512" i="40"/>
  <c r="BK513" i="40"/>
  <c r="BK514" i="40"/>
  <c r="BK515" i="40"/>
  <c r="BK516" i="40"/>
  <c r="BK517" i="40"/>
  <c r="BK518" i="40"/>
  <c r="BK519" i="40"/>
  <c r="BK520" i="40"/>
  <c r="BK521" i="40"/>
  <c r="BK522" i="40"/>
  <c r="BK523" i="40"/>
  <c r="BK524" i="40"/>
  <c r="BK525" i="40"/>
  <c r="BK526" i="40"/>
  <c r="BK527" i="40"/>
  <c r="BK528" i="40"/>
  <c r="BK529" i="40"/>
  <c r="BK530" i="40"/>
  <c r="BK531" i="40"/>
  <c r="BK532" i="40"/>
  <c r="BK533" i="40"/>
  <c r="BK534" i="40"/>
  <c r="BK535" i="40"/>
  <c r="BK536" i="40"/>
  <c r="BK537" i="40"/>
  <c r="BK538" i="40"/>
  <c r="BK539" i="40"/>
  <c r="BK540" i="40"/>
  <c r="BK541" i="40"/>
  <c r="BK542" i="40"/>
  <c r="BK543" i="40"/>
  <c r="BK544" i="40"/>
  <c r="BK545" i="40"/>
  <c r="BK546" i="40"/>
  <c r="BK547" i="40"/>
  <c r="BK548" i="40"/>
  <c r="BK549" i="40"/>
  <c r="BK550" i="40"/>
  <c r="BK551" i="40"/>
  <c r="BK552" i="40"/>
  <c r="BK553" i="40"/>
  <c r="BK554" i="40"/>
  <c r="BK555" i="40"/>
  <c r="BK556" i="40"/>
  <c r="BK557" i="40"/>
  <c r="BK558" i="40"/>
  <c r="BK559" i="40"/>
  <c r="BK560" i="40"/>
  <c r="BK561" i="40"/>
  <c r="BK562" i="40"/>
  <c r="BK563" i="40"/>
  <c r="BK564" i="40"/>
  <c r="BK565" i="40"/>
  <c r="BK566" i="40"/>
  <c r="BK567" i="40"/>
  <c r="BK568" i="40"/>
  <c r="BK569" i="40"/>
  <c r="BK570" i="40"/>
  <c r="BK571" i="40"/>
  <c r="BK572" i="40"/>
  <c r="BK573" i="40"/>
  <c r="BK574" i="40"/>
  <c r="BK575" i="40"/>
  <c r="BK576" i="40"/>
  <c r="BK577" i="40"/>
  <c r="BK578" i="40"/>
  <c r="BK579" i="40"/>
  <c r="BK580" i="40"/>
  <c r="BK581" i="40"/>
  <c r="BK582" i="40"/>
  <c r="BK583" i="40"/>
  <c r="BK584" i="40"/>
  <c r="BK585" i="40"/>
  <c r="BK586" i="40"/>
  <c r="BK587" i="40"/>
  <c r="BK588" i="40"/>
  <c r="BK589" i="40"/>
  <c r="BK590" i="40"/>
  <c r="BK591" i="40"/>
  <c r="BK592" i="40"/>
  <c r="BK593" i="40"/>
  <c r="BK594" i="40"/>
  <c r="BK595" i="40"/>
  <c r="BK596" i="40"/>
  <c r="BK597" i="40"/>
  <c r="BK598" i="40"/>
  <c r="BK599" i="40"/>
  <c r="BK600" i="40"/>
  <c r="BK601" i="40"/>
  <c r="BK602" i="40"/>
  <c r="BK603" i="40"/>
  <c r="BK604" i="40"/>
  <c r="BK605" i="40"/>
  <c r="BK606" i="40"/>
  <c r="BK607" i="40"/>
  <c r="BK608" i="40"/>
  <c r="BK609" i="40"/>
  <c r="BK610" i="40"/>
  <c r="BK611" i="40"/>
  <c r="BK612" i="40"/>
  <c r="BK613" i="40"/>
  <c r="BK614" i="40"/>
  <c r="BK615" i="40"/>
  <c r="BK616" i="40"/>
  <c r="BK617" i="40"/>
  <c r="BK618" i="40"/>
  <c r="BK619" i="40"/>
  <c r="BK620" i="40"/>
  <c r="BK621" i="40"/>
  <c r="BK622" i="40"/>
  <c r="BK623" i="40"/>
  <c r="BK624" i="40"/>
  <c r="BK625" i="40"/>
  <c r="BK626" i="40"/>
  <c r="BK627" i="40"/>
  <c r="BK628" i="40"/>
  <c r="BK629" i="40"/>
  <c r="BK630" i="40"/>
  <c r="BK631" i="40"/>
  <c r="BK632" i="40"/>
  <c r="BK633" i="40"/>
  <c r="BK634" i="40"/>
  <c r="BK635" i="40"/>
  <c r="BK636" i="40"/>
  <c r="BK637" i="40"/>
  <c r="BK638" i="40"/>
  <c r="BK639" i="40"/>
  <c r="BK640" i="40"/>
  <c r="BK641" i="40"/>
  <c r="BK642" i="40"/>
  <c r="BK643" i="40"/>
  <c r="BK644" i="40"/>
  <c r="BK645" i="40"/>
  <c r="BK646" i="40"/>
  <c r="BK647" i="40"/>
  <c r="BK648" i="40"/>
  <c r="BK649" i="40"/>
  <c r="BK650" i="40"/>
  <c r="BK651" i="40"/>
  <c r="BK652" i="40"/>
  <c r="BK653" i="40"/>
  <c r="BK654" i="40"/>
  <c r="BK655" i="40"/>
  <c r="BK656" i="40"/>
  <c r="BK657" i="40"/>
  <c r="BK658" i="40"/>
  <c r="BK659" i="40"/>
  <c r="BK660" i="40"/>
  <c r="BK661" i="40"/>
  <c r="BK662" i="40"/>
  <c r="BK663" i="40"/>
  <c r="BK664" i="40"/>
  <c r="BK665" i="40"/>
  <c r="BK666" i="40"/>
  <c r="BK667" i="40"/>
  <c r="BK668" i="40"/>
  <c r="BK669" i="40"/>
  <c r="BK670" i="40"/>
  <c r="BK671" i="40"/>
  <c r="BK672" i="40"/>
  <c r="BK673" i="40"/>
  <c r="BK674" i="40"/>
  <c r="BK675" i="40"/>
  <c r="BK676" i="40"/>
  <c r="BK677" i="40"/>
  <c r="BK678" i="40"/>
  <c r="BK679" i="40"/>
  <c r="BK680" i="40"/>
  <c r="BK681" i="40"/>
  <c r="BK682" i="40"/>
  <c r="BK683" i="40"/>
  <c r="BK684" i="40"/>
  <c r="BK685" i="40"/>
  <c r="BK686" i="40"/>
  <c r="BK687" i="40"/>
  <c r="BK688" i="40"/>
  <c r="BK689" i="40"/>
  <c r="BK690" i="40"/>
  <c r="BK691" i="40"/>
  <c r="BK692" i="40"/>
  <c r="BK693" i="40"/>
  <c r="BK694" i="40"/>
  <c r="BK695" i="40"/>
  <c r="BK696" i="40"/>
  <c r="BK697" i="40"/>
  <c r="BK698" i="40"/>
  <c r="BK699" i="40"/>
  <c r="BK700" i="40"/>
  <c r="BK701" i="40"/>
  <c r="BK702" i="40"/>
  <c r="BK703" i="40"/>
  <c r="BK704" i="40"/>
  <c r="BK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P463" i="39" s="1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Q3" i="39"/>
  <c r="Q4" i="39"/>
  <c r="Q5" i="39"/>
  <c r="Q6" i="39"/>
  <c r="Q7" i="39"/>
  <c r="Q8" i="39"/>
  <c r="Q9" i="39"/>
  <c r="Q10" i="39"/>
  <c r="Q11" i="39"/>
  <c r="Q12" i="39"/>
  <c r="U12" i="39" s="1"/>
  <c r="Q13" i="39"/>
  <c r="U13" i="39" s="1"/>
  <c r="Q14" i="39"/>
  <c r="Q15" i="39"/>
  <c r="Q16" i="39"/>
  <c r="Q17" i="39"/>
  <c r="U17" i="39" s="1"/>
  <c r="Q18" i="39"/>
  <c r="Q19" i="39"/>
  <c r="Q20" i="39"/>
  <c r="Q21" i="39"/>
  <c r="Q22" i="39"/>
  <c r="Q23" i="39"/>
  <c r="Q24" i="39"/>
  <c r="Q25" i="39"/>
  <c r="Q26" i="39"/>
  <c r="U26" i="39" s="1"/>
  <c r="Q27" i="39"/>
  <c r="U27" i="39" s="1"/>
  <c r="Q28" i="39"/>
  <c r="Q29" i="39"/>
  <c r="Q30" i="39"/>
  <c r="Q31" i="39"/>
  <c r="Q32" i="39"/>
  <c r="Q33" i="39"/>
  <c r="Q34" i="39"/>
  <c r="Q35" i="39"/>
  <c r="Q36" i="39"/>
  <c r="Q37" i="39"/>
  <c r="Q38" i="39"/>
  <c r="Q39" i="39"/>
  <c r="Q40" i="39"/>
  <c r="U40" i="39" s="1"/>
  <c r="Q41" i="39"/>
  <c r="U41" i="39" s="1"/>
  <c r="Q42" i="39"/>
  <c r="Q43" i="39"/>
  <c r="Q44" i="39"/>
  <c r="Q45" i="39"/>
  <c r="U45" i="39" s="1"/>
  <c r="Q46" i="39"/>
  <c r="Q47" i="39"/>
  <c r="Q48" i="39"/>
  <c r="Q49" i="39"/>
  <c r="Q50" i="39"/>
  <c r="Q51" i="39"/>
  <c r="Q52" i="39"/>
  <c r="Q53" i="39"/>
  <c r="Q54" i="39"/>
  <c r="U54" i="39" s="1"/>
  <c r="Q55" i="39"/>
  <c r="U55" i="39" s="1"/>
  <c r="Q56" i="39"/>
  <c r="Q57" i="39"/>
  <c r="Q58" i="39"/>
  <c r="Q59" i="39"/>
  <c r="Q60" i="39"/>
  <c r="Q61" i="39"/>
  <c r="Q62" i="39"/>
  <c r="Q63" i="39"/>
  <c r="Q64" i="39"/>
  <c r="Q65" i="39"/>
  <c r="Q66" i="39"/>
  <c r="Q67" i="39"/>
  <c r="Q68" i="39"/>
  <c r="U68" i="39" s="1"/>
  <c r="Q69" i="39"/>
  <c r="U69" i="39" s="1"/>
  <c r="Q70" i="39"/>
  <c r="Q71" i="39"/>
  <c r="Q72" i="39"/>
  <c r="Q73" i="39"/>
  <c r="U73" i="39" s="1"/>
  <c r="Q74" i="39"/>
  <c r="Q75" i="39"/>
  <c r="Q76" i="39"/>
  <c r="Q77" i="39"/>
  <c r="Q78" i="39"/>
  <c r="Q79" i="39"/>
  <c r="Q80" i="39"/>
  <c r="Q81" i="39"/>
  <c r="Q82" i="39"/>
  <c r="U82" i="39" s="1"/>
  <c r="Q83" i="39"/>
  <c r="U83" i="39" s="1"/>
  <c r="Q84" i="39"/>
  <c r="Q85" i="39"/>
  <c r="Q86" i="39"/>
  <c r="Q87" i="39"/>
  <c r="Q88" i="39"/>
  <c r="Q89" i="39"/>
  <c r="Q90" i="39"/>
  <c r="Q91" i="39"/>
  <c r="Q92" i="39"/>
  <c r="Q93" i="39"/>
  <c r="Q94" i="39"/>
  <c r="Q95" i="39"/>
  <c r="Q96" i="39"/>
  <c r="U96" i="39" s="1"/>
  <c r="Q97" i="39"/>
  <c r="U97" i="39" s="1"/>
  <c r="Q98" i="39"/>
  <c r="Q99" i="39"/>
  <c r="Q100" i="39"/>
  <c r="Q101" i="39"/>
  <c r="U101" i="39" s="1"/>
  <c r="Q102" i="39"/>
  <c r="Q103" i="39"/>
  <c r="Q104" i="39"/>
  <c r="Q105" i="39"/>
  <c r="Q106" i="39"/>
  <c r="Q107" i="39"/>
  <c r="Q108" i="39"/>
  <c r="Q109" i="39"/>
  <c r="Q110" i="39"/>
  <c r="U110" i="39" s="1"/>
  <c r="Q111" i="39"/>
  <c r="U111" i="39" s="1"/>
  <c r="Q112" i="39"/>
  <c r="Q113" i="39"/>
  <c r="Q114" i="39"/>
  <c r="Q115" i="39"/>
  <c r="Q116" i="39"/>
  <c r="Q117" i="39"/>
  <c r="Q118" i="39"/>
  <c r="Q119" i="39"/>
  <c r="Q120" i="39"/>
  <c r="Q121" i="39"/>
  <c r="Q122" i="39"/>
  <c r="Q123" i="39"/>
  <c r="Q124" i="39"/>
  <c r="U124" i="39" s="1"/>
  <c r="Q125" i="39"/>
  <c r="U125" i="39" s="1"/>
  <c r="Q126" i="39"/>
  <c r="Q127" i="39"/>
  <c r="Q128" i="39"/>
  <c r="Q129" i="39"/>
  <c r="U129" i="39" s="1"/>
  <c r="Q130" i="39"/>
  <c r="Q131" i="39"/>
  <c r="Q132" i="39"/>
  <c r="Q133" i="39"/>
  <c r="Q134" i="39"/>
  <c r="Q135" i="39"/>
  <c r="Q136" i="39"/>
  <c r="Q137" i="39"/>
  <c r="Q138" i="39"/>
  <c r="U138" i="39" s="1"/>
  <c r="Q139" i="39"/>
  <c r="U139" i="39" s="1"/>
  <c r="Q140" i="39"/>
  <c r="Q141" i="39"/>
  <c r="Q142" i="39"/>
  <c r="Q143" i="39"/>
  <c r="Q144" i="39"/>
  <c r="Q145" i="39"/>
  <c r="Q146" i="39"/>
  <c r="Q147" i="39"/>
  <c r="Q148" i="39"/>
  <c r="Q149" i="39"/>
  <c r="Q150" i="39"/>
  <c r="Q151" i="39"/>
  <c r="Q152" i="39"/>
  <c r="U152" i="39" s="1"/>
  <c r="Q153" i="39"/>
  <c r="U153" i="39" s="1"/>
  <c r="Q154" i="39"/>
  <c r="Q155" i="39"/>
  <c r="Q156" i="39"/>
  <c r="Q157" i="39"/>
  <c r="U157" i="39" s="1"/>
  <c r="Q158" i="39"/>
  <c r="Q159" i="39"/>
  <c r="Q160" i="39"/>
  <c r="Q161" i="39"/>
  <c r="Q162" i="39"/>
  <c r="Q163" i="39"/>
  <c r="Q164" i="39"/>
  <c r="Q165" i="39"/>
  <c r="Q166" i="39"/>
  <c r="U166" i="39" s="1"/>
  <c r="Q167" i="39"/>
  <c r="U167" i="39" s="1"/>
  <c r="Q168" i="39"/>
  <c r="Q169" i="39"/>
  <c r="Q170" i="39"/>
  <c r="Q171" i="39"/>
  <c r="Q172" i="39"/>
  <c r="Q173" i="39"/>
  <c r="Q174" i="39"/>
  <c r="Q175" i="39"/>
  <c r="Q176" i="39"/>
  <c r="Q177" i="39"/>
  <c r="Q178" i="39"/>
  <c r="Q179" i="39"/>
  <c r="Q180" i="39"/>
  <c r="U180" i="39" s="1"/>
  <c r="Q181" i="39"/>
  <c r="U181" i="39" s="1"/>
  <c r="Q182" i="39"/>
  <c r="Q183" i="39"/>
  <c r="Q184" i="39"/>
  <c r="Q185" i="39"/>
  <c r="U185" i="39" s="1"/>
  <c r="Q186" i="39"/>
  <c r="Q187" i="39"/>
  <c r="Q188" i="39"/>
  <c r="Q189" i="39"/>
  <c r="Q190" i="39"/>
  <c r="Q191" i="39"/>
  <c r="Q192" i="39"/>
  <c r="Q193" i="39"/>
  <c r="Q194" i="39"/>
  <c r="U194" i="39" s="1"/>
  <c r="Q195" i="39"/>
  <c r="U195" i="39" s="1"/>
  <c r="Q196" i="39"/>
  <c r="Q197" i="39"/>
  <c r="Q198" i="39"/>
  <c r="Q199" i="39"/>
  <c r="Q200" i="39"/>
  <c r="Q201" i="39"/>
  <c r="Q202" i="39"/>
  <c r="Q203" i="39"/>
  <c r="Q204" i="39"/>
  <c r="Q205" i="39"/>
  <c r="Q206" i="39"/>
  <c r="Q207" i="39"/>
  <c r="Q208" i="39"/>
  <c r="U208" i="39" s="1"/>
  <c r="Q209" i="39"/>
  <c r="U209" i="39" s="1"/>
  <c r="Q210" i="39"/>
  <c r="Q211" i="39"/>
  <c r="Q212" i="39"/>
  <c r="Q213" i="39"/>
  <c r="U213" i="39" s="1"/>
  <c r="Q214" i="39"/>
  <c r="Q215" i="39"/>
  <c r="Q216" i="39"/>
  <c r="Q217" i="39"/>
  <c r="Q218" i="39"/>
  <c r="Q219" i="39"/>
  <c r="Q220" i="39"/>
  <c r="Q221" i="39"/>
  <c r="Q222" i="39"/>
  <c r="U222" i="39" s="1"/>
  <c r="Q223" i="39"/>
  <c r="U223" i="39" s="1"/>
  <c r="Q224" i="39"/>
  <c r="Q225" i="39"/>
  <c r="Q226" i="39"/>
  <c r="Q227" i="39"/>
  <c r="Q228" i="39"/>
  <c r="Q229" i="39"/>
  <c r="Q230" i="39"/>
  <c r="Q231" i="39"/>
  <c r="Q232" i="39"/>
  <c r="Q233" i="39"/>
  <c r="Q234" i="39"/>
  <c r="Q235" i="39"/>
  <c r="Q236" i="39"/>
  <c r="U236" i="39" s="1"/>
  <c r="Q237" i="39"/>
  <c r="U237" i="39" s="1"/>
  <c r="Q238" i="39"/>
  <c r="Q239" i="39"/>
  <c r="Q240" i="39"/>
  <c r="Q241" i="39"/>
  <c r="U241" i="39" s="1"/>
  <c r="Q242" i="39"/>
  <c r="Q243" i="39"/>
  <c r="Q244" i="39"/>
  <c r="Q245" i="39"/>
  <c r="Q246" i="39"/>
  <c r="Q247" i="39"/>
  <c r="Q248" i="39"/>
  <c r="Q249" i="39"/>
  <c r="Q250" i="39"/>
  <c r="U250" i="39" s="1"/>
  <c r="Q251" i="39"/>
  <c r="U251" i="39" s="1"/>
  <c r="Q252" i="39"/>
  <c r="Q253" i="39"/>
  <c r="Q254" i="39"/>
  <c r="Q255" i="39"/>
  <c r="Q256" i="39"/>
  <c r="Q257" i="39"/>
  <c r="Q258" i="39"/>
  <c r="Q259" i="39"/>
  <c r="Q260" i="39"/>
  <c r="Q261" i="39"/>
  <c r="Q262" i="39"/>
  <c r="Q263" i="39"/>
  <c r="Q264" i="39"/>
  <c r="U264" i="39" s="1"/>
  <c r="Q265" i="39"/>
  <c r="U265" i="39" s="1"/>
  <c r="Q266" i="39"/>
  <c r="Q267" i="39"/>
  <c r="Q268" i="39"/>
  <c r="Q269" i="39"/>
  <c r="U269" i="39" s="1"/>
  <c r="Q270" i="39"/>
  <c r="Q271" i="39"/>
  <c r="Q272" i="39"/>
  <c r="Q273" i="39"/>
  <c r="Q274" i="39"/>
  <c r="Q275" i="39"/>
  <c r="Q276" i="39"/>
  <c r="Q277" i="39"/>
  <c r="Q278" i="39"/>
  <c r="U278" i="39" s="1"/>
  <c r="Q279" i="39"/>
  <c r="U279" i="39" s="1"/>
  <c r="Q280" i="39"/>
  <c r="Q281" i="39"/>
  <c r="Q282" i="39"/>
  <c r="Q283" i="39"/>
  <c r="Q284" i="39"/>
  <c r="Q285" i="39"/>
  <c r="Q286" i="39"/>
  <c r="Q287" i="39"/>
  <c r="Q288" i="39"/>
  <c r="Q289" i="39"/>
  <c r="Q290" i="39"/>
  <c r="Q291" i="39"/>
  <c r="Q292" i="39"/>
  <c r="U292" i="39" s="1"/>
  <c r="Q293" i="39"/>
  <c r="U293" i="39" s="1"/>
  <c r="Q294" i="39"/>
  <c r="Q295" i="39"/>
  <c r="Q296" i="39"/>
  <c r="Q297" i="39"/>
  <c r="U297" i="39" s="1"/>
  <c r="Q298" i="39"/>
  <c r="Q299" i="39"/>
  <c r="Q300" i="39"/>
  <c r="Q301" i="39"/>
  <c r="Q302" i="39"/>
  <c r="Q303" i="39"/>
  <c r="Q304" i="39"/>
  <c r="Q305" i="39"/>
  <c r="Q306" i="39"/>
  <c r="U306" i="39" s="1"/>
  <c r="Q307" i="39"/>
  <c r="U307" i="39" s="1"/>
  <c r="Q308" i="39"/>
  <c r="Q309" i="39"/>
  <c r="Q310" i="39"/>
  <c r="Q311" i="39"/>
  <c r="Q312" i="39"/>
  <c r="Q313" i="39"/>
  <c r="Q314" i="39"/>
  <c r="Q315" i="39"/>
  <c r="Q316" i="39"/>
  <c r="Q317" i="39"/>
  <c r="Q318" i="39"/>
  <c r="Q319" i="39"/>
  <c r="Q320" i="39"/>
  <c r="U320" i="39" s="1"/>
  <c r="Q321" i="39"/>
  <c r="U321" i="39" s="1"/>
  <c r="Q322" i="39"/>
  <c r="Q323" i="39"/>
  <c r="Q324" i="39"/>
  <c r="Q325" i="39"/>
  <c r="U325" i="39" s="1"/>
  <c r="Q326" i="39"/>
  <c r="Q327" i="39"/>
  <c r="Q328" i="39"/>
  <c r="Q329" i="39"/>
  <c r="Q330" i="39"/>
  <c r="Q331" i="39"/>
  <c r="Q332" i="39"/>
  <c r="Q333" i="39"/>
  <c r="Q334" i="39"/>
  <c r="U334" i="39" s="1"/>
  <c r="Q335" i="39"/>
  <c r="U335" i="39" s="1"/>
  <c r="Q336" i="39"/>
  <c r="Q337" i="39"/>
  <c r="Q338" i="39"/>
  <c r="Q339" i="39"/>
  <c r="Q340" i="39"/>
  <c r="Q341" i="39"/>
  <c r="Q342" i="39"/>
  <c r="Q343" i="39"/>
  <c r="Q344" i="39"/>
  <c r="Q345" i="39"/>
  <c r="Q346" i="39"/>
  <c r="Q347" i="39"/>
  <c r="Q348" i="39"/>
  <c r="U348" i="39" s="1"/>
  <c r="Q349" i="39"/>
  <c r="U349" i="39" s="1"/>
  <c r="Q350" i="39"/>
  <c r="Q351" i="39"/>
  <c r="Q352" i="39"/>
  <c r="Q353" i="39"/>
  <c r="U353" i="39" s="1"/>
  <c r="Q354" i="39"/>
  <c r="Q355" i="39"/>
  <c r="Q356" i="39"/>
  <c r="Q357" i="39"/>
  <c r="Q358" i="39"/>
  <c r="Q359" i="39"/>
  <c r="Q360" i="39"/>
  <c r="Q361" i="39"/>
  <c r="Q362" i="39"/>
  <c r="U362" i="39" s="1"/>
  <c r="Q363" i="39"/>
  <c r="U363" i="39" s="1"/>
  <c r="Q364" i="39"/>
  <c r="Q365" i="39"/>
  <c r="Q366" i="39"/>
  <c r="Q367" i="39"/>
  <c r="Q368" i="39"/>
  <c r="Q369" i="39"/>
  <c r="Q370" i="39"/>
  <c r="Q371" i="39"/>
  <c r="Q372" i="39"/>
  <c r="Q373" i="39"/>
  <c r="Q374" i="39"/>
  <c r="Q375" i="39"/>
  <c r="Q376" i="39"/>
  <c r="U376" i="39" s="1"/>
  <c r="Q377" i="39"/>
  <c r="U377" i="39" s="1"/>
  <c r="Q378" i="39"/>
  <c r="Q379" i="39"/>
  <c r="Q380" i="39"/>
  <c r="Q381" i="39"/>
  <c r="U381" i="39" s="1"/>
  <c r="Q382" i="39"/>
  <c r="Q383" i="39"/>
  <c r="Q384" i="39"/>
  <c r="Q385" i="39"/>
  <c r="Q386" i="39"/>
  <c r="Q387" i="39"/>
  <c r="Q388" i="39"/>
  <c r="Q389" i="39"/>
  <c r="Q390" i="39"/>
  <c r="U390" i="39" s="1"/>
  <c r="Q391" i="39"/>
  <c r="U391" i="39" s="1"/>
  <c r="Q392" i="39"/>
  <c r="Q393" i="39"/>
  <c r="Q394" i="39"/>
  <c r="Q395" i="39"/>
  <c r="Q396" i="39"/>
  <c r="Q397" i="39"/>
  <c r="Q398" i="39"/>
  <c r="Q399" i="39"/>
  <c r="Q400" i="39"/>
  <c r="Q401" i="39"/>
  <c r="Q402" i="39"/>
  <c r="Q403" i="39"/>
  <c r="Q404" i="39"/>
  <c r="U404" i="39" s="1"/>
  <c r="Q405" i="39"/>
  <c r="U405" i="39" s="1"/>
  <c r="Q406" i="39"/>
  <c r="Q407" i="39"/>
  <c r="Q408" i="39"/>
  <c r="Q409" i="39"/>
  <c r="U409" i="39" s="1"/>
  <c r="Q410" i="39"/>
  <c r="Q411" i="39"/>
  <c r="Q412" i="39"/>
  <c r="Q413" i="39"/>
  <c r="Q414" i="39"/>
  <c r="Q415" i="39"/>
  <c r="Q416" i="39"/>
  <c r="Q417" i="39"/>
  <c r="Q418" i="39"/>
  <c r="U418" i="39" s="1"/>
  <c r="Q419" i="39"/>
  <c r="U419" i="39" s="1"/>
  <c r="Q420" i="39"/>
  <c r="Q421" i="39"/>
  <c r="Q422" i="39"/>
  <c r="Q423" i="39"/>
  <c r="Q424" i="39"/>
  <c r="Q425" i="39"/>
  <c r="Q426" i="39"/>
  <c r="Q427" i="39"/>
  <c r="Q428" i="39"/>
  <c r="Q429" i="39"/>
  <c r="Q430" i="39"/>
  <c r="Q431" i="39"/>
  <c r="Q432" i="39"/>
  <c r="U432" i="39" s="1"/>
  <c r="Q433" i="39"/>
  <c r="U433" i="39" s="1"/>
  <c r="Q434" i="39"/>
  <c r="Q435" i="39"/>
  <c r="Q436" i="39"/>
  <c r="Q437" i="39"/>
  <c r="U437" i="39" s="1"/>
  <c r="Q438" i="39"/>
  <c r="Q439" i="39"/>
  <c r="Q440" i="39"/>
  <c r="Q441" i="39"/>
  <c r="Q442" i="39"/>
  <c r="Q443" i="39"/>
  <c r="Q444" i="39"/>
  <c r="Q445" i="39"/>
  <c r="Q446" i="39"/>
  <c r="U446" i="39" s="1"/>
  <c r="Q447" i="39"/>
  <c r="U447" i="39" s="1"/>
  <c r="Q448" i="39"/>
  <c r="Q449" i="39"/>
  <c r="Q450" i="39"/>
  <c r="Q451" i="39"/>
  <c r="Q452" i="39"/>
  <c r="Q453" i="39"/>
  <c r="Q454" i="39"/>
  <c r="Q455" i="39"/>
  <c r="Q456" i="39"/>
  <c r="Q457" i="39"/>
  <c r="Q458" i="39"/>
  <c r="Q459" i="39"/>
  <c r="Q460" i="39"/>
  <c r="U460" i="39" s="1"/>
  <c r="Q461" i="39"/>
  <c r="U461" i="39" s="1"/>
  <c r="Q462" i="39"/>
  <c r="Q463" i="39"/>
  <c r="Q464" i="39"/>
  <c r="Q465" i="39"/>
  <c r="U465" i="39" s="1"/>
  <c r="Q466" i="39"/>
  <c r="Q467" i="39"/>
  <c r="Q468" i="39"/>
  <c r="Q469" i="39"/>
  <c r="Q470" i="39"/>
  <c r="Q471" i="39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S5" i="39"/>
  <c r="S6" i="39"/>
  <c r="U6" i="39" s="1"/>
  <c r="S7" i="39"/>
  <c r="S8" i="39"/>
  <c r="S9" i="39"/>
  <c r="S10" i="39"/>
  <c r="S11" i="39"/>
  <c r="U11" i="39" s="1"/>
  <c r="S12" i="39"/>
  <c r="S13" i="39"/>
  <c r="S14" i="39"/>
  <c r="U14" i="39" s="1"/>
  <c r="S15" i="39"/>
  <c r="U15" i="39" s="1"/>
  <c r="S16" i="39"/>
  <c r="S17" i="39"/>
  <c r="S18" i="39"/>
  <c r="S19" i="39"/>
  <c r="S20" i="39"/>
  <c r="U20" i="39" s="1"/>
  <c r="S21" i="39"/>
  <c r="S22" i="39"/>
  <c r="S23" i="39"/>
  <c r="S24" i="39"/>
  <c r="U24" i="39" s="1"/>
  <c r="S25" i="39"/>
  <c r="U25" i="39" s="1"/>
  <c r="S26" i="39"/>
  <c r="S27" i="39"/>
  <c r="S28" i="39"/>
  <c r="S29" i="39"/>
  <c r="S30" i="39"/>
  <c r="S31" i="39"/>
  <c r="S32" i="39"/>
  <c r="S33" i="39"/>
  <c r="S34" i="39"/>
  <c r="U34" i="39" s="1"/>
  <c r="S35" i="39"/>
  <c r="S36" i="39"/>
  <c r="S37" i="39"/>
  <c r="S38" i="39"/>
  <c r="S39" i="39"/>
  <c r="U39" i="39" s="1"/>
  <c r="S40" i="39"/>
  <c r="S41" i="39"/>
  <c r="S42" i="39"/>
  <c r="U42" i="39" s="1"/>
  <c r="S43" i="39"/>
  <c r="U43" i="39" s="1"/>
  <c r="S44" i="39"/>
  <c r="S45" i="39"/>
  <c r="S46" i="39"/>
  <c r="S47" i="39"/>
  <c r="S48" i="39"/>
  <c r="U48" i="39" s="1"/>
  <c r="S49" i="39"/>
  <c r="S50" i="39"/>
  <c r="S51" i="39"/>
  <c r="S52" i="39"/>
  <c r="S53" i="39"/>
  <c r="S54" i="39"/>
  <c r="S55" i="39"/>
  <c r="S56" i="39"/>
  <c r="U56" i="39" s="1"/>
  <c r="S57" i="39"/>
  <c r="U57" i="39" s="1"/>
  <c r="S58" i="39"/>
  <c r="S59" i="39"/>
  <c r="S60" i="39"/>
  <c r="S61" i="39"/>
  <c r="S62" i="39"/>
  <c r="U62" i="39" s="1"/>
  <c r="S63" i="39"/>
  <c r="S64" i="39"/>
  <c r="S65" i="39"/>
  <c r="S66" i="39"/>
  <c r="S67" i="39"/>
  <c r="U67" i="39" s="1"/>
  <c r="S68" i="39"/>
  <c r="S69" i="39"/>
  <c r="S70" i="39"/>
  <c r="U70" i="39" s="1"/>
  <c r="S71" i="39"/>
  <c r="U71" i="39" s="1"/>
  <c r="S72" i="39"/>
  <c r="S73" i="39"/>
  <c r="S74" i="39"/>
  <c r="S75" i="39"/>
  <c r="S76" i="39"/>
  <c r="U76" i="39" s="1"/>
  <c r="S77" i="39"/>
  <c r="S78" i="39"/>
  <c r="S79" i="39"/>
  <c r="S80" i="39"/>
  <c r="S81" i="39"/>
  <c r="U81" i="39" s="1"/>
  <c r="S82" i="39"/>
  <c r="S83" i="39"/>
  <c r="S84" i="39"/>
  <c r="U84" i="39" s="1"/>
  <c r="S85" i="39"/>
  <c r="U85" i="39" s="1"/>
  <c r="S86" i="39"/>
  <c r="S87" i="39"/>
  <c r="S88" i="39"/>
  <c r="S89" i="39"/>
  <c r="S90" i="39"/>
  <c r="U90" i="39" s="1"/>
  <c r="S91" i="39"/>
  <c r="S92" i="39"/>
  <c r="S93" i="39"/>
  <c r="S94" i="39"/>
  <c r="S95" i="39"/>
  <c r="S96" i="39"/>
  <c r="S97" i="39"/>
  <c r="S98" i="39"/>
  <c r="U98" i="39" s="1"/>
  <c r="S99" i="39"/>
  <c r="U99" i="39" s="1"/>
  <c r="S100" i="39"/>
  <c r="S101" i="39"/>
  <c r="S102" i="39"/>
  <c r="S103" i="39"/>
  <c r="S104" i="39"/>
  <c r="U104" i="39" s="1"/>
  <c r="S105" i="39"/>
  <c r="S106" i="39"/>
  <c r="S107" i="39"/>
  <c r="S108" i="39"/>
  <c r="S109" i="39"/>
  <c r="U109" i="39" s="1"/>
  <c r="S110" i="39"/>
  <c r="S111" i="39"/>
  <c r="S112" i="39"/>
  <c r="U112" i="39" s="1"/>
  <c r="S113" i="39"/>
  <c r="U113" i="39" s="1"/>
  <c r="S114" i="39"/>
  <c r="S115" i="39"/>
  <c r="S116" i="39"/>
  <c r="S117" i="39"/>
  <c r="S118" i="39"/>
  <c r="U118" i="39" s="1"/>
  <c r="S119" i="39"/>
  <c r="S120" i="39"/>
  <c r="S121" i="39"/>
  <c r="S122" i="39"/>
  <c r="U122" i="39" s="1"/>
  <c r="S123" i="39"/>
  <c r="U123" i="39" s="1"/>
  <c r="S124" i="39"/>
  <c r="S125" i="39"/>
  <c r="S126" i="39"/>
  <c r="S127" i="39"/>
  <c r="S128" i="39"/>
  <c r="S129" i="39"/>
  <c r="S130" i="39"/>
  <c r="S131" i="39"/>
  <c r="S132" i="39"/>
  <c r="U132" i="39" s="1"/>
  <c r="S133" i="39"/>
  <c r="S134" i="39"/>
  <c r="S135" i="39"/>
  <c r="S136" i="39"/>
  <c r="S137" i="39"/>
  <c r="U137" i="39" s="1"/>
  <c r="S138" i="39"/>
  <c r="S139" i="39"/>
  <c r="S140" i="39"/>
  <c r="U140" i="39" s="1"/>
  <c r="S141" i="39"/>
  <c r="U141" i="39" s="1"/>
  <c r="S142" i="39"/>
  <c r="S143" i="39"/>
  <c r="S144" i="39"/>
  <c r="S145" i="39"/>
  <c r="S146" i="39"/>
  <c r="U146" i="39" s="1"/>
  <c r="S147" i="39"/>
  <c r="S148" i="39"/>
  <c r="S149" i="39"/>
  <c r="S150" i="39"/>
  <c r="S151" i="39"/>
  <c r="S152" i="39"/>
  <c r="S153" i="39"/>
  <c r="S154" i="39"/>
  <c r="U154" i="39" s="1"/>
  <c r="S155" i="39"/>
  <c r="U155" i="39" s="1"/>
  <c r="S156" i="39"/>
  <c r="S157" i="39"/>
  <c r="S158" i="39"/>
  <c r="S159" i="39"/>
  <c r="S160" i="39"/>
  <c r="U160" i="39" s="1"/>
  <c r="S161" i="39"/>
  <c r="S162" i="39"/>
  <c r="S163" i="39"/>
  <c r="S164" i="39"/>
  <c r="S165" i="39"/>
  <c r="U165" i="39" s="1"/>
  <c r="S166" i="39"/>
  <c r="S167" i="39"/>
  <c r="S168" i="39"/>
  <c r="U168" i="39" s="1"/>
  <c r="S169" i="39"/>
  <c r="U169" i="39" s="1"/>
  <c r="S170" i="39"/>
  <c r="S171" i="39"/>
  <c r="S172" i="39"/>
  <c r="S173" i="39"/>
  <c r="S174" i="39"/>
  <c r="U174" i="39" s="1"/>
  <c r="S175" i="39"/>
  <c r="S176" i="39"/>
  <c r="S177" i="39"/>
  <c r="S178" i="39"/>
  <c r="S179" i="39"/>
  <c r="U179" i="39" s="1"/>
  <c r="S180" i="39"/>
  <c r="S181" i="39"/>
  <c r="S182" i="39"/>
  <c r="U182" i="39" s="1"/>
  <c r="S183" i="39"/>
  <c r="U183" i="39" s="1"/>
  <c r="S184" i="39"/>
  <c r="S185" i="39"/>
  <c r="S186" i="39"/>
  <c r="S187" i="39"/>
  <c r="S188" i="39"/>
  <c r="U188" i="39" s="1"/>
  <c r="S189" i="39"/>
  <c r="S190" i="39"/>
  <c r="S191" i="39"/>
  <c r="S192" i="39"/>
  <c r="S193" i="39"/>
  <c r="S194" i="39"/>
  <c r="S195" i="39"/>
  <c r="S196" i="39"/>
  <c r="U196" i="39" s="1"/>
  <c r="S197" i="39"/>
  <c r="U197" i="39" s="1"/>
  <c r="S198" i="39"/>
  <c r="S199" i="39"/>
  <c r="S200" i="39"/>
  <c r="S201" i="39"/>
  <c r="S202" i="39"/>
  <c r="U202" i="39" s="1"/>
  <c r="S203" i="39"/>
  <c r="S204" i="39"/>
  <c r="S205" i="39"/>
  <c r="S206" i="39"/>
  <c r="S207" i="39"/>
  <c r="U207" i="39" s="1"/>
  <c r="S208" i="39"/>
  <c r="S209" i="39"/>
  <c r="S210" i="39"/>
  <c r="U210" i="39" s="1"/>
  <c r="S211" i="39"/>
  <c r="U211" i="39" s="1"/>
  <c r="S212" i="39"/>
  <c r="S213" i="39"/>
  <c r="S214" i="39"/>
  <c r="S215" i="39"/>
  <c r="S216" i="39"/>
  <c r="U216" i="39" s="1"/>
  <c r="S217" i="39"/>
  <c r="S218" i="39"/>
  <c r="S219" i="39"/>
  <c r="S220" i="39"/>
  <c r="U220" i="39" s="1"/>
  <c r="S221" i="39"/>
  <c r="U221" i="39" s="1"/>
  <c r="S222" i="39"/>
  <c r="S223" i="39"/>
  <c r="S224" i="39"/>
  <c r="S225" i="39"/>
  <c r="S226" i="39"/>
  <c r="S227" i="39"/>
  <c r="S228" i="39"/>
  <c r="S229" i="39"/>
  <c r="S230" i="39"/>
  <c r="U230" i="39" s="1"/>
  <c r="S231" i="39"/>
  <c r="S232" i="39"/>
  <c r="S233" i="39"/>
  <c r="S234" i="39"/>
  <c r="S235" i="39"/>
  <c r="U235" i="39" s="1"/>
  <c r="S236" i="39"/>
  <c r="S237" i="39"/>
  <c r="S238" i="39"/>
  <c r="U238" i="39" s="1"/>
  <c r="S239" i="39"/>
  <c r="U239" i="39" s="1"/>
  <c r="S240" i="39"/>
  <c r="S241" i="39"/>
  <c r="S242" i="39"/>
  <c r="S243" i="39"/>
  <c r="S244" i="39"/>
  <c r="U244" i="39" s="1"/>
  <c r="S245" i="39"/>
  <c r="S246" i="39"/>
  <c r="S247" i="39"/>
  <c r="S248" i="39"/>
  <c r="S249" i="39"/>
  <c r="S250" i="39"/>
  <c r="S251" i="39"/>
  <c r="S252" i="39"/>
  <c r="U252" i="39" s="1"/>
  <c r="S253" i="39"/>
  <c r="U253" i="39" s="1"/>
  <c r="S254" i="39"/>
  <c r="S255" i="39"/>
  <c r="S256" i="39"/>
  <c r="S257" i="39"/>
  <c r="S258" i="39"/>
  <c r="U258" i="39" s="1"/>
  <c r="S259" i="39"/>
  <c r="S260" i="39"/>
  <c r="S261" i="39"/>
  <c r="S262" i="39"/>
  <c r="S263" i="39"/>
  <c r="U263" i="39" s="1"/>
  <c r="S264" i="39"/>
  <c r="S265" i="39"/>
  <c r="S266" i="39"/>
  <c r="U266" i="39" s="1"/>
  <c r="S267" i="39"/>
  <c r="U267" i="39" s="1"/>
  <c r="S268" i="39"/>
  <c r="S269" i="39"/>
  <c r="S270" i="39"/>
  <c r="S271" i="39"/>
  <c r="S272" i="39"/>
  <c r="U272" i="39" s="1"/>
  <c r="S273" i="39"/>
  <c r="S274" i="39"/>
  <c r="S275" i="39"/>
  <c r="S276" i="39"/>
  <c r="S277" i="39"/>
  <c r="U277" i="39" s="1"/>
  <c r="S278" i="39"/>
  <c r="S279" i="39"/>
  <c r="S280" i="39"/>
  <c r="U280" i="39" s="1"/>
  <c r="S281" i="39"/>
  <c r="U281" i="39" s="1"/>
  <c r="S282" i="39"/>
  <c r="S283" i="39"/>
  <c r="S284" i="39"/>
  <c r="S285" i="39"/>
  <c r="S286" i="39"/>
  <c r="U286" i="39" s="1"/>
  <c r="S287" i="39"/>
  <c r="S288" i="39"/>
  <c r="S289" i="39"/>
  <c r="S290" i="39"/>
  <c r="S291" i="39"/>
  <c r="S292" i="39"/>
  <c r="S293" i="39"/>
  <c r="S294" i="39"/>
  <c r="U294" i="39" s="1"/>
  <c r="S295" i="39"/>
  <c r="U295" i="39" s="1"/>
  <c r="S296" i="39"/>
  <c r="S297" i="39"/>
  <c r="S298" i="39"/>
  <c r="S299" i="39"/>
  <c r="S300" i="39"/>
  <c r="U300" i="39" s="1"/>
  <c r="S301" i="39"/>
  <c r="S302" i="39"/>
  <c r="S303" i="39"/>
  <c r="S304" i="39"/>
  <c r="S305" i="39"/>
  <c r="U305" i="39" s="1"/>
  <c r="S306" i="39"/>
  <c r="S307" i="39"/>
  <c r="S308" i="39"/>
  <c r="U308" i="39" s="1"/>
  <c r="S309" i="39"/>
  <c r="U309" i="39" s="1"/>
  <c r="S310" i="39"/>
  <c r="S311" i="39"/>
  <c r="S312" i="39"/>
  <c r="S313" i="39"/>
  <c r="S314" i="39"/>
  <c r="U314" i="39" s="1"/>
  <c r="S315" i="39"/>
  <c r="S316" i="39"/>
  <c r="S317" i="39"/>
  <c r="S318" i="39"/>
  <c r="U318" i="39" s="1"/>
  <c r="S319" i="39"/>
  <c r="U319" i="39" s="1"/>
  <c r="S320" i="39"/>
  <c r="S321" i="39"/>
  <c r="S322" i="39"/>
  <c r="S323" i="39"/>
  <c r="S324" i="39"/>
  <c r="S325" i="39"/>
  <c r="S326" i="39"/>
  <c r="S327" i="39"/>
  <c r="S328" i="39"/>
  <c r="U328" i="39" s="1"/>
  <c r="S329" i="39"/>
  <c r="S330" i="39"/>
  <c r="S331" i="39"/>
  <c r="S332" i="39"/>
  <c r="S333" i="39"/>
  <c r="U333" i="39" s="1"/>
  <c r="S334" i="39"/>
  <c r="S335" i="39"/>
  <c r="S336" i="39"/>
  <c r="U336" i="39" s="1"/>
  <c r="S337" i="39"/>
  <c r="U337" i="39" s="1"/>
  <c r="S338" i="39"/>
  <c r="S339" i="39"/>
  <c r="S340" i="39"/>
  <c r="S341" i="39"/>
  <c r="S342" i="39"/>
  <c r="U342" i="39" s="1"/>
  <c r="S343" i="39"/>
  <c r="S344" i="39"/>
  <c r="S345" i="39"/>
  <c r="S346" i="39"/>
  <c r="S347" i="39"/>
  <c r="S348" i="39"/>
  <c r="S349" i="39"/>
  <c r="S350" i="39"/>
  <c r="U350" i="39" s="1"/>
  <c r="S351" i="39"/>
  <c r="U351" i="39" s="1"/>
  <c r="S352" i="39"/>
  <c r="S353" i="39"/>
  <c r="S354" i="39"/>
  <c r="S355" i="39"/>
  <c r="S356" i="39"/>
  <c r="U356" i="39" s="1"/>
  <c r="S357" i="39"/>
  <c r="S358" i="39"/>
  <c r="S359" i="39"/>
  <c r="S360" i="39"/>
  <c r="S361" i="39"/>
  <c r="U361" i="39" s="1"/>
  <c r="S362" i="39"/>
  <c r="S363" i="39"/>
  <c r="S364" i="39"/>
  <c r="U364" i="39" s="1"/>
  <c r="S365" i="39"/>
  <c r="U365" i="39" s="1"/>
  <c r="S366" i="39"/>
  <c r="S367" i="39"/>
  <c r="S368" i="39"/>
  <c r="S369" i="39"/>
  <c r="S370" i="39"/>
  <c r="U370" i="39" s="1"/>
  <c r="S371" i="39"/>
  <c r="S372" i="39"/>
  <c r="S373" i="39"/>
  <c r="S374" i="39"/>
  <c r="S375" i="39"/>
  <c r="U375" i="39" s="1"/>
  <c r="S376" i="39"/>
  <c r="S377" i="39"/>
  <c r="S378" i="39"/>
  <c r="U378" i="39" s="1"/>
  <c r="S379" i="39"/>
  <c r="U379" i="39" s="1"/>
  <c r="S380" i="39"/>
  <c r="S381" i="39"/>
  <c r="S382" i="39"/>
  <c r="S383" i="39"/>
  <c r="S384" i="39"/>
  <c r="U384" i="39" s="1"/>
  <c r="S385" i="39"/>
  <c r="S386" i="39"/>
  <c r="S387" i="39"/>
  <c r="S388" i="39"/>
  <c r="S389" i="39"/>
  <c r="S390" i="39"/>
  <c r="S391" i="39"/>
  <c r="S392" i="39"/>
  <c r="U392" i="39" s="1"/>
  <c r="S393" i="39"/>
  <c r="U393" i="39" s="1"/>
  <c r="S394" i="39"/>
  <c r="S395" i="39"/>
  <c r="S396" i="39"/>
  <c r="S397" i="39"/>
  <c r="S398" i="39"/>
  <c r="U398" i="39" s="1"/>
  <c r="S399" i="39"/>
  <c r="S400" i="39"/>
  <c r="S401" i="39"/>
  <c r="S402" i="39"/>
  <c r="S403" i="39"/>
  <c r="U403" i="39" s="1"/>
  <c r="S404" i="39"/>
  <c r="S405" i="39"/>
  <c r="S406" i="39"/>
  <c r="U406" i="39" s="1"/>
  <c r="S407" i="39"/>
  <c r="U407" i="39" s="1"/>
  <c r="S408" i="39"/>
  <c r="S409" i="39"/>
  <c r="S410" i="39"/>
  <c r="S411" i="39"/>
  <c r="S412" i="39"/>
  <c r="U412" i="39" s="1"/>
  <c r="S413" i="39"/>
  <c r="S414" i="39"/>
  <c r="S415" i="39"/>
  <c r="S416" i="39"/>
  <c r="U416" i="39" s="1"/>
  <c r="S417" i="39"/>
  <c r="U417" i="39" s="1"/>
  <c r="S418" i="39"/>
  <c r="S419" i="39"/>
  <c r="S420" i="39"/>
  <c r="S421" i="39"/>
  <c r="S422" i="39"/>
  <c r="S423" i="39"/>
  <c r="S424" i="39"/>
  <c r="S425" i="39"/>
  <c r="S426" i="39"/>
  <c r="U426" i="39" s="1"/>
  <c r="S427" i="39"/>
  <c r="S428" i="39"/>
  <c r="S429" i="39"/>
  <c r="S430" i="39"/>
  <c r="S431" i="39"/>
  <c r="U431" i="39" s="1"/>
  <c r="S432" i="39"/>
  <c r="S433" i="39"/>
  <c r="S434" i="39"/>
  <c r="U434" i="39" s="1"/>
  <c r="S435" i="39"/>
  <c r="U435" i="39" s="1"/>
  <c r="S436" i="39"/>
  <c r="S437" i="39"/>
  <c r="S438" i="39"/>
  <c r="S439" i="39"/>
  <c r="S440" i="39"/>
  <c r="U440" i="39" s="1"/>
  <c r="S441" i="39"/>
  <c r="S442" i="39"/>
  <c r="S443" i="39"/>
  <c r="S444" i="39"/>
  <c r="S445" i="39"/>
  <c r="S446" i="39"/>
  <c r="S447" i="39"/>
  <c r="S448" i="39"/>
  <c r="U448" i="39" s="1"/>
  <c r="S449" i="39"/>
  <c r="U449" i="39" s="1"/>
  <c r="S450" i="39"/>
  <c r="S451" i="39"/>
  <c r="S452" i="39"/>
  <c r="S453" i="39"/>
  <c r="S454" i="39"/>
  <c r="U454" i="39" s="1"/>
  <c r="S455" i="39"/>
  <c r="S456" i="39"/>
  <c r="S457" i="39"/>
  <c r="S458" i="39"/>
  <c r="S459" i="39"/>
  <c r="U459" i="39" s="1"/>
  <c r="S460" i="39"/>
  <c r="S461" i="39"/>
  <c r="S462" i="39"/>
  <c r="U462" i="39" s="1"/>
  <c r="S463" i="39"/>
  <c r="U463" i="39" s="1"/>
  <c r="S464" i="39"/>
  <c r="S465" i="39"/>
  <c r="S466" i="39"/>
  <c r="S467" i="39"/>
  <c r="S468" i="39"/>
  <c r="U468" i="39" s="1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5" i="39"/>
  <c r="U8" i="39"/>
  <c r="U10" i="39"/>
  <c r="U22" i="39"/>
  <c r="U28" i="39"/>
  <c r="U29" i="39"/>
  <c r="U33" i="39"/>
  <c r="U36" i="39"/>
  <c r="U38" i="39"/>
  <c r="U50" i="39"/>
  <c r="U52" i="39"/>
  <c r="U53" i="39"/>
  <c r="U61" i="39"/>
  <c r="U64" i="39"/>
  <c r="U66" i="39"/>
  <c r="U78" i="39"/>
  <c r="U80" i="39"/>
  <c r="U89" i="39"/>
  <c r="U92" i="39"/>
  <c r="U94" i="39"/>
  <c r="U95" i="39"/>
  <c r="U106" i="39"/>
  <c r="U108" i="39"/>
  <c r="U117" i="39"/>
  <c r="U120" i="39"/>
  <c r="U126" i="39"/>
  <c r="U127" i="39"/>
  <c r="U134" i="39"/>
  <c r="U136" i="39"/>
  <c r="U145" i="39"/>
  <c r="U148" i="39"/>
  <c r="U150" i="39"/>
  <c r="U151" i="39"/>
  <c r="U162" i="39"/>
  <c r="U164" i="39"/>
  <c r="U173" i="39"/>
  <c r="U176" i="39"/>
  <c r="U178" i="39"/>
  <c r="U190" i="39"/>
  <c r="U192" i="39"/>
  <c r="U193" i="39"/>
  <c r="U201" i="39"/>
  <c r="U204" i="39"/>
  <c r="U206" i="39"/>
  <c r="U218" i="39"/>
  <c r="U224" i="39"/>
  <c r="U225" i="39"/>
  <c r="U229" i="39"/>
  <c r="U232" i="39"/>
  <c r="U234" i="39"/>
  <c r="U246" i="39"/>
  <c r="U248" i="39"/>
  <c r="U249" i="39"/>
  <c r="U257" i="39"/>
  <c r="U260" i="39"/>
  <c r="U262" i="39"/>
  <c r="U274" i="39"/>
  <c r="U276" i="39"/>
  <c r="U285" i="39"/>
  <c r="U288" i="39"/>
  <c r="U290" i="39"/>
  <c r="U291" i="39"/>
  <c r="U302" i="39"/>
  <c r="U304" i="39"/>
  <c r="U313" i="39"/>
  <c r="U316" i="39"/>
  <c r="U322" i="39"/>
  <c r="U323" i="39"/>
  <c r="U330" i="39"/>
  <c r="U332" i="39"/>
  <c r="U341" i="39"/>
  <c r="U344" i="39"/>
  <c r="U346" i="39"/>
  <c r="U347" i="39"/>
  <c r="U358" i="39"/>
  <c r="U360" i="39"/>
  <c r="U369" i="39"/>
  <c r="U372" i="39"/>
  <c r="U374" i="39"/>
  <c r="U386" i="39"/>
  <c r="U388" i="39"/>
  <c r="U389" i="39"/>
  <c r="U397" i="39"/>
  <c r="U400" i="39"/>
  <c r="U402" i="39"/>
  <c r="U414" i="39"/>
  <c r="U420" i="39"/>
  <c r="U421" i="39"/>
  <c r="U425" i="39"/>
  <c r="U428" i="39"/>
  <c r="U430" i="39"/>
  <c r="U442" i="39"/>
  <c r="U444" i="39"/>
  <c r="U445" i="39"/>
  <c r="U453" i="39"/>
  <c r="U456" i="39"/>
  <c r="U458" i="39"/>
  <c r="U470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J40" i="44" s="1"/>
  <c r="J41" i="44" s="1"/>
  <c r="J42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A2369" i="20"/>
  <c r="AA2370" i="20"/>
  <c r="AA2371" i="20"/>
  <c r="AA2372" i="20"/>
  <c r="AA2373" i="20"/>
  <c r="AA2374" i="20"/>
  <c r="AA2375" i="20"/>
  <c r="AA2376" i="20"/>
  <c r="AA2377" i="20"/>
  <c r="AA2378" i="20"/>
  <c r="AA2379" i="20"/>
  <c r="AA2380" i="20"/>
  <c r="AA2381" i="20"/>
  <c r="AA2382" i="20"/>
  <c r="AA2383" i="20"/>
  <c r="AA2384" i="20"/>
  <c r="AA2385" i="20"/>
  <c r="AA2386" i="20"/>
  <c r="AA2387" i="20"/>
  <c r="AA2388" i="20"/>
  <c r="AA2389" i="20"/>
  <c r="AA2390" i="20"/>
  <c r="AA2391" i="20"/>
  <c r="AA2392" i="20"/>
  <c r="AA2393" i="20"/>
  <c r="AA2394" i="20"/>
  <c r="AA2395" i="20"/>
  <c r="AA2396" i="20"/>
  <c r="AA2397" i="20"/>
  <c r="AA2398" i="20"/>
  <c r="AA2399" i="20"/>
  <c r="AA2400" i="20"/>
  <c r="AA2401" i="20"/>
  <c r="AA2402" i="20"/>
  <c r="AA2403" i="20"/>
  <c r="AA2404" i="20"/>
  <c r="AA2405" i="20"/>
  <c r="AA2406" i="20"/>
  <c r="AA2407" i="20"/>
  <c r="AA2408" i="20"/>
  <c r="AA2409" i="20"/>
  <c r="AA2410" i="20"/>
  <c r="AA2411" i="20"/>
  <c r="AA2412" i="20"/>
  <c r="AA2413" i="20"/>
  <c r="AA2414" i="20"/>
  <c r="AA2415" i="20"/>
  <c r="AA2416" i="20"/>
  <c r="AA2417" i="20"/>
  <c r="AA2418" i="20"/>
  <c r="AA2419" i="20"/>
  <c r="AA2420" i="20"/>
  <c r="AA2421" i="20"/>
  <c r="AA2422" i="20"/>
  <c r="AA2423" i="20"/>
  <c r="AA2424" i="20"/>
  <c r="AA2425" i="20"/>
  <c r="AA2426" i="20"/>
  <c r="AA2427" i="20"/>
  <c r="AA2428" i="20"/>
  <c r="AA2429" i="20"/>
  <c r="AA2430" i="20"/>
  <c r="AA2431" i="20"/>
  <c r="AA2432" i="20"/>
  <c r="AA2433" i="20"/>
  <c r="AA2434" i="20"/>
  <c r="AA2435" i="20"/>
  <c r="AA2436" i="20"/>
  <c r="AA2437" i="20"/>
  <c r="AA2438" i="20"/>
  <c r="AA2439" i="20"/>
  <c r="AA2440" i="20"/>
  <c r="AA2441" i="20"/>
  <c r="AA2442" i="20"/>
  <c r="AA2443" i="20"/>
  <c r="AA2444" i="20"/>
  <c r="AA2445" i="20"/>
  <c r="AA2446" i="20"/>
  <c r="AA2447" i="20"/>
  <c r="AA2448" i="20"/>
  <c r="AA2449" i="20"/>
  <c r="AA2450" i="20"/>
  <c r="AA2451" i="20"/>
  <c r="AA2452" i="20"/>
  <c r="AA2453" i="20"/>
  <c r="AA2454" i="20"/>
  <c r="AA2455" i="20"/>
  <c r="AA2456" i="20"/>
  <c r="AA2457" i="20"/>
  <c r="AA2458" i="20"/>
  <c r="AA2459" i="20"/>
  <c r="AA2460" i="20"/>
  <c r="AA2461" i="20"/>
  <c r="AA2462" i="20"/>
  <c r="AA2463" i="20"/>
  <c r="AA2464" i="20"/>
  <c r="AA2465" i="20"/>
  <c r="AA2466" i="20"/>
  <c r="AA2467" i="20"/>
  <c r="AA2468" i="20"/>
  <c r="AA2469" i="20"/>
  <c r="AA2470" i="20"/>
  <c r="AA2471" i="20"/>
  <c r="AA2472" i="20"/>
  <c r="AA2473" i="20"/>
  <c r="AA2474" i="20"/>
  <c r="AA2475" i="20"/>
  <c r="AC603" i="20"/>
  <c r="AC626" i="20"/>
  <c r="AC640" i="20"/>
  <c r="AC644" i="20"/>
  <c r="AC777" i="20"/>
  <c r="AC778" i="20"/>
  <c r="AC858" i="20"/>
  <c r="AC883" i="20"/>
  <c r="AC963" i="20"/>
  <c r="AC971" i="20"/>
  <c r="AC972" i="20"/>
  <c r="AC1025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146" i="20"/>
  <c r="AC1159" i="20"/>
  <c r="AC1190" i="20"/>
  <c r="AC1226" i="20"/>
  <c r="AC1239" i="20"/>
  <c r="AC1262" i="20"/>
  <c r="AC1263" i="20"/>
  <c r="AC1305" i="20"/>
  <c r="AC1306" i="20"/>
  <c r="AC1418" i="20"/>
  <c r="AC1419" i="20"/>
  <c r="AC1422" i="20"/>
  <c r="AC1461" i="20"/>
  <c r="AC1462" i="20"/>
  <c r="AC1516" i="20"/>
  <c r="AC1517" i="20"/>
  <c r="AC1578" i="20"/>
  <c r="AC1615" i="20"/>
  <c r="AC1672" i="20"/>
  <c r="AC1673" i="20"/>
  <c r="AC1696" i="20"/>
  <c r="AC1697" i="20"/>
  <c r="AC1698" i="20"/>
  <c r="AC1717" i="20"/>
  <c r="AC1718" i="20"/>
  <c r="AC1740" i="20"/>
  <c r="AC1895" i="20"/>
  <c r="AC1923" i="20"/>
  <c r="AC1924" i="20"/>
  <c r="AC1956" i="20"/>
  <c r="AC1957" i="20"/>
  <c r="AC1959" i="20"/>
  <c r="AC1960" i="20"/>
  <c r="AC1963" i="20"/>
  <c r="AC1965" i="20"/>
  <c r="AC1966" i="20"/>
  <c r="AC1974" i="20"/>
  <c r="AC1975" i="20"/>
  <c r="AC2092" i="20"/>
  <c r="AC2135" i="20"/>
  <c r="AC2163" i="20"/>
  <c r="AC2170" i="20"/>
  <c r="AC2178" i="20"/>
  <c r="AC2224" i="20"/>
  <c r="AC2255" i="20"/>
  <c r="AC2286" i="20"/>
  <c r="AC2338" i="20"/>
  <c r="AC2371" i="20"/>
  <c r="AC2395" i="20"/>
  <c r="AC2396" i="20"/>
  <c r="AC2397" i="20"/>
  <c r="AC2406" i="20"/>
  <c r="AC2407" i="20"/>
  <c r="AC2418" i="20"/>
  <c r="AC2420" i="20"/>
  <c r="AC2421" i="20"/>
  <c r="AC2449" i="20"/>
  <c r="AC2461" i="20"/>
  <c r="AC2462" i="20"/>
  <c r="AC2463" i="20"/>
  <c r="AC2464" i="20"/>
  <c r="AC2465" i="20"/>
  <c r="AC2466" i="20"/>
  <c r="AC2467" i="20"/>
  <c r="AC2468" i="20"/>
  <c r="AC2469" i="20"/>
  <c r="AC2470" i="20"/>
  <c r="AC2471" i="20"/>
  <c r="AC2472" i="20"/>
  <c r="AC2473" i="20"/>
  <c r="AC2474" i="20"/>
  <c r="AC2475" i="20"/>
  <c r="AD2" i="20"/>
  <c r="AB2" i="20" s="1"/>
  <c r="AD3" i="20"/>
  <c r="AB3" i="20" s="1"/>
  <c r="AD4" i="20"/>
  <c r="AB4" i="20" s="1"/>
  <c r="AD5" i="20"/>
  <c r="AB5" i="20" s="1"/>
  <c r="AD6" i="20"/>
  <c r="AB6" i="20" s="1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B75" i="20" s="1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B109" i="20" s="1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B127" i="20" s="1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B197" i="20" s="1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B209" i="20" s="1"/>
  <c r="AD210" i="20"/>
  <c r="AB210" i="20" s="1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B263" i="20" s="1"/>
  <c r="AD264" i="20"/>
  <c r="AB264" i="20" s="1"/>
  <c r="AD265" i="20"/>
  <c r="AB265" i="20" s="1"/>
  <c r="AD266" i="20"/>
  <c r="AB266" i="20" s="1"/>
  <c r="AD267" i="20"/>
  <c r="AB267" i="20" s="1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B284" i="20" s="1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B305" i="20" s="1"/>
  <c r="AD306" i="20"/>
  <c r="AB306" i="20" s="1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B324" i="20" s="1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B331" i="20" s="1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B337" i="20" s="1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B366" i="20" s="1"/>
  <c r="AD367" i="20"/>
  <c r="AB367" i="20" s="1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B375" i="20" s="1"/>
  <c r="AD376" i="20"/>
  <c r="AB376" i="20" s="1"/>
  <c r="AD377" i="20"/>
  <c r="AB377" i="20" s="1"/>
  <c r="AD378" i="20"/>
  <c r="AB378" i="20" s="1"/>
  <c r="AD379" i="20"/>
  <c r="AB379" i="20" s="1"/>
  <c r="AD380" i="20"/>
  <c r="AB380" i="20" s="1"/>
  <c r="AD381" i="20"/>
  <c r="AB381" i="20" s="1"/>
  <c r="AD382" i="20"/>
  <c r="AB382" i="20" s="1"/>
  <c r="AD383" i="20"/>
  <c r="AB383" i="20" s="1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B404" i="20" s="1"/>
  <c r="AD405" i="20"/>
  <c r="AB405" i="20" s="1"/>
  <c r="AD406" i="20"/>
  <c r="AB406" i="20" s="1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B422" i="20" s="1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B453" i="20" s="1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B465" i="20" s="1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B479" i="20" s="1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B515" i="20" s="1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B538" i="20" s="1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B574" i="20" s="1"/>
  <c r="AD575" i="20"/>
  <c r="AB575" i="20" s="1"/>
  <c r="AD576" i="20"/>
  <c r="AB576" i="20" s="1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B588" i="20" s="1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B597" i="20" s="1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B604" i="20" s="1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B630" i="20" s="1"/>
  <c r="AD631" i="20"/>
  <c r="AB631" i="20" s="1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B655" i="20" s="1"/>
  <c r="AD656" i="20"/>
  <c r="AB656" i="20" s="1"/>
  <c r="AD657" i="20"/>
  <c r="AB657" i="20" s="1"/>
  <c r="AD658" i="20"/>
  <c r="AB658" i="20" s="1"/>
  <c r="AD659" i="20"/>
  <c r="AB659" i="20" s="1"/>
  <c r="AD660" i="20"/>
  <c r="AB660" i="20" s="1"/>
  <c r="AD661" i="20"/>
  <c r="AB661" i="20" s="1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B693" i="20" s="1"/>
  <c r="AD694" i="20"/>
  <c r="AB694" i="20" s="1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B715" i="20" s="1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B730" i="20" s="1"/>
  <c r="AD731" i="20"/>
  <c r="AB731" i="20" s="1"/>
  <c r="AD732" i="20"/>
  <c r="AB732" i="20" s="1"/>
  <c r="AD733" i="20"/>
  <c r="AB733" i="20" s="1"/>
  <c r="AD734" i="20"/>
  <c r="AB734" i="20" s="1"/>
  <c r="AD735" i="20"/>
  <c r="AB735" i="20" s="1"/>
  <c r="AD736" i="20"/>
  <c r="AB736" i="20" s="1"/>
  <c r="AD737" i="20"/>
  <c r="AB737" i="20" s="1"/>
  <c r="AD738" i="20"/>
  <c r="AB738" i="20" s="1"/>
  <c r="AD739" i="20"/>
  <c r="AB739" i="20" s="1"/>
  <c r="AD740" i="20"/>
  <c r="AB740" i="20" s="1"/>
  <c r="AD741" i="20"/>
  <c r="AB741" i="20" s="1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B772" i="20" s="1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B784" i="20" s="1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B800" i="20" s="1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B825" i="20" s="1"/>
  <c r="AD826" i="20"/>
  <c r="AB826" i="20" s="1"/>
  <c r="AD827" i="20"/>
  <c r="AB827" i="20" s="1"/>
  <c r="AD828" i="20"/>
  <c r="AB828" i="20" s="1"/>
  <c r="AD829" i="20"/>
  <c r="AB829" i="20" s="1"/>
  <c r="AD830" i="20"/>
  <c r="AB830" i="20" s="1"/>
  <c r="AD831" i="20"/>
  <c r="AB831" i="20" s="1"/>
  <c r="AD832" i="20"/>
  <c r="AB832" i="20" s="1"/>
  <c r="AD833" i="20"/>
  <c r="AB833" i="20" s="1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B840" i="20" s="1"/>
  <c r="AD841" i="20"/>
  <c r="AB841" i="20" s="1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B847" i="20" s="1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B898" i="20" s="1"/>
  <c r="AD899" i="20"/>
  <c r="AB899" i="20" s="1"/>
  <c r="AD900" i="20"/>
  <c r="AB900" i="20" s="1"/>
  <c r="AD901" i="20"/>
  <c r="AB901" i="20" s="1"/>
  <c r="AD902" i="20"/>
  <c r="AB902" i="20" s="1"/>
  <c r="AD903" i="20"/>
  <c r="AB903" i="20" s="1"/>
  <c r="AD904" i="20"/>
  <c r="AB904" i="20" s="1"/>
  <c r="AD905" i="20"/>
  <c r="AB905" i="20" s="1"/>
  <c r="AD906" i="20"/>
  <c r="AB906" i="20" s="1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B922" i="20" s="1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B936" i="20" s="1"/>
  <c r="AD937" i="20"/>
  <c r="AB937" i="20" s="1"/>
  <c r="AD938" i="20"/>
  <c r="AB938" i="20" s="1"/>
  <c r="AD939" i="20"/>
  <c r="AB939" i="20" s="1"/>
  <c r="AD940" i="20"/>
  <c r="AB940" i="20" s="1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B983" i="20" s="1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B1007" i="20" s="1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B1026" i="20" s="1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B1047" i="20" s="1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B1054" i="20" s="1"/>
  <c r="AD1055" i="20"/>
  <c r="AB1055" i="20" s="1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B1065" i="20" s="1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B1075" i="20" s="1"/>
  <c r="AD1076" i="20"/>
  <c r="AB1076" i="20" s="1"/>
  <c r="AD1077" i="20"/>
  <c r="AB1077" i="20" s="1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B1101" i="20" s="1"/>
  <c r="AD1102" i="20"/>
  <c r="AB1102" i="20" s="1"/>
  <c r="AD1103" i="20"/>
  <c r="AB1103" i="20" s="1"/>
  <c r="AD1104" i="20"/>
  <c r="AB1104" i="20" s="1"/>
  <c r="AD1105" i="20"/>
  <c r="AB1105" i="20" s="1"/>
  <c r="AD1106" i="20"/>
  <c r="AB1106" i="20" s="1"/>
  <c r="AD1107" i="20"/>
  <c r="AB1107" i="20" s="1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B1120" i="20" s="1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B1133" i="20" s="1"/>
  <c r="AD1134" i="20"/>
  <c r="AB1134" i="20" s="1"/>
  <c r="AD1135" i="20"/>
  <c r="AB1135" i="20" s="1"/>
  <c r="AD1136" i="20"/>
  <c r="AB1136" i="20" s="1"/>
  <c r="AD1137" i="20"/>
  <c r="AB1137" i="20" s="1"/>
  <c r="AD1138" i="20"/>
  <c r="AB1138" i="20" s="1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B1175" i="20" s="1"/>
  <c r="AD1176" i="20"/>
  <c r="AB1176" i="20" s="1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B1190" i="20" s="1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B1216" i="20" s="1"/>
  <c r="AD1217" i="20"/>
  <c r="AB1217" i="20" s="1"/>
  <c r="AD1218" i="20"/>
  <c r="AB1218" i="20" s="1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B1225" i="20" s="1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B1237" i="20" s="1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B1243" i="20" s="1"/>
  <c r="AD1244" i="20"/>
  <c r="AB1244" i="20" s="1"/>
  <c r="AD1245" i="20"/>
  <c r="AB1245" i="20" s="1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B1258" i="20" s="1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B1264" i="20" s="1"/>
  <c r="AD1265" i="20"/>
  <c r="AB1265" i="20" s="1"/>
  <c r="AD1266" i="20"/>
  <c r="AB1266" i="20" s="1"/>
  <c r="AD1267" i="20"/>
  <c r="AB1267" i="20" s="1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B1287" i="20" s="1"/>
  <c r="AD1288" i="20"/>
  <c r="AB1288" i="20" s="1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B1301" i="20" s="1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B1329" i="20" s="1"/>
  <c r="AD1330" i="20"/>
  <c r="AB1330" i="20" s="1"/>
  <c r="AD1331" i="20"/>
  <c r="AB1331" i="20" s="1"/>
  <c r="AD1332" i="20"/>
  <c r="AB1332" i="20" s="1"/>
  <c r="AD1333" i="20"/>
  <c r="AB1333" i="20" s="1"/>
  <c r="AD1334" i="20"/>
  <c r="AB1334" i="20" s="1"/>
  <c r="AD1335" i="20"/>
  <c r="AB1335" i="20" s="1"/>
  <c r="AD1336" i="20"/>
  <c r="AB1336" i="20" s="1"/>
  <c r="AD1337" i="20"/>
  <c r="AB1337" i="20" s="1"/>
  <c r="AD1338" i="20"/>
  <c r="AB1338" i="20" s="1"/>
  <c r="AD1339" i="20"/>
  <c r="AB1339" i="20" s="1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B1345" i="20" s="1"/>
  <c r="AD1346" i="20"/>
  <c r="AB1346" i="20" s="1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B1369" i="20" s="1"/>
  <c r="AD1370" i="20"/>
  <c r="AB1370" i="20" s="1"/>
  <c r="AD1371" i="20"/>
  <c r="AB1371" i="20" s="1"/>
  <c r="AD1372" i="20"/>
  <c r="AB1372" i="20" s="1"/>
  <c r="AD1373" i="20"/>
  <c r="AB1373" i="20" s="1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B1383" i="20" s="1"/>
  <c r="AD1384" i="20"/>
  <c r="AB1384" i="20" s="1"/>
  <c r="AD1385" i="20"/>
  <c r="AB1385" i="20" s="1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B1398" i="20" s="1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B1412" i="20" s="1"/>
  <c r="AD1413" i="20"/>
  <c r="AB1413" i="20" s="1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B1428" i="20" s="1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B1435" i="20" s="1"/>
  <c r="AD1436" i="20"/>
  <c r="AB1436" i="20" s="1"/>
  <c r="AD1437" i="20"/>
  <c r="AB1437" i="20" s="1"/>
  <c r="AD1438" i="20"/>
  <c r="AB1438" i="20" s="1"/>
  <c r="AD1439" i="20"/>
  <c r="AB1439" i="20" s="1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B1451" i="20" s="1"/>
  <c r="AD1452" i="20"/>
  <c r="AB1452" i="20" s="1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B1459" i="20" s="1"/>
  <c r="AD1460" i="20"/>
  <c r="AB1460" i="20" s="1"/>
  <c r="AD1461" i="20"/>
  <c r="AB1461" i="20" s="1"/>
  <c r="AD1462" i="20"/>
  <c r="AB1462" i="20" s="1"/>
  <c r="AD1463" i="20"/>
  <c r="AB1463" i="20" s="1"/>
  <c r="AD1464" i="20"/>
  <c r="AB1464" i="20" s="1"/>
  <c r="AD1465" i="20"/>
  <c r="AB1465" i="20" s="1"/>
  <c r="AD1466" i="20"/>
  <c r="AB1466" i="20" s="1"/>
  <c r="AD1467" i="20"/>
  <c r="AB1467" i="20" s="1"/>
  <c r="AD1468" i="20"/>
  <c r="AB1468" i="20" s="1"/>
  <c r="AD1469" i="20"/>
  <c r="AB1469" i="20" s="1"/>
  <c r="AD1470" i="20"/>
  <c r="AB1470" i="20" s="1"/>
  <c r="AD1471" i="20"/>
  <c r="AB1471" i="20" s="1"/>
  <c r="AD1472" i="20"/>
  <c r="AB1472" i="20" s="1"/>
  <c r="AD1473" i="20"/>
  <c r="AB1473" i="20" s="1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B1499" i="20" s="1"/>
  <c r="AD1500" i="20"/>
  <c r="AB1500" i="20" s="1"/>
  <c r="AD1501" i="20"/>
  <c r="AB1501" i="20" s="1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B1512" i="20" s="1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B1528" i="20" s="1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B1552" i="20" s="1"/>
  <c r="AD1553" i="20"/>
  <c r="AB1553" i="20" s="1"/>
  <c r="AD1554" i="20"/>
  <c r="AB1554" i="20" s="1"/>
  <c r="AD1555" i="20"/>
  <c r="AB1555" i="20" s="1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B1562" i="20" s="1"/>
  <c r="AD1563" i="20"/>
  <c r="AB1563" i="20" s="1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B1576" i="20" s="1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B1582" i="20" s="1"/>
  <c r="AD1583" i="20"/>
  <c r="AB1583" i="20" s="1"/>
  <c r="AD1584" i="20"/>
  <c r="AB1584" i="20" s="1"/>
  <c r="AD1585" i="20"/>
  <c r="AB1585" i="20" s="1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B1595" i="20" s="1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B1601" i="20" s="1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B1612" i="20" s="1"/>
  <c r="AD1613" i="20"/>
  <c r="AB1613" i="20" s="1"/>
  <c r="AD1614" i="20"/>
  <c r="AB1614" i="20" s="1"/>
  <c r="AD1615" i="20"/>
  <c r="AB1615" i="20" s="1"/>
  <c r="AD1616" i="20"/>
  <c r="AB1616" i="20" s="1"/>
  <c r="AD1617" i="20"/>
  <c r="AB1617" i="20" s="1"/>
  <c r="AD1618" i="20"/>
  <c r="AB1618" i="20" s="1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B1624" i="20" s="1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B1649" i="20" s="1"/>
  <c r="AD1650" i="20"/>
  <c r="AB1650" i="20" s="1"/>
  <c r="AD1651" i="20"/>
  <c r="AB1651" i="20" s="1"/>
  <c r="AD1652" i="20"/>
  <c r="AB1652" i="20" s="1"/>
  <c r="AD1653" i="20"/>
  <c r="AB1653" i="20" s="1"/>
  <c r="AD1654" i="20"/>
  <c r="AB1654" i="20" s="1"/>
  <c r="AD1655" i="20"/>
  <c r="AB1655" i="20" s="1"/>
  <c r="AD1656" i="20"/>
  <c r="AB1656" i="20" s="1"/>
  <c r="AD1657" i="20"/>
  <c r="AB1657" i="20" s="1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B1670" i="20" s="1"/>
  <c r="AD1671" i="20"/>
  <c r="AB1671" i="20" s="1"/>
  <c r="AD1672" i="20"/>
  <c r="AB1672" i="20" s="1"/>
  <c r="AD1673" i="20"/>
  <c r="AB1673" i="20" s="1"/>
  <c r="AD1674" i="20"/>
  <c r="AB1674" i="20" s="1"/>
  <c r="AD1675" i="20"/>
  <c r="AB1675" i="20" s="1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B1682" i="20" s="1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B1692" i="20" s="1"/>
  <c r="AD1693" i="20"/>
  <c r="AB1693" i="20" s="1"/>
  <c r="AD1694" i="20"/>
  <c r="AB1694" i="20" s="1"/>
  <c r="AD1695" i="20"/>
  <c r="AB1695" i="20" s="1"/>
  <c r="AD1696" i="20"/>
  <c r="AB1696" i="20" s="1"/>
  <c r="AD1697" i="20"/>
  <c r="AB1697" i="20" s="1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B1705" i="20" s="1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B1732" i="20" s="1"/>
  <c r="AD1733" i="20"/>
  <c r="AB1733" i="20" s="1"/>
  <c r="AD1734" i="20"/>
  <c r="AB1734" i="20" s="1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B1741" i="20" s="1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B1749" i="20" s="1"/>
  <c r="AD1750" i="20"/>
  <c r="AB1750" i="20" s="1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B1759" i="20" s="1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B1773" i="20" s="1"/>
  <c r="AD1774" i="20"/>
  <c r="AB1774" i="20" s="1"/>
  <c r="AD1775" i="20"/>
  <c r="AB1775" i="20" s="1"/>
  <c r="AD1776" i="20"/>
  <c r="AB1776" i="20" s="1"/>
  <c r="AD1777" i="20"/>
  <c r="AB1777" i="20" s="1"/>
  <c r="AD1778" i="20"/>
  <c r="AB1778" i="20" s="1"/>
  <c r="AD1779" i="20"/>
  <c r="AB1779" i="20" s="1"/>
  <c r="AD1780" i="20"/>
  <c r="AB1780" i="20" s="1"/>
  <c r="AD1781" i="20"/>
  <c r="AB1781" i="20" s="1"/>
  <c r="AD1782" i="20"/>
  <c r="AB1782" i="20" s="1"/>
  <c r="AD1783" i="20"/>
  <c r="AB1783" i="20" s="1"/>
  <c r="AD1784" i="20"/>
  <c r="AB1784" i="20" s="1"/>
  <c r="AD1785" i="20"/>
  <c r="AB1785" i="20" s="1"/>
  <c r="AD1786" i="20"/>
  <c r="AB1786" i="20" s="1"/>
  <c r="AD1787" i="20"/>
  <c r="AB1787" i="20" s="1"/>
  <c r="AD1788" i="20"/>
  <c r="AB1788" i="20" s="1"/>
  <c r="AD1789" i="20"/>
  <c r="AB1789" i="20" s="1"/>
  <c r="AD1790" i="20"/>
  <c r="AB1790" i="20" s="1"/>
  <c r="AD1791" i="20"/>
  <c r="AB1791" i="20" s="1"/>
  <c r="AD1792" i="20"/>
  <c r="AB1792" i="20" s="1"/>
  <c r="AD1793" i="20"/>
  <c r="AB1793" i="20" s="1"/>
  <c r="AD1794" i="20"/>
  <c r="AB1794" i="20" s="1"/>
  <c r="AD1795" i="20"/>
  <c r="AB1795" i="20" s="1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B1802" i="20" s="1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B1809" i="20" s="1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B1815" i="20" s="1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B1824" i="20" s="1"/>
  <c r="AD1825" i="20"/>
  <c r="AB1825" i="20" s="1"/>
  <c r="AD1826" i="20"/>
  <c r="AB1826" i="20" s="1"/>
  <c r="AD1827" i="20"/>
  <c r="AB1827" i="20" s="1"/>
  <c r="AD1828" i="20"/>
  <c r="AB1828" i="20" s="1"/>
  <c r="AD1829" i="20"/>
  <c r="AB1829" i="20" s="1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B1835" i="20" s="1"/>
  <c r="AD1836" i="20"/>
  <c r="AB1836" i="20" s="1"/>
  <c r="AD1837" i="20"/>
  <c r="AB1837" i="20" s="1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B1850" i="20" s="1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B1871" i="20" s="1"/>
  <c r="AD1872" i="20"/>
  <c r="AB1872" i="20" s="1"/>
  <c r="AD1873" i="20"/>
  <c r="AB1873" i="20" s="1"/>
  <c r="AD1874" i="20"/>
  <c r="AB1874" i="20" s="1"/>
  <c r="AD1875" i="20"/>
  <c r="AB1875" i="20" s="1"/>
  <c r="AD1876" i="20"/>
  <c r="AB1876" i="20" s="1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B1885" i="20" s="1"/>
  <c r="AD1886" i="20"/>
  <c r="AB1886" i="20" s="1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B1892" i="20" s="1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B1901" i="20" s="1"/>
  <c r="AD1902" i="20"/>
  <c r="AB1902" i="20" s="1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B1913" i="20" s="1"/>
  <c r="AD1914" i="20"/>
  <c r="AB1914" i="20" s="1"/>
  <c r="AD1915" i="20"/>
  <c r="AB1915" i="20" s="1"/>
  <c r="AD1916" i="20"/>
  <c r="AB1916" i="20" s="1"/>
  <c r="AD1917" i="20"/>
  <c r="AB1917" i="20" s="1"/>
  <c r="AD1918" i="20"/>
  <c r="AB1918" i="20" s="1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B1930" i="20" s="1"/>
  <c r="AD1931" i="20"/>
  <c r="AB1931" i="20" s="1"/>
  <c r="AD1932" i="20"/>
  <c r="AB1932" i="20" s="1"/>
  <c r="AD1933" i="20"/>
  <c r="AB1933" i="20" s="1"/>
  <c r="AD1934" i="20"/>
  <c r="AB1934" i="20" s="1"/>
  <c r="AD1935" i="20"/>
  <c r="AB1935" i="20" s="1"/>
  <c r="AD1936" i="20"/>
  <c r="AB1936" i="20" s="1"/>
  <c r="AD1937" i="20"/>
  <c r="AB1937" i="20" s="1"/>
  <c r="AD1938" i="20"/>
  <c r="AB1938" i="20" s="1"/>
  <c r="AD1939" i="20"/>
  <c r="AB1939" i="20" s="1"/>
  <c r="AD1940" i="20"/>
  <c r="AB1940" i="20" s="1"/>
  <c r="AD1941" i="20"/>
  <c r="AB1941" i="20" s="1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B1950" i="20" s="1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B1963" i="20" s="1"/>
  <c r="AD1964" i="20"/>
  <c r="AB1964" i="20" s="1"/>
  <c r="AD1965" i="20"/>
  <c r="AB1965" i="20" s="1"/>
  <c r="AD1966" i="20"/>
  <c r="AB1966" i="20" s="1"/>
  <c r="AD1967" i="20"/>
  <c r="AB1967" i="20" s="1"/>
  <c r="AD1968" i="20"/>
  <c r="AB1968" i="20" s="1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B1975" i="20" s="1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B1989" i="20" s="1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B2010" i="20" s="1"/>
  <c r="AD2011" i="20"/>
  <c r="AB2011" i="20" s="1"/>
  <c r="AD2012" i="20"/>
  <c r="AB2012" i="20" s="1"/>
  <c r="AD2013" i="20"/>
  <c r="AB2013" i="20" s="1"/>
  <c r="AD2014" i="20"/>
  <c r="AB2014" i="20" s="1"/>
  <c r="AD2015" i="20"/>
  <c r="AB2015" i="20" s="1"/>
  <c r="AD2016" i="20"/>
  <c r="AB2016" i="20" s="1"/>
  <c r="AD2017" i="20"/>
  <c r="AB2017" i="20" s="1"/>
  <c r="AD2018" i="20"/>
  <c r="AB2018" i="20" s="1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B2026" i="20" s="1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B2047" i="20" s="1"/>
  <c r="AD2048" i="20"/>
  <c r="AB2048" i="20" s="1"/>
  <c r="AD2049" i="20"/>
  <c r="AB2049" i="20" s="1"/>
  <c r="AD2050" i="20"/>
  <c r="AB2050" i="20" s="1"/>
  <c r="AD2051" i="20"/>
  <c r="AB2051" i="20" s="1"/>
  <c r="AD2052" i="20"/>
  <c r="AB2052" i="20" s="1"/>
  <c r="AD2053" i="20"/>
  <c r="AB2053" i="20" s="1"/>
  <c r="AD2054" i="20"/>
  <c r="AB2054" i="20" s="1"/>
  <c r="AD2055" i="20"/>
  <c r="AB2055" i="20" s="1"/>
  <c r="AD2056" i="20"/>
  <c r="AB2056" i="20" s="1"/>
  <c r="AD2057" i="20"/>
  <c r="AB2057" i="20" s="1"/>
  <c r="AD2058" i="20"/>
  <c r="AB2058" i="20" s="1"/>
  <c r="AD2059" i="20"/>
  <c r="AB2059" i="20" s="1"/>
  <c r="AD2060" i="20"/>
  <c r="AB2060" i="20" s="1"/>
  <c r="AD2061" i="20"/>
  <c r="AB2061" i="20" s="1"/>
  <c r="AD2062" i="20"/>
  <c r="AB2062" i="20" s="1"/>
  <c r="AD2063" i="20"/>
  <c r="AB2063" i="20" s="1"/>
  <c r="AD2064" i="20"/>
  <c r="AB2064" i="20" s="1"/>
  <c r="AD2065" i="20"/>
  <c r="AB2065" i="20" s="1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B2085" i="20" s="1"/>
  <c r="AD2086" i="20"/>
  <c r="AB2086" i="20" s="1"/>
  <c r="AD2087" i="20"/>
  <c r="AB2087" i="20" s="1"/>
  <c r="AD2088" i="20"/>
  <c r="AB2088" i="20" s="1"/>
  <c r="AD2089" i="20"/>
  <c r="AB2089" i="20" s="1"/>
  <c r="AD2090" i="20"/>
  <c r="AB2090" i="20" s="1"/>
  <c r="AD2091" i="20"/>
  <c r="AB2091" i="20" s="1"/>
  <c r="AD2092" i="20"/>
  <c r="AB2092" i="20" s="1"/>
  <c r="AD2093" i="20"/>
  <c r="AB2093" i="20" s="1"/>
  <c r="AD2094" i="20"/>
  <c r="AB2094" i="20" s="1"/>
  <c r="AD2095" i="20"/>
  <c r="AB2095" i="20" s="1"/>
  <c r="AD2096" i="20"/>
  <c r="AB2096" i="20" s="1"/>
  <c r="AD2097" i="20"/>
  <c r="AB2097" i="20" s="1"/>
  <c r="AD2098" i="20"/>
  <c r="AB2098" i="20" s="1"/>
  <c r="AD2099" i="20"/>
  <c r="AB2099" i="20" s="1"/>
  <c r="AD2100" i="20"/>
  <c r="AB2100" i="20" s="1"/>
  <c r="AD2101" i="20"/>
  <c r="AB2101" i="20" s="1"/>
  <c r="AD2102" i="20"/>
  <c r="AB2102" i="20" s="1"/>
  <c r="AD2103" i="20"/>
  <c r="AB2103" i="20" s="1"/>
  <c r="AD2104" i="20"/>
  <c r="AB2104" i="20" s="1"/>
  <c r="AD2105" i="20"/>
  <c r="AB2105" i="20" s="1"/>
  <c r="AD2106" i="20"/>
  <c r="AB2106" i="20" s="1"/>
  <c r="AD2107" i="20"/>
  <c r="AB2107" i="20" s="1"/>
  <c r="AD2108" i="20"/>
  <c r="AB2108" i="20" s="1"/>
  <c r="AD2109" i="20"/>
  <c r="AB2109" i="20" s="1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B2116" i="20" s="1"/>
  <c r="AD2117" i="20"/>
  <c r="AB2117" i="20" s="1"/>
  <c r="AD2118" i="20"/>
  <c r="AB2118" i="20" s="1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B2145" i="20" s="1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B2163" i="20" s="1"/>
  <c r="AD2164" i="20"/>
  <c r="AB2164" i="20" s="1"/>
  <c r="AD2165" i="20"/>
  <c r="AB2165" i="20" s="1"/>
  <c r="AD2166" i="20"/>
  <c r="AB2166" i="20" s="1"/>
  <c r="AD2167" i="20"/>
  <c r="AB2167" i="20" s="1"/>
  <c r="AD2168" i="20"/>
  <c r="AB2168" i="20" s="1"/>
  <c r="AD2169" i="20"/>
  <c r="AB2169" i="20" s="1"/>
  <c r="AD2170" i="20"/>
  <c r="AB2170" i="20" s="1"/>
  <c r="AD2171" i="20"/>
  <c r="AB2171" i="20" s="1"/>
  <c r="AD2172" i="20"/>
  <c r="AB2172" i="20" s="1"/>
  <c r="AD2173" i="20"/>
  <c r="AB2173" i="20" s="1"/>
  <c r="AD2174" i="20"/>
  <c r="AB2174" i="20" s="1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B2181" i="20" s="1"/>
  <c r="AD2182" i="20"/>
  <c r="AB2182" i="20" s="1"/>
  <c r="AD2183" i="20"/>
  <c r="AB2183" i="20" s="1"/>
  <c r="AD2184" i="20"/>
  <c r="AB2184" i="20" s="1"/>
  <c r="AD2185" i="20"/>
  <c r="AB2185" i="20" s="1"/>
  <c r="AD2186" i="20"/>
  <c r="AB2186" i="20" s="1"/>
  <c r="AD2187" i="20"/>
  <c r="AB2187" i="20" s="1"/>
  <c r="AD2188" i="20"/>
  <c r="AB2188" i="20" s="1"/>
  <c r="AD2189" i="20"/>
  <c r="AB2189" i="20" s="1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B2210" i="20" s="1"/>
  <c r="AD2211" i="20"/>
  <c r="AB2211" i="20" s="1"/>
  <c r="AD2212" i="20"/>
  <c r="AB2212" i="20" s="1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B2225" i="20" s="1"/>
  <c r="AD2226" i="20"/>
  <c r="AB2226" i="20" s="1"/>
  <c r="AD2227" i="20"/>
  <c r="AB2227" i="20" s="1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B2233" i="20" s="1"/>
  <c r="AD2234" i="20"/>
  <c r="AB2234" i="20" s="1"/>
  <c r="AD2235" i="20"/>
  <c r="AB2235" i="20" s="1"/>
  <c r="AD2236" i="20"/>
  <c r="AB2236" i="20" s="1"/>
  <c r="AD2237" i="20"/>
  <c r="AB2237" i="20" s="1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B2247" i="20" s="1"/>
  <c r="AD2248" i="20"/>
  <c r="AB2248" i="20" s="1"/>
  <c r="AD2249" i="20"/>
  <c r="AB2249" i="20" s="1"/>
  <c r="AD2250" i="20"/>
  <c r="AB2250" i="20" s="1"/>
  <c r="AD2251" i="20"/>
  <c r="AB2251" i="20" s="1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B2261" i="20" s="1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B2278" i="20" s="1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B2284" i="20" s="1"/>
  <c r="AD2285" i="20"/>
  <c r="AB2285" i="20" s="1"/>
  <c r="AD2286" i="20"/>
  <c r="AB2286" i="20" s="1"/>
  <c r="AD2287" i="20"/>
  <c r="AB2287" i="20" s="1"/>
  <c r="AD2288" i="20"/>
  <c r="AB2288" i="20" s="1"/>
  <c r="AD2289" i="20"/>
  <c r="AB2289" i="20" s="1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B2305" i="20" s="1"/>
  <c r="AD2306" i="20"/>
  <c r="AB2306" i="20" s="1"/>
  <c r="AD2307" i="20"/>
  <c r="AB2307" i="20" s="1"/>
  <c r="AD2308" i="20"/>
  <c r="AB2308" i="20" s="1"/>
  <c r="AD2309" i="20"/>
  <c r="AB2309" i="20" s="1"/>
  <c r="AD2310" i="20"/>
  <c r="AB2310" i="20" s="1"/>
  <c r="AD2311" i="20"/>
  <c r="AB2311" i="20" s="1"/>
  <c r="AD2312" i="20"/>
  <c r="AB2312" i="20" s="1"/>
  <c r="AD2313" i="20"/>
  <c r="AB2313" i="20" s="1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B2343" i="20" s="1"/>
  <c r="AD2344" i="20"/>
  <c r="AB2344" i="20" s="1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B2350" i="20" s="1"/>
  <c r="AD2351" i="20"/>
  <c r="AB2351" i="20" s="1"/>
  <c r="AD2352" i="20"/>
  <c r="AB2352" i="20" s="1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B2361" i="20" s="1"/>
  <c r="AD2362" i="20"/>
  <c r="AB2362" i="20" s="1"/>
  <c r="AD2363" i="20"/>
  <c r="AB2363" i="20" s="1"/>
  <c r="AD2364" i="20"/>
  <c r="AB2364" i="20" s="1"/>
  <c r="AD2365" i="20"/>
  <c r="AB2365" i="20" s="1"/>
  <c r="AD2366" i="20"/>
  <c r="AB2366" i="20" s="1"/>
  <c r="AD2367" i="20"/>
  <c r="AB2367" i="20" s="1"/>
  <c r="AD2368" i="20"/>
  <c r="AB2368" i="20" s="1"/>
  <c r="AD2369" i="20"/>
  <c r="AB2369" i="20" s="1"/>
  <c r="AD2370" i="20"/>
  <c r="AB2370" i="20" s="1"/>
  <c r="AD2371" i="20"/>
  <c r="AB2371" i="20" s="1"/>
  <c r="AD2372" i="20"/>
  <c r="AB2372" i="20" s="1"/>
  <c r="AD2373" i="20"/>
  <c r="AB2373" i="20" s="1"/>
  <c r="AD2374" i="20"/>
  <c r="AB2374" i="20" s="1"/>
  <c r="AD2375" i="20"/>
  <c r="AB2375" i="20" s="1"/>
  <c r="AD2376" i="20"/>
  <c r="AB2376" i="20" s="1"/>
  <c r="AD2377" i="20"/>
  <c r="AB2377" i="20" s="1"/>
  <c r="AD2378" i="20"/>
  <c r="AB2378" i="20" s="1"/>
  <c r="AD2379" i="20"/>
  <c r="AB2379" i="20" s="1"/>
  <c r="AD2380" i="20"/>
  <c r="AB2380" i="20" s="1"/>
  <c r="AD2381" i="20"/>
  <c r="AB2381" i="20" s="1"/>
  <c r="AD2382" i="20"/>
  <c r="AB2382" i="20" s="1"/>
  <c r="AD2383" i="20"/>
  <c r="AB2383" i="20" s="1"/>
  <c r="AD2384" i="20"/>
  <c r="AB2384" i="20" s="1"/>
  <c r="AD2385" i="20"/>
  <c r="AB2385" i="20" s="1"/>
  <c r="AD2386" i="20"/>
  <c r="AB2386" i="20" s="1"/>
  <c r="AD2387" i="20"/>
  <c r="AB2387" i="20" s="1"/>
  <c r="AD2388" i="20"/>
  <c r="AB2388" i="20" s="1"/>
  <c r="AD2389" i="20"/>
  <c r="AB2389" i="20" s="1"/>
  <c r="AD2390" i="20"/>
  <c r="AB2390" i="20" s="1"/>
  <c r="AD2391" i="20"/>
  <c r="AB2391" i="20" s="1"/>
  <c r="AD2392" i="20"/>
  <c r="AB2392" i="20" s="1"/>
  <c r="AD2393" i="20"/>
  <c r="AB2393" i="20" s="1"/>
  <c r="AD2394" i="20"/>
  <c r="AB2394" i="20" s="1"/>
  <c r="AD2395" i="20"/>
  <c r="AB2395" i="20" s="1"/>
  <c r="AD2396" i="20"/>
  <c r="AB2396" i="20" s="1"/>
  <c r="AD2397" i="20"/>
  <c r="AB2397" i="20" s="1"/>
  <c r="AD2398" i="20"/>
  <c r="AB2398" i="20" s="1"/>
  <c r="AD2399" i="20"/>
  <c r="AB2399" i="20" s="1"/>
  <c r="AD2400" i="20"/>
  <c r="AB2400" i="20" s="1"/>
  <c r="AD2401" i="20"/>
  <c r="AB2401" i="20" s="1"/>
  <c r="AD2402" i="20"/>
  <c r="AB2402" i="20" s="1"/>
  <c r="AD2403" i="20"/>
  <c r="AB2403" i="20" s="1"/>
  <c r="AD2404" i="20"/>
  <c r="AB2404" i="20" s="1"/>
  <c r="AD2405" i="20"/>
  <c r="AB2405" i="20" s="1"/>
  <c r="AD2406" i="20"/>
  <c r="AB2406" i="20" s="1"/>
  <c r="AD2407" i="20"/>
  <c r="AB2407" i="20" s="1"/>
  <c r="AD2408" i="20"/>
  <c r="AB2408" i="20" s="1"/>
  <c r="AD2409" i="20"/>
  <c r="AB2409" i="20" s="1"/>
  <c r="AD2410" i="20"/>
  <c r="AB2410" i="20" s="1"/>
  <c r="AD2411" i="20"/>
  <c r="AB2411" i="20" s="1"/>
  <c r="AD2412" i="20"/>
  <c r="AB2412" i="20" s="1"/>
  <c r="AD2413" i="20"/>
  <c r="AB2413" i="20" s="1"/>
  <c r="AD2414" i="20"/>
  <c r="AB2414" i="20" s="1"/>
  <c r="AD2415" i="20"/>
  <c r="AB2415" i="20" s="1"/>
  <c r="AD2416" i="20"/>
  <c r="AB2416" i="20" s="1"/>
  <c r="AD2417" i="20"/>
  <c r="AB2417" i="20" s="1"/>
  <c r="AD2418" i="20"/>
  <c r="AB2418" i="20" s="1"/>
  <c r="AD2419" i="20"/>
  <c r="AB2419" i="20" s="1"/>
  <c r="AD2420" i="20"/>
  <c r="AB2420" i="20" s="1"/>
  <c r="AD2421" i="20"/>
  <c r="AB2421" i="20" s="1"/>
  <c r="AD2422" i="20"/>
  <c r="AB2422" i="20" s="1"/>
  <c r="AD2423" i="20"/>
  <c r="AB2423" i="20" s="1"/>
  <c r="AD2424" i="20"/>
  <c r="AB2424" i="20" s="1"/>
  <c r="AD2425" i="20"/>
  <c r="AB2425" i="20" s="1"/>
  <c r="AD2426" i="20"/>
  <c r="AB2426" i="20" s="1"/>
  <c r="AD2427" i="20"/>
  <c r="AB2427" i="20" s="1"/>
  <c r="AD2428" i="20"/>
  <c r="AB2428" i="20" s="1"/>
  <c r="AD2429" i="20"/>
  <c r="AB2429" i="20" s="1"/>
  <c r="AD2430" i="20"/>
  <c r="AB2430" i="20" s="1"/>
  <c r="AD2431" i="20"/>
  <c r="AB2431" i="20" s="1"/>
  <c r="AD2432" i="20"/>
  <c r="AB2432" i="20" s="1"/>
  <c r="AD2433" i="20"/>
  <c r="AB2433" i="20" s="1"/>
  <c r="AD2434" i="20"/>
  <c r="AB2434" i="20" s="1"/>
  <c r="AD2435" i="20"/>
  <c r="AB2435" i="20" s="1"/>
  <c r="AD2436" i="20"/>
  <c r="AB2436" i="20" s="1"/>
  <c r="AD2437" i="20"/>
  <c r="AB2437" i="20" s="1"/>
  <c r="AD2438" i="20"/>
  <c r="AB2438" i="20" s="1"/>
  <c r="AD2439" i="20"/>
  <c r="AB2439" i="20" s="1"/>
  <c r="AD2440" i="20"/>
  <c r="AB2440" i="20" s="1"/>
  <c r="AD2441" i="20"/>
  <c r="AB2441" i="20" s="1"/>
  <c r="AD2442" i="20"/>
  <c r="AB2442" i="20" s="1"/>
  <c r="AD2443" i="20"/>
  <c r="AB2443" i="20" s="1"/>
  <c r="AD2444" i="20"/>
  <c r="AB2444" i="20" s="1"/>
  <c r="AD2445" i="20"/>
  <c r="AB2445" i="20" s="1"/>
  <c r="AD2446" i="20"/>
  <c r="AB2446" i="20" s="1"/>
  <c r="AD2447" i="20"/>
  <c r="AB2447" i="20" s="1"/>
  <c r="AD2448" i="20"/>
  <c r="AB2448" i="20" s="1"/>
  <c r="AD2449" i="20"/>
  <c r="AB2449" i="20" s="1"/>
  <c r="AD2450" i="20"/>
  <c r="AB2450" i="20" s="1"/>
  <c r="AD2451" i="20"/>
  <c r="AB2451" i="20" s="1"/>
  <c r="AD2452" i="20"/>
  <c r="AB2452" i="20" s="1"/>
  <c r="AD2453" i="20"/>
  <c r="AB2453" i="20" s="1"/>
  <c r="AD2454" i="20"/>
  <c r="AB2454" i="20" s="1"/>
  <c r="AD2455" i="20"/>
  <c r="AB2455" i="20" s="1"/>
  <c r="AD2456" i="20"/>
  <c r="AB2456" i="20" s="1"/>
  <c r="AD2457" i="20"/>
  <c r="AB2457" i="20" s="1"/>
  <c r="AD2458" i="20"/>
  <c r="AB2458" i="20" s="1"/>
  <c r="AD2459" i="20"/>
  <c r="AB2459" i="20" s="1"/>
  <c r="AD2460" i="20"/>
  <c r="AB2460" i="20" s="1"/>
  <c r="AD2461" i="20"/>
  <c r="AB2461" i="20" s="1"/>
  <c r="AD2462" i="20"/>
  <c r="AB2462" i="20" s="1"/>
  <c r="AD2463" i="20"/>
  <c r="AB2463" i="20" s="1"/>
  <c r="AD2464" i="20"/>
  <c r="AB2464" i="20" s="1"/>
  <c r="AD2465" i="20"/>
  <c r="AB2465" i="20" s="1"/>
  <c r="AD2466" i="20"/>
  <c r="AB2466" i="20" s="1"/>
  <c r="AD2467" i="20"/>
  <c r="AB2467" i="20" s="1"/>
  <c r="AD2468" i="20"/>
  <c r="AB2468" i="20" s="1"/>
  <c r="AD2469" i="20"/>
  <c r="AB2469" i="20" s="1"/>
  <c r="AD2470" i="20"/>
  <c r="AB2470" i="20" s="1"/>
  <c r="AD2471" i="20"/>
  <c r="AB2471" i="20" s="1"/>
  <c r="AD2472" i="20"/>
  <c r="AB2472" i="20" s="1"/>
  <c r="AD2473" i="20"/>
  <c r="AB2473" i="20" s="1"/>
  <c r="AD2474" i="20"/>
  <c r="AB2474" i="20" s="1"/>
  <c r="AD2475" i="20"/>
  <c r="AB2475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AE2369" i="20"/>
  <c r="AE2370" i="20"/>
  <c r="AE2371" i="20"/>
  <c r="AE2372" i="20"/>
  <c r="AE2373" i="20"/>
  <c r="AE2374" i="20"/>
  <c r="AE2375" i="20"/>
  <c r="AE2376" i="20"/>
  <c r="AE2377" i="20"/>
  <c r="AE2378" i="20"/>
  <c r="AE2379" i="20"/>
  <c r="AE2380" i="20"/>
  <c r="AE2381" i="20"/>
  <c r="AE2382" i="20"/>
  <c r="AE2383" i="20"/>
  <c r="AE2384" i="20"/>
  <c r="AE2385" i="20"/>
  <c r="AE2386" i="20"/>
  <c r="AE2387" i="20"/>
  <c r="AE2388" i="20"/>
  <c r="AE2389" i="20"/>
  <c r="AE2390" i="20"/>
  <c r="AE2391" i="20"/>
  <c r="AE2392" i="20"/>
  <c r="AE2393" i="20"/>
  <c r="AE2394" i="20"/>
  <c r="AE2395" i="20"/>
  <c r="AE2396" i="20"/>
  <c r="AE2397" i="20"/>
  <c r="AE2398" i="20"/>
  <c r="AE2399" i="20"/>
  <c r="AE2400" i="20"/>
  <c r="AE2401" i="20"/>
  <c r="AE2402" i="20"/>
  <c r="AE2403" i="20"/>
  <c r="AE2404" i="20"/>
  <c r="AE2405" i="20"/>
  <c r="AE2406" i="20"/>
  <c r="AE2407" i="20"/>
  <c r="AE2408" i="20"/>
  <c r="AE2409" i="20"/>
  <c r="AE2410" i="20"/>
  <c r="AE2411" i="20"/>
  <c r="AE2412" i="20"/>
  <c r="AE2413" i="20"/>
  <c r="AE2414" i="20"/>
  <c r="AE2415" i="20"/>
  <c r="AE2416" i="20"/>
  <c r="AE2417" i="20"/>
  <c r="AE2418" i="20"/>
  <c r="AE2419" i="20"/>
  <c r="AE2420" i="20"/>
  <c r="AE2421" i="20"/>
  <c r="AE2422" i="20"/>
  <c r="AE2423" i="20"/>
  <c r="AE2424" i="20"/>
  <c r="AE2425" i="20"/>
  <c r="AE2426" i="20"/>
  <c r="AE2427" i="20"/>
  <c r="AE2428" i="20"/>
  <c r="AE2429" i="20"/>
  <c r="AE2430" i="20"/>
  <c r="AE2431" i="20"/>
  <c r="AE2432" i="20"/>
  <c r="AE2433" i="20"/>
  <c r="AE2434" i="20"/>
  <c r="AE2435" i="20"/>
  <c r="AE2436" i="20"/>
  <c r="AE2437" i="20"/>
  <c r="AE2438" i="20"/>
  <c r="AE2439" i="20"/>
  <c r="AE2440" i="20"/>
  <c r="AE2441" i="20"/>
  <c r="AE2442" i="20"/>
  <c r="AE2443" i="20"/>
  <c r="AE2444" i="20"/>
  <c r="AE2445" i="20"/>
  <c r="AE2446" i="20"/>
  <c r="AE2447" i="20"/>
  <c r="AE2448" i="20"/>
  <c r="AE2449" i="20"/>
  <c r="AE2450" i="20"/>
  <c r="AE2451" i="20"/>
  <c r="AE2452" i="20"/>
  <c r="AE2453" i="20"/>
  <c r="AE2454" i="20"/>
  <c r="AE2455" i="20"/>
  <c r="AE2456" i="20"/>
  <c r="AE2457" i="20"/>
  <c r="AE2458" i="20"/>
  <c r="AE2459" i="20"/>
  <c r="AE2460" i="20"/>
  <c r="AE2461" i="20"/>
  <c r="AE2462" i="20"/>
  <c r="AE2463" i="20"/>
  <c r="AE2464" i="20"/>
  <c r="AE2465" i="20"/>
  <c r="AE2466" i="20"/>
  <c r="AE2467" i="20"/>
  <c r="AE2468" i="20"/>
  <c r="AE2469" i="20"/>
  <c r="AE2470" i="20"/>
  <c r="AE2471" i="20"/>
  <c r="AE2472" i="20"/>
  <c r="AE2473" i="20"/>
  <c r="AE2474" i="20"/>
  <c r="AE2475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H138" i="34"/>
  <c r="H139" i="34"/>
  <c r="H140" i="34"/>
  <c r="H141" i="34"/>
  <c r="H142" i="34"/>
  <c r="H143" i="34"/>
  <c r="H144" i="34"/>
  <c r="H145" i="34"/>
  <c r="H146" i="34"/>
  <c r="H147" i="34"/>
  <c r="H148" i="34"/>
  <c r="H149" i="34"/>
  <c r="H150" i="34"/>
  <c r="H151" i="34"/>
  <c r="H152" i="34"/>
  <c r="H153" i="34"/>
  <c r="H154" i="34"/>
  <c r="H155" i="34"/>
  <c r="H156" i="34"/>
  <c r="H157" i="34"/>
  <c r="H158" i="34"/>
  <c r="H159" i="34"/>
  <c r="H160" i="34"/>
  <c r="H161" i="34"/>
  <c r="H162" i="34"/>
  <c r="H163" i="34"/>
  <c r="H164" i="34"/>
  <c r="H165" i="34"/>
  <c r="H166" i="34"/>
  <c r="H167" i="34"/>
  <c r="H168" i="34"/>
  <c r="H169" i="34"/>
  <c r="H170" i="34"/>
  <c r="H171" i="34"/>
  <c r="H172" i="34"/>
  <c r="H173" i="34"/>
  <c r="H174" i="34"/>
  <c r="H175" i="34"/>
  <c r="H176" i="34"/>
  <c r="H177" i="34"/>
  <c r="H178" i="34"/>
  <c r="H179" i="34"/>
  <c r="H180" i="34"/>
  <c r="H181" i="34"/>
  <c r="H182" i="34"/>
  <c r="H183" i="34"/>
  <c r="H184" i="34"/>
  <c r="H185" i="34"/>
  <c r="H186" i="34"/>
  <c r="H187" i="34"/>
  <c r="H188" i="34"/>
  <c r="H189" i="34"/>
  <c r="H190" i="34"/>
  <c r="H191" i="34"/>
  <c r="H192" i="34"/>
  <c r="H193" i="34"/>
  <c r="H194" i="34"/>
  <c r="H195" i="34"/>
  <c r="H196" i="34"/>
  <c r="H197" i="34"/>
  <c r="H198" i="34"/>
  <c r="H199" i="34"/>
  <c r="H200" i="34"/>
  <c r="H201" i="34"/>
  <c r="H202" i="34"/>
  <c r="H203" i="34"/>
  <c r="H204" i="34"/>
  <c r="H205" i="34"/>
  <c r="H206" i="34"/>
  <c r="H207" i="34"/>
  <c r="H208" i="34"/>
  <c r="H209" i="34"/>
  <c r="H210" i="34"/>
  <c r="H211" i="34"/>
  <c r="H212" i="34"/>
  <c r="H213" i="34"/>
  <c r="H214" i="34"/>
  <c r="H215" i="34"/>
  <c r="H216" i="34"/>
  <c r="H217" i="34"/>
  <c r="H218" i="34"/>
  <c r="H219" i="34"/>
  <c r="H220" i="34"/>
  <c r="H221" i="34"/>
  <c r="H222" i="34"/>
  <c r="H223" i="34"/>
  <c r="H224" i="34"/>
  <c r="H225" i="34"/>
  <c r="H226" i="34"/>
  <c r="H227" i="34"/>
  <c r="H228" i="34"/>
  <c r="H229" i="34"/>
  <c r="H230" i="34"/>
  <c r="H231" i="34"/>
  <c r="H232" i="34"/>
  <c r="H233" i="34"/>
  <c r="H234" i="34"/>
  <c r="H235" i="34"/>
  <c r="H236" i="34"/>
  <c r="H237" i="34"/>
  <c r="H238" i="34"/>
  <c r="H239" i="34"/>
  <c r="H240" i="34"/>
  <c r="H241" i="34"/>
  <c r="H242" i="34"/>
  <c r="H243" i="34"/>
  <c r="H244" i="34"/>
  <c r="H245" i="34"/>
  <c r="H246" i="34"/>
  <c r="H247" i="34"/>
  <c r="H248" i="34"/>
  <c r="H249" i="34"/>
  <c r="H250" i="34"/>
  <c r="H251" i="34"/>
  <c r="H252" i="34"/>
  <c r="H253" i="34"/>
  <c r="H254" i="34"/>
  <c r="H255" i="34"/>
  <c r="H256" i="34"/>
  <c r="H257" i="34"/>
  <c r="H258" i="34"/>
  <c r="I2" i="34"/>
  <c r="I3" i="34"/>
  <c r="I4" i="34"/>
  <c r="I5" i="34"/>
  <c r="I6" i="34"/>
  <c r="I7" i="34"/>
  <c r="I8" i="34"/>
  <c r="I9" i="34"/>
  <c r="I10" i="34"/>
  <c r="I11" i="34"/>
  <c r="J11" i="34" s="1"/>
  <c r="L11" i="34" s="1"/>
  <c r="I12" i="34"/>
  <c r="J12" i="34" s="1"/>
  <c r="L12" i="34" s="1"/>
  <c r="I13" i="34"/>
  <c r="I14" i="34"/>
  <c r="I15" i="34"/>
  <c r="I16" i="34"/>
  <c r="I17" i="34"/>
  <c r="I18" i="34"/>
  <c r="I19" i="34"/>
  <c r="I20" i="34"/>
  <c r="I21" i="34"/>
  <c r="J21" i="34" s="1"/>
  <c r="I22" i="34"/>
  <c r="I23" i="34"/>
  <c r="I24" i="34"/>
  <c r="I25" i="34"/>
  <c r="J25" i="34" s="1"/>
  <c r="L25" i="34" s="1"/>
  <c r="I26" i="34"/>
  <c r="J26" i="34" s="1"/>
  <c r="I27" i="34"/>
  <c r="I28" i="34"/>
  <c r="J28" i="34" s="1"/>
  <c r="I29" i="34"/>
  <c r="I30" i="34"/>
  <c r="I31" i="34"/>
  <c r="I32" i="34"/>
  <c r="I33" i="34"/>
  <c r="I34" i="34"/>
  <c r="I35" i="34"/>
  <c r="N35" i="34" s="1"/>
  <c r="O35" i="34" s="1"/>
  <c r="I36" i="34"/>
  <c r="I37" i="34"/>
  <c r="I38" i="34"/>
  <c r="I39" i="34"/>
  <c r="N39" i="34" s="1"/>
  <c r="O39" i="34" s="1"/>
  <c r="I40" i="34"/>
  <c r="J40" i="34" s="1"/>
  <c r="I41" i="34"/>
  <c r="I42" i="34"/>
  <c r="J42" i="34" s="1"/>
  <c r="I43" i="34"/>
  <c r="I44" i="34"/>
  <c r="I45" i="34"/>
  <c r="I46" i="34"/>
  <c r="I47" i="34"/>
  <c r="I48" i="34"/>
  <c r="I49" i="34"/>
  <c r="J49" i="34" s="1"/>
  <c r="L49" i="34" s="1"/>
  <c r="I50" i="34"/>
  <c r="I51" i="34"/>
  <c r="I52" i="34"/>
  <c r="I53" i="34"/>
  <c r="N53" i="34" s="1"/>
  <c r="O53" i="34" s="1"/>
  <c r="I54" i="34"/>
  <c r="J54" i="34" s="1"/>
  <c r="I55" i="34"/>
  <c r="I56" i="34"/>
  <c r="J56" i="34" s="1"/>
  <c r="L56" i="34" s="1"/>
  <c r="I57" i="34"/>
  <c r="I58" i="34"/>
  <c r="I59" i="34"/>
  <c r="I60" i="34"/>
  <c r="I61" i="34"/>
  <c r="I62" i="34"/>
  <c r="I63" i="34"/>
  <c r="J63" i="34" s="1"/>
  <c r="I64" i="34"/>
  <c r="I65" i="34"/>
  <c r="I66" i="34"/>
  <c r="I67" i="34"/>
  <c r="J67" i="34" s="1"/>
  <c r="L67" i="34" s="1"/>
  <c r="I68" i="34"/>
  <c r="I69" i="34"/>
  <c r="I70" i="34"/>
  <c r="J70" i="34" s="1"/>
  <c r="I71" i="34"/>
  <c r="I72" i="34"/>
  <c r="I73" i="34"/>
  <c r="I74" i="34"/>
  <c r="I75" i="34"/>
  <c r="I76" i="34"/>
  <c r="I77" i="34"/>
  <c r="J77" i="34" s="1"/>
  <c r="I78" i="34"/>
  <c r="I79" i="34"/>
  <c r="I80" i="34"/>
  <c r="I81" i="34"/>
  <c r="J81" i="34" s="1"/>
  <c r="L81" i="34" s="1"/>
  <c r="I82" i="34"/>
  <c r="J82" i="34" s="1"/>
  <c r="I83" i="34"/>
  <c r="I84" i="34"/>
  <c r="I85" i="34"/>
  <c r="I86" i="34"/>
  <c r="I87" i="34"/>
  <c r="I88" i="34"/>
  <c r="I89" i="34"/>
  <c r="I90" i="34"/>
  <c r="I91" i="34"/>
  <c r="N91" i="34" s="1"/>
  <c r="O91" i="34" s="1"/>
  <c r="I92" i="34"/>
  <c r="I93" i="34"/>
  <c r="I94" i="34"/>
  <c r="I95" i="34"/>
  <c r="N95" i="34" s="1"/>
  <c r="O95" i="34" s="1"/>
  <c r="I96" i="34"/>
  <c r="J96" i="34" s="1"/>
  <c r="I97" i="34"/>
  <c r="I98" i="34"/>
  <c r="I99" i="34"/>
  <c r="J99" i="34" s="1"/>
  <c r="L99" i="34" s="1"/>
  <c r="I100" i="34"/>
  <c r="I101" i="34"/>
  <c r="J101" i="34" s="1"/>
  <c r="I102" i="34"/>
  <c r="I103" i="34"/>
  <c r="I104" i="34"/>
  <c r="I105" i="34"/>
  <c r="N105" i="34" s="1"/>
  <c r="O105" i="34" s="1"/>
  <c r="I106" i="34"/>
  <c r="N106" i="34" s="1"/>
  <c r="O106" i="34" s="1"/>
  <c r="I107" i="34"/>
  <c r="I108" i="34"/>
  <c r="I109" i="34"/>
  <c r="N109" i="34" s="1"/>
  <c r="O109" i="34" s="1"/>
  <c r="I110" i="34"/>
  <c r="J110" i="34" s="1"/>
  <c r="I111" i="34"/>
  <c r="I112" i="34"/>
  <c r="J112" i="34" s="1"/>
  <c r="I113" i="34"/>
  <c r="J113" i="34" s="1"/>
  <c r="I114" i="34"/>
  <c r="I115" i="34"/>
  <c r="J115" i="34" s="1"/>
  <c r="I116" i="34"/>
  <c r="I117" i="34"/>
  <c r="I118" i="34"/>
  <c r="I119" i="34"/>
  <c r="I120" i="34"/>
  <c r="N120" i="34" s="1"/>
  <c r="O120" i="34" s="1"/>
  <c r="I121" i="34"/>
  <c r="I122" i="34"/>
  <c r="I123" i="34"/>
  <c r="N123" i="34" s="1"/>
  <c r="O123" i="34" s="1"/>
  <c r="I124" i="34"/>
  <c r="J124" i="34" s="1"/>
  <c r="I125" i="34"/>
  <c r="I126" i="34"/>
  <c r="J126" i="34" s="1"/>
  <c r="I127" i="34"/>
  <c r="J127" i="34" s="1"/>
  <c r="I128" i="34"/>
  <c r="I129" i="34"/>
  <c r="I130" i="34"/>
  <c r="I131" i="34"/>
  <c r="I132" i="34"/>
  <c r="I133" i="34"/>
  <c r="J133" i="34" s="1"/>
  <c r="L133" i="34" s="1"/>
  <c r="I134" i="34"/>
  <c r="J134" i="34" s="1"/>
  <c r="L134" i="34" s="1"/>
  <c r="I135" i="34"/>
  <c r="I136" i="34"/>
  <c r="I137" i="34"/>
  <c r="J137" i="34" s="1"/>
  <c r="I138" i="34"/>
  <c r="N138" i="34" s="1"/>
  <c r="O138" i="34" s="1"/>
  <c r="I139" i="34"/>
  <c r="I140" i="34"/>
  <c r="J140" i="34" s="1"/>
  <c r="I141" i="34"/>
  <c r="J141" i="34" s="1"/>
  <c r="I142" i="34"/>
  <c r="I143" i="34"/>
  <c r="J143" i="34" s="1"/>
  <c r="I144" i="34"/>
  <c r="I145" i="34"/>
  <c r="I146" i="34"/>
  <c r="I147" i="34"/>
  <c r="I148" i="34"/>
  <c r="J148" i="34" s="1"/>
  <c r="L148" i="34" s="1"/>
  <c r="I149" i="34"/>
  <c r="I150" i="34"/>
  <c r="I151" i="34"/>
  <c r="J151" i="34" s="1"/>
  <c r="I152" i="34"/>
  <c r="I153" i="34"/>
  <c r="I154" i="34"/>
  <c r="J154" i="34" s="1"/>
  <c r="L154" i="34" s="1"/>
  <c r="I155" i="34"/>
  <c r="J155" i="34" s="1"/>
  <c r="L155" i="34" s="1"/>
  <c r="I156" i="34"/>
  <c r="I157" i="34"/>
  <c r="I158" i="34"/>
  <c r="J158" i="34" s="1"/>
  <c r="L158" i="34" s="1"/>
  <c r="I159" i="34"/>
  <c r="I160" i="34"/>
  <c r="I161" i="34"/>
  <c r="J161" i="34" s="1"/>
  <c r="L161" i="34" s="1"/>
  <c r="I162" i="34"/>
  <c r="J162" i="34" s="1"/>
  <c r="L162" i="34" s="1"/>
  <c r="I163" i="34"/>
  <c r="I164" i="34"/>
  <c r="I165" i="34"/>
  <c r="N165" i="34" s="1"/>
  <c r="O165" i="34" s="1"/>
  <c r="I166" i="34"/>
  <c r="J166" i="34" s="1"/>
  <c r="I167" i="34"/>
  <c r="J167" i="34" s="1"/>
  <c r="I168" i="34"/>
  <c r="J168" i="34" s="1"/>
  <c r="I169" i="34"/>
  <c r="J169" i="34" s="1"/>
  <c r="I170" i="34"/>
  <c r="I171" i="34"/>
  <c r="J171" i="34" s="1"/>
  <c r="I172" i="34"/>
  <c r="J172" i="34" s="1"/>
  <c r="L172" i="34" s="1"/>
  <c r="I173" i="34"/>
  <c r="I174" i="34"/>
  <c r="I175" i="34"/>
  <c r="J175" i="34" s="1"/>
  <c r="L175" i="34" s="1"/>
  <c r="I176" i="34"/>
  <c r="N176" i="34" s="1"/>
  <c r="O176" i="34" s="1"/>
  <c r="I177" i="34"/>
  <c r="I178" i="34"/>
  <c r="I179" i="34"/>
  <c r="N179" i="34" s="1"/>
  <c r="O179" i="34" s="1"/>
  <c r="I180" i="34"/>
  <c r="J180" i="34" s="1"/>
  <c r="L180" i="34" s="1"/>
  <c r="I181" i="34"/>
  <c r="J181" i="34" s="1"/>
  <c r="I182" i="34"/>
  <c r="J182" i="34" s="1"/>
  <c r="I183" i="34"/>
  <c r="J183" i="34" s="1"/>
  <c r="I184" i="34"/>
  <c r="N184" i="34" s="1"/>
  <c r="O184" i="34" s="1"/>
  <c r="I185" i="34"/>
  <c r="I186" i="34"/>
  <c r="I187" i="34"/>
  <c r="I188" i="34"/>
  <c r="I189" i="34"/>
  <c r="J189" i="34" s="1"/>
  <c r="I190" i="34"/>
  <c r="J190" i="34" s="1"/>
  <c r="L190" i="34" s="1"/>
  <c r="I191" i="34"/>
  <c r="I192" i="34"/>
  <c r="I193" i="34"/>
  <c r="J193" i="34" s="1"/>
  <c r="I194" i="34"/>
  <c r="I195" i="34"/>
  <c r="J195" i="34" s="1"/>
  <c r="I196" i="34"/>
  <c r="J196" i="34" s="1"/>
  <c r="I197" i="34"/>
  <c r="J197" i="34" s="1"/>
  <c r="I198" i="34"/>
  <c r="I199" i="34"/>
  <c r="I200" i="34"/>
  <c r="J200" i="34" s="1"/>
  <c r="L200" i="34" s="1"/>
  <c r="I201" i="34"/>
  <c r="I202" i="34"/>
  <c r="I203" i="34"/>
  <c r="J203" i="34" s="1"/>
  <c r="L203" i="34" s="1"/>
  <c r="I204" i="34"/>
  <c r="N204" i="34" s="1"/>
  <c r="O204" i="34" s="1"/>
  <c r="I205" i="34"/>
  <c r="I206" i="34"/>
  <c r="I207" i="34"/>
  <c r="N207" i="34" s="1"/>
  <c r="O207" i="34" s="1"/>
  <c r="I208" i="34"/>
  <c r="J208" i="34" s="1"/>
  <c r="L208" i="34" s="1"/>
  <c r="I209" i="34"/>
  <c r="J209" i="34" s="1"/>
  <c r="I210" i="34"/>
  <c r="J210" i="34" s="1"/>
  <c r="I211" i="34"/>
  <c r="J211" i="34" s="1"/>
  <c r="I212" i="34"/>
  <c r="N212" i="34" s="1"/>
  <c r="O212" i="34" s="1"/>
  <c r="I213" i="34"/>
  <c r="J213" i="34" s="1"/>
  <c r="I214" i="34"/>
  <c r="J214" i="34" s="1"/>
  <c r="L214" i="34" s="1"/>
  <c r="I215" i="34"/>
  <c r="I216" i="34"/>
  <c r="I217" i="34"/>
  <c r="I218" i="34"/>
  <c r="J218" i="34" s="1"/>
  <c r="L218" i="34" s="1"/>
  <c r="I219" i="34"/>
  <c r="I220" i="34"/>
  <c r="I221" i="34"/>
  <c r="J221" i="34" s="1"/>
  <c r="I222" i="34"/>
  <c r="J222" i="34" s="1"/>
  <c r="I223" i="34"/>
  <c r="J223" i="34" s="1"/>
  <c r="I224" i="34"/>
  <c r="J224" i="34" s="1"/>
  <c r="I225" i="34"/>
  <c r="J225" i="34" s="1"/>
  <c r="I226" i="34"/>
  <c r="J226" i="34" s="1"/>
  <c r="L226" i="34" s="1"/>
  <c r="I227" i="34"/>
  <c r="J227" i="34" s="1"/>
  <c r="I228" i="34"/>
  <c r="J228" i="34" s="1"/>
  <c r="L228" i="34" s="1"/>
  <c r="I229" i="34"/>
  <c r="J229" i="34" s="1"/>
  <c r="L229" i="34" s="1"/>
  <c r="I230" i="34"/>
  <c r="I231" i="34"/>
  <c r="J231" i="34" s="1"/>
  <c r="I232" i="34"/>
  <c r="J232" i="34" s="1"/>
  <c r="L232" i="34" s="1"/>
  <c r="I233" i="34"/>
  <c r="I234" i="34"/>
  <c r="I235" i="34"/>
  <c r="J235" i="34" s="1"/>
  <c r="I236" i="34"/>
  <c r="I237" i="34"/>
  <c r="J237" i="34" s="1"/>
  <c r="I238" i="34"/>
  <c r="J238" i="34" s="1"/>
  <c r="I239" i="34"/>
  <c r="I240" i="34"/>
  <c r="J240" i="34" s="1"/>
  <c r="L240" i="34" s="1"/>
  <c r="I241" i="34"/>
  <c r="I242" i="34"/>
  <c r="J242" i="34" s="1"/>
  <c r="L242" i="34" s="1"/>
  <c r="I243" i="34"/>
  <c r="J243" i="34" s="1"/>
  <c r="L243" i="34" s="1"/>
  <c r="I244" i="34"/>
  <c r="J244" i="34" s="1"/>
  <c r="I245" i="34"/>
  <c r="J245" i="34" s="1"/>
  <c r="I246" i="34"/>
  <c r="J246" i="34" s="1"/>
  <c r="L246" i="34" s="1"/>
  <c r="I247" i="34"/>
  <c r="I248" i="34"/>
  <c r="I249" i="34"/>
  <c r="J249" i="34" s="1"/>
  <c r="L249" i="34" s="1"/>
  <c r="I250" i="34"/>
  <c r="J250" i="34" s="1"/>
  <c r="L250" i="34" s="1"/>
  <c r="I251" i="34"/>
  <c r="J251" i="34" s="1"/>
  <c r="I252" i="34"/>
  <c r="J252" i="34" s="1"/>
  <c r="I253" i="34"/>
  <c r="I254" i="34"/>
  <c r="N254" i="34" s="1"/>
  <c r="O254" i="34" s="1"/>
  <c r="I255" i="34"/>
  <c r="J255" i="34" s="1"/>
  <c r="I256" i="34"/>
  <c r="I257" i="34"/>
  <c r="I258" i="34"/>
  <c r="J258" i="34" s="1"/>
  <c r="J2" i="34"/>
  <c r="L2" i="34" s="1"/>
  <c r="J3" i="34"/>
  <c r="J4" i="34"/>
  <c r="L4" i="34" s="1"/>
  <c r="J5" i="34"/>
  <c r="J6" i="34"/>
  <c r="L6" i="34" s="1"/>
  <c r="J7" i="34"/>
  <c r="L7" i="34" s="1"/>
  <c r="J8" i="34"/>
  <c r="J13" i="34"/>
  <c r="J14" i="34"/>
  <c r="J15" i="34"/>
  <c r="J16" i="34"/>
  <c r="L16" i="34" s="1"/>
  <c r="J17" i="34"/>
  <c r="J18" i="34"/>
  <c r="L18" i="34" s="1"/>
  <c r="J19" i="34"/>
  <c r="L19" i="34" s="1"/>
  <c r="J20" i="34"/>
  <c r="J22" i="34"/>
  <c r="L22" i="34" s="1"/>
  <c r="J27" i="34"/>
  <c r="J29" i="34"/>
  <c r="J30" i="34"/>
  <c r="L30" i="34" s="1"/>
  <c r="J31" i="34"/>
  <c r="J32" i="34"/>
  <c r="L32" i="34" s="1"/>
  <c r="J34" i="34"/>
  <c r="L34" i="34" s="1"/>
  <c r="J36" i="34"/>
  <c r="L36" i="34" s="1"/>
  <c r="J41" i="34"/>
  <c r="J43" i="34"/>
  <c r="J44" i="34"/>
  <c r="J45" i="34"/>
  <c r="J46" i="34"/>
  <c r="L46" i="34" s="1"/>
  <c r="J48" i="34"/>
  <c r="L48" i="34" s="1"/>
  <c r="J50" i="34"/>
  <c r="J55" i="34"/>
  <c r="J57" i="34"/>
  <c r="J58" i="34"/>
  <c r="L58" i="34" s="1"/>
  <c r="J59" i="34"/>
  <c r="J60" i="34"/>
  <c r="L60" i="34" s="1"/>
  <c r="J62" i="34"/>
  <c r="L62" i="34" s="1"/>
  <c r="J64" i="34"/>
  <c r="L64" i="34" s="1"/>
  <c r="J68" i="34"/>
  <c r="J69" i="34"/>
  <c r="J71" i="34"/>
  <c r="J72" i="34"/>
  <c r="L72" i="34" s="1"/>
  <c r="J73" i="34"/>
  <c r="J74" i="34"/>
  <c r="L74" i="34" s="1"/>
  <c r="J76" i="34"/>
  <c r="L76" i="34" s="1"/>
  <c r="J78" i="34"/>
  <c r="J83" i="34"/>
  <c r="J84" i="34"/>
  <c r="J85" i="34"/>
  <c r="J86" i="34"/>
  <c r="L86" i="34" s="1"/>
  <c r="J87" i="34"/>
  <c r="J88" i="34"/>
  <c r="L88" i="34" s="1"/>
  <c r="J90" i="34"/>
  <c r="L90" i="34" s="1"/>
  <c r="J92" i="34"/>
  <c r="J97" i="34"/>
  <c r="J98" i="34"/>
  <c r="J100" i="34"/>
  <c r="J102" i="34"/>
  <c r="L102" i="34" s="1"/>
  <c r="J103" i="34"/>
  <c r="L103" i="34" s="1"/>
  <c r="J104" i="34"/>
  <c r="L104" i="34" s="1"/>
  <c r="J105" i="34"/>
  <c r="J111" i="34"/>
  <c r="J114" i="34"/>
  <c r="J116" i="34"/>
  <c r="L116" i="34" s="1"/>
  <c r="J118" i="34"/>
  <c r="L118" i="34" s="1"/>
  <c r="J125" i="34"/>
  <c r="J128" i="34"/>
  <c r="L128" i="34" s="1"/>
  <c r="J129" i="34"/>
  <c r="J130" i="34"/>
  <c r="L130" i="34" s="1"/>
  <c r="J132" i="34"/>
  <c r="L132" i="34" s="1"/>
  <c r="J139" i="34"/>
  <c r="J142" i="34"/>
  <c r="L142" i="34" s="1"/>
  <c r="J144" i="34"/>
  <c r="J146" i="34"/>
  <c r="L146" i="34" s="1"/>
  <c r="J147" i="34"/>
  <c r="J152" i="34"/>
  <c r="J153" i="34"/>
  <c r="J156" i="34"/>
  <c r="L156" i="34" s="1"/>
  <c r="J157" i="34"/>
  <c r="J160" i="34"/>
  <c r="L160" i="34" s="1"/>
  <c r="J170" i="34"/>
  <c r="J174" i="34"/>
  <c r="L174" i="34" s="1"/>
  <c r="J185" i="34"/>
  <c r="J186" i="34"/>
  <c r="L186" i="34" s="1"/>
  <c r="J188" i="34"/>
  <c r="L188" i="34" s="1"/>
  <c r="J194" i="34"/>
  <c r="J198" i="34"/>
  <c r="L198" i="34" s="1"/>
  <c r="J199" i="34"/>
  <c r="J202" i="34"/>
  <c r="L202" i="34" s="1"/>
  <c r="J216" i="34"/>
  <c r="L216" i="34" s="1"/>
  <c r="J217" i="34"/>
  <c r="L217" i="34" s="1"/>
  <c r="J230" i="34"/>
  <c r="J236" i="34"/>
  <c r="J241" i="34"/>
  <c r="J254" i="34"/>
  <c r="L254" i="34" s="1"/>
  <c r="J256" i="34"/>
  <c r="L256" i="34" s="1"/>
  <c r="K2" i="34"/>
  <c r="K3" i="34"/>
  <c r="N3" i="34" s="1"/>
  <c r="O3" i="34" s="1"/>
  <c r="K4" i="34"/>
  <c r="K5" i="34"/>
  <c r="M5" i="34" s="1"/>
  <c r="K6" i="34"/>
  <c r="K7" i="34"/>
  <c r="M7" i="34" s="1"/>
  <c r="K8" i="34"/>
  <c r="M8" i="34" s="1"/>
  <c r="K9" i="34"/>
  <c r="M9" i="34" s="1"/>
  <c r="K10" i="34"/>
  <c r="K11" i="34"/>
  <c r="K12" i="34"/>
  <c r="M12" i="34" s="1"/>
  <c r="K13" i="34"/>
  <c r="K14" i="34"/>
  <c r="K15" i="34"/>
  <c r="M15" i="34" s="1"/>
  <c r="K16" i="34"/>
  <c r="K17" i="34"/>
  <c r="N17" i="34" s="1"/>
  <c r="O17" i="34" s="1"/>
  <c r="K18" i="34"/>
  <c r="K19" i="34"/>
  <c r="M19" i="34" s="1"/>
  <c r="K20" i="34"/>
  <c r="K21" i="34"/>
  <c r="K22" i="34"/>
  <c r="K23" i="34"/>
  <c r="M23" i="34" s="1"/>
  <c r="K24" i="34"/>
  <c r="K25" i="34"/>
  <c r="K26" i="34"/>
  <c r="K27" i="34"/>
  <c r="K28" i="34"/>
  <c r="K29" i="34"/>
  <c r="N29" i="34" s="1"/>
  <c r="O29" i="34" s="1"/>
  <c r="K30" i="34"/>
  <c r="K31" i="34"/>
  <c r="N31" i="34" s="1"/>
  <c r="O31" i="34" s="1"/>
  <c r="K32" i="34"/>
  <c r="K33" i="34"/>
  <c r="M33" i="34" s="1"/>
  <c r="K34" i="34"/>
  <c r="K35" i="34"/>
  <c r="M35" i="34" s="1"/>
  <c r="K36" i="34"/>
  <c r="M36" i="34" s="1"/>
  <c r="K37" i="34"/>
  <c r="M37" i="34" s="1"/>
  <c r="K38" i="34"/>
  <c r="K39" i="34"/>
  <c r="K40" i="34"/>
  <c r="K41" i="34"/>
  <c r="K42" i="34"/>
  <c r="K43" i="34"/>
  <c r="N43" i="34" s="1"/>
  <c r="O43" i="34" s="1"/>
  <c r="K44" i="34"/>
  <c r="K45" i="34"/>
  <c r="M45" i="34" s="1"/>
  <c r="K46" i="34"/>
  <c r="K47" i="34"/>
  <c r="M47" i="34" s="1"/>
  <c r="K48" i="34"/>
  <c r="K49" i="34"/>
  <c r="K50" i="34"/>
  <c r="N50" i="34" s="1"/>
  <c r="O50" i="34" s="1"/>
  <c r="K51" i="34"/>
  <c r="M51" i="34" s="1"/>
  <c r="K52" i="34"/>
  <c r="K53" i="34"/>
  <c r="K54" i="34"/>
  <c r="K55" i="34"/>
  <c r="K56" i="34"/>
  <c r="K57" i="34"/>
  <c r="N57" i="34" s="1"/>
  <c r="O57" i="34" s="1"/>
  <c r="K58" i="34"/>
  <c r="K59" i="34"/>
  <c r="M59" i="34" s="1"/>
  <c r="K60" i="34"/>
  <c r="K61" i="34"/>
  <c r="M61" i="34" s="1"/>
  <c r="K62" i="34"/>
  <c r="K63" i="34"/>
  <c r="K64" i="34"/>
  <c r="N64" i="34" s="1"/>
  <c r="O64" i="34" s="1"/>
  <c r="K65" i="34"/>
  <c r="K66" i="34"/>
  <c r="K67" i="34"/>
  <c r="K68" i="34"/>
  <c r="M68" i="34" s="1"/>
  <c r="K69" i="34"/>
  <c r="L69" i="34" s="1"/>
  <c r="K70" i="34"/>
  <c r="K71" i="34"/>
  <c r="M71" i="34" s="1"/>
  <c r="K72" i="34"/>
  <c r="K73" i="34"/>
  <c r="M73" i="34" s="1"/>
  <c r="K74" i="34"/>
  <c r="K75" i="34"/>
  <c r="M75" i="34" s="1"/>
  <c r="K76" i="34"/>
  <c r="K77" i="34"/>
  <c r="K78" i="34"/>
  <c r="K79" i="34"/>
  <c r="M79" i="34" s="1"/>
  <c r="K80" i="34"/>
  <c r="K81" i="34"/>
  <c r="K82" i="34"/>
  <c r="K83" i="34"/>
  <c r="K84" i="34"/>
  <c r="K85" i="34"/>
  <c r="K86" i="34"/>
  <c r="K87" i="34"/>
  <c r="M87" i="34" s="1"/>
  <c r="K88" i="34"/>
  <c r="K89" i="34"/>
  <c r="M89" i="34" s="1"/>
  <c r="K90" i="34"/>
  <c r="K91" i="34"/>
  <c r="M91" i="34" s="1"/>
  <c r="K92" i="34"/>
  <c r="M92" i="34" s="1"/>
  <c r="K93" i="34"/>
  <c r="M93" i="34" s="1"/>
  <c r="K94" i="34"/>
  <c r="K95" i="34"/>
  <c r="K96" i="34"/>
  <c r="K97" i="34"/>
  <c r="L97" i="34" s="1"/>
  <c r="K98" i="34"/>
  <c r="K99" i="34"/>
  <c r="K100" i="34"/>
  <c r="K101" i="34"/>
  <c r="K102" i="34"/>
  <c r="K103" i="34"/>
  <c r="M103" i="34" s="1"/>
  <c r="K104" i="34"/>
  <c r="K105" i="34"/>
  <c r="K106" i="34"/>
  <c r="M106" i="34" s="1"/>
  <c r="K107" i="34"/>
  <c r="M107" i="34" s="1"/>
  <c r="K108" i="34"/>
  <c r="K109" i="34"/>
  <c r="M109" i="34" s="1"/>
  <c r="K110" i="34"/>
  <c r="M110" i="34" s="1"/>
  <c r="K111" i="34"/>
  <c r="K112" i="34"/>
  <c r="K113" i="34"/>
  <c r="M113" i="34" s="1"/>
  <c r="K114" i="34"/>
  <c r="K115" i="34"/>
  <c r="K116" i="34"/>
  <c r="K117" i="34"/>
  <c r="M117" i="34" s="1"/>
  <c r="K118" i="34"/>
  <c r="K119" i="34"/>
  <c r="M119" i="34" s="1"/>
  <c r="K120" i="34"/>
  <c r="K121" i="34"/>
  <c r="M121" i="34" s="1"/>
  <c r="K122" i="34"/>
  <c r="K123" i="34"/>
  <c r="K124" i="34"/>
  <c r="K125" i="34"/>
  <c r="K126" i="34"/>
  <c r="K127" i="34"/>
  <c r="M127" i="34" s="1"/>
  <c r="K128" i="34"/>
  <c r="K129" i="34"/>
  <c r="M129" i="34" s="1"/>
  <c r="K130" i="34"/>
  <c r="K131" i="34"/>
  <c r="M131" i="34" s="1"/>
  <c r="K132" i="34"/>
  <c r="K133" i="34"/>
  <c r="K134" i="34"/>
  <c r="K135" i="34"/>
  <c r="M135" i="34" s="1"/>
  <c r="K136" i="34"/>
  <c r="K137" i="34"/>
  <c r="K138" i="34"/>
  <c r="M138" i="34" s="1"/>
  <c r="K139" i="34"/>
  <c r="L139" i="34" s="1"/>
  <c r="K140" i="34"/>
  <c r="K141" i="34"/>
  <c r="K142" i="34"/>
  <c r="K143" i="34"/>
  <c r="M143" i="34" s="1"/>
  <c r="K144" i="34"/>
  <c r="K145" i="34"/>
  <c r="M145" i="34" s="1"/>
  <c r="K146" i="34"/>
  <c r="K147" i="34"/>
  <c r="M147" i="34" s="1"/>
  <c r="K148" i="34"/>
  <c r="M148" i="34" s="1"/>
  <c r="K149" i="34"/>
  <c r="M149" i="34" s="1"/>
  <c r="K150" i="34"/>
  <c r="M150" i="34" s="1"/>
  <c r="K151" i="34"/>
  <c r="K152" i="34"/>
  <c r="M152" i="34" s="1"/>
  <c r="K153" i="34"/>
  <c r="K154" i="34"/>
  <c r="K155" i="34"/>
  <c r="N155" i="34" s="1"/>
  <c r="O155" i="34" s="1"/>
  <c r="K156" i="34"/>
  <c r="K157" i="34"/>
  <c r="M157" i="34" s="1"/>
  <c r="K158" i="34"/>
  <c r="K159" i="34"/>
  <c r="M159" i="34" s="1"/>
  <c r="K160" i="34"/>
  <c r="K161" i="34"/>
  <c r="M161" i="34" s="1"/>
  <c r="K162" i="34"/>
  <c r="K163" i="34"/>
  <c r="K164" i="34"/>
  <c r="K165" i="34"/>
  <c r="K166" i="34"/>
  <c r="M166" i="34" s="1"/>
  <c r="K167" i="34"/>
  <c r="M167" i="34" s="1"/>
  <c r="K168" i="34"/>
  <c r="K169" i="34"/>
  <c r="M169" i="34" s="1"/>
  <c r="K170" i="34"/>
  <c r="M170" i="34" s="1"/>
  <c r="K171" i="34"/>
  <c r="M171" i="34" s="1"/>
  <c r="K172" i="34"/>
  <c r="K173" i="34"/>
  <c r="M173" i="34" s="1"/>
  <c r="K174" i="34"/>
  <c r="K175" i="34"/>
  <c r="K176" i="34"/>
  <c r="K177" i="34"/>
  <c r="M177" i="34" s="1"/>
  <c r="K178" i="34"/>
  <c r="K179" i="34"/>
  <c r="K180" i="34"/>
  <c r="K181" i="34"/>
  <c r="M181" i="34" s="1"/>
  <c r="K182" i="34"/>
  <c r="K183" i="34"/>
  <c r="N183" i="34" s="1"/>
  <c r="O183" i="34" s="1"/>
  <c r="K184" i="34"/>
  <c r="K185" i="34"/>
  <c r="M185" i="34" s="1"/>
  <c r="K186" i="34"/>
  <c r="K187" i="34"/>
  <c r="M187" i="34" s="1"/>
  <c r="K188" i="34"/>
  <c r="K189" i="34"/>
  <c r="K190" i="34"/>
  <c r="M190" i="34" s="1"/>
  <c r="K191" i="34"/>
  <c r="M191" i="34" s="1"/>
  <c r="K192" i="34"/>
  <c r="K193" i="34"/>
  <c r="K194" i="34"/>
  <c r="K195" i="34"/>
  <c r="N195" i="34" s="1"/>
  <c r="O195" i="34" s="1"/>
  <c r="K196" i="34"/>
  <c r="K197" i="34"/>
  <c r="N197" i="34" s="1"/>
  <c r="O197" i="34" s="1"/>
  <c r="K198" i="34"/>
  <c r="N198" i="34" s="1"/>
  <c r="O198" i="34" s="1"/>
  <c r="K199" i="34"/>
  <c r="K200" i="34"/>
  <c r="K201" i="34"/>
  <c r="M201" i="34" s="1"/>
  <c r="K202" i="34"/>
  <c r="K203" i="34"/>
  <c r="K204" i="34"/>
  <c r="K205" i="34"/>
  <c r="M205" i="34" s="1"/>
  <c r="K206" i="34"/>
  <c r="K207" i="34"/>
  <c r="K208" i="34"/>
  <c r="M208" i="34" s="1"/>
  <c r="K209" i="34"/>
  <c r="N209" i="34" s="1"/>
  <c r="O209" i="34" s="1"/>
  <c r="K210" i="34"/>
  <c r="K211" i="34"/>
  <c r="M211" i="34" s="1"/>
  <c r="K212" i="34"/>
  <c r="M212" i="34" s="1"/>
  <c r="K213" i="34"/>
  <c r="M213" i="34" s="1"/>
  <c r="K214" i="34"/>
  <c r="K215" i="34"/>
  <c r="M215" i="34" s="1"/>
  <c r="K216" i="34"/>
  <c r="K217" i="34"/>
  <c r="K218" i="34"/>
  <c r="M218" i="34" s="1"/>
  <c r="K219" i="34"/>
  <c r="M219" i="34" s="1"/>
  <c r="K220" i="34"/>
  <c r="M220" i="34" s="1"/>
  <c r="K221" i="34"/>
  <c r="K222" i="34"/>
  <c r="K223" i="34"/>
  <c r="N223" i="34" s="1"/>
  <c r="O223" i="34" s="1"/>
  <c r="K224" i="34"/>
  <c r="K225" i="34"/>
  <c r="K226" i="34"/>
  <c r="N226" i="34" s="1"/>
  <c r="O226" i="34" s="1"/>
  <c r="K227" i="34"/>
  <c r="M227" i="34" s="1"/>
  <c r="K228" i="34"/>
  <c r="K229" i="34"/>
  <c r="M229" i="34" s="1"/>
  <c r="K230" i="34"/>
  <c r="K231" i="34"/>
  <c r="K232" i="34"/>
  <c r="M232" i="34" s="1"/>
  <c r="K233" i="34"/>
  <c r="M233" i="34" s="1"/>
  <c r="K234" i="34"/>
  <c r="M234" i="34" s="1"/>
  <c r="K235" i="34"/>
  <c r="K236" i="34"/>
  <c r="M236" i="34" s="1"/>
  <c r="K237" i="34"/>
  <c r="M237" i="34" s="1"/>
  <c r="K238" i="34"/>
  <c r="K239" i="34"/>
  <c r="M239" i="34" s="1"/>
  <c r="K240" i="34"/>
  <c r="K241" i="34"/>
  <c r="M241" i="34" s="1"/>
  <c r="K242" i="34"/>
  <c r="K243" i="34"/>
  <c r="M243" i="34" s="1"/>
  <c r="K244" i="34"/>
  <c r="K245" i="34"/>
  <c r="K246" i="34"/>
  <c r="M246" i="34" s="1"/>
  <c r="K247" i="34"/>
  <c r="K248" i="34"/>
  <c r="M248" i="34" s="1"/>
  <c r="K249" i="34"/>
  <c r="K250" i="34"/>
  <c r="M250" i="34" s="1"/>
  <c r="K251" i="34"/>
  <c r="N251" i="34" s="1"/>
  <c r="O251" i="34" s="1"/>
  <c r="K252" i="34"/>
  <c r="K253" i="34"/>
  <c r="M253" i="34" s="1"/>
  <c r="K254" i="34"/>
  <c r="K255" i="34"/>
  <c r="K256" i="34"/>
  <c r="K257" i="34"/>
  <c r="M257" i="34" s="1"/>
  <c r="K258" i="34"/>
  <c r="N258" i="34" s="1"/>
  <c r="O258" i="34" s="1"/>
  <c r="L20" i="34"/>
  <c r="L44" i="34"/>
  <c r="L71" i="34"/>
  <c r="L92" i="34"/>
  <c r="L100" i="34"/>
  <c r="L114" i="34"/>
  <c r="L144" i="34"/>
  <c r="L170" i="34"/>
  <c r="M2" i="34"/>
  <c r="M3" i="34"/>
  <c r="M4" i="34"/>
  <c r="M6" i="34"/>
  <c r="M10" i="34"/>
  <c r="M11" i="34"/>
  <c r="M16" i="34"/>
  <c r="M17" i="34"/>
  <c r="M18" i="34"/>
  <c r="M20" i="34"/>
  <c r="M21" i="34"/>
  <c r="M22" i="34"/>
  <c r="M24" i="34"/>
  <c r="M25" i="34"/>
  <c r="M30" i="34"/>
  <c r="M32" i="34"/>
  <c r="M34" i="34"/>
  <c r="M38" i="34"/>
  <c r="M39" i="34"/>
  <c r="M44" i="34"/>
  <c r="M46" i="34"/>
  <c r="M48" i="34"/>
  <c r="M52" i="34"/>
  <c r="M53" i="34"/>
  <c r="M58" i="34"/>
  <c r="M60" i="34"/>
  <c r="M62" i="34"/>
  <c r="M63" i="34"/>
  <c r="M65" i="34"/>
  <c r="M66" i="34"/>
  <c r="M67" i="34"/>
  <c r="M72" i="34"/>
  <c r="M74" i="34"/>
  <c r="M76" i="34"/>
  <c r="M80" i="34"/>
  <c r="M81" i="34"/>
  <c r="M86" i="34"/>
  <c r="M88" i="34"/>
  <c r="M90" i="34"/>
  <c r="M94" i="34"/>
  <c r="M95" i="34"/>
  <c r="M100" i="34"/>
  <c r="M102" i="34"/>
  <c r="M104" i="34"/>
  <c r="M105" i="34"/>
  <c r="M108" i="34"/>
  <c r="M114" i="34"/>
  <c r="M115" i="34"/>
  <c r="M116" i="34"/>
  <c r="M118" i="34"/>
  <c r="M120" i="34"/>
  <c r="M122" i="34"/>
  <c r="M123" i="34"/>
  <c r="M124" i="34"/>
  <c r="M128" i="34"/>
  <c r="M130" i="34"/>
  <c r="M132" i="34"/>
  <c r="M133" i="34"/>
  <c r="M134" i="34"/>
  <c r="M136" i="34"/>
  <c r="M137" i="34"/>
  <c r="M142" i="34"/>
  <c r="M144" i="34"/>
  <c r="M146" i="34"/>
  <c r="M151" i="34"/>
  <c r="M156" i="34"/>
  <c r="M158" i="34"/>
  <c r="M160" i="34"/>
  <c r="M162" i="34"/>
  <c r="M163" i="34"/>
  <c r="M164" i="34"/>
  <c r="M165" i="34"/>
  <c r="M172" i="34"/>
  <c r="M174" i="34"/>
  <c r="M175" i="34"/>
  <c r="M176" i="34"/>
  <c r="M178" i="34"/>
  <c r="M179" i="34"/>
  <c r="M184" i="34"/>
  <c r="M186" i="34"/>
  <c r="M188" i="34"/>
  <c r="M192" i="34"/>
  <c r="M198" i="34"/>
  <c r="M200" i="34"/>
  <c r="M202" i="34"/>
  <c r="M203" i="34"/>
  <c r="M204" i="34"/>
  <c r="M206" i="34"/>
  <c r="M207" i="34"/>
  <c r="M214" i="34"/>
  <c r="M216" i="34"/>
  <c r="M221" i="34"/>
  <c r="M226" i="34"/>
  <c r="M228" i="34"/>
  <c r="M230" i="34"/>
  <c r="M231" i="34"/>
  <c r="M235" i="34"/>
  <c r="M240" i="34"/>
  <c r="M242" i="34"/>
  <c r="M244" i="34"/>
  <c r="M247" i="34"/>
  <c r="M249" i="34"/>
  <c r="M254" i="34"/>
  <c r="M255" i="34"/>
  <c r="M256" i="34"/>
  <c r="M258" i="34"/>
  <c r="N2" i="34"/>
  <c r="O2" i="34" s="1"/>
  <c r="N4" i="34"/>
  <c r="O4" i="34" s="1"/>
  <c r="N6" i="34"/>
  <c r="O6" i="34" s="1"/>
  <c r="N16" i="34"/>
  <c r="O16" i="34" s="1"/>
  <c r="N18" i="34"/>
  <c r="O18" i="34" s="1"/>
  <c r="N20" i="34"/>
  <c r="O20" i="34" s="1"/>
  <c r="N21" i="34"/>
  <c r="O21" i="34" s="1"/>
  <c r="N22" i="34"/>
  <c r="O22" i="34" s="1"/>
  <c r="N25" i="34"/>
  <c r="O25" i="34" s="1"/>
  <c r="N30" i="34"/>
  <c r="O30" i="34" s="1"/>
  <c r="N32" i="34"/>
  <c r="O32" i="34" s="1"/>
  <c r="N34" i="34"/>
  <c r="O34" i="34" s="1"/>
  <c r="N36" i="34"/>
  <c r="O36" i="34" s="1"/>
  <c r="N44" i="34"/>
  <c r="O44" i="34" s="1"/>
  <c r="N46" i="34"/>
  <c r="O46" i="34" s="1"/>
  <c r="N48" i="34"/>
  <c r="O48" i="34" s="1"/>
  <c r="N58" i="34"/>
  <c r="O58" i="34" s="1"/>
  <c r="N60" i="34"/>
  <c r="O60" i="34" s="1"/>
  <c r="N62" i="34"/>
  <c r="O62" i="34" s="1"/>
  <c r="N72" i="34"/>
  <c r="O72" i="34" s="1"/>
  <c r="N74" i="34"/>
  <c r="O74" i="34" s="1"/>
  <c r="N76" i="34"/>
  <c r="O76" i="34" s="1"/>
  <c r="N83" i="34"/>
  <c r="O83" i="34" s="1"/>
  <c r="N86" i="34"/>
  <c r="O86" i="34" s="1"/>
  <c r="N88" i="34"/>
  <c r="O88" i="34" s="1"/>
  <c r="N90" i="34"/>
  <c r="O90" i="34" s="1"/>
  <c r="N100" i="34"/>
  <c r="O100" i="34" s="1"/>
  <c r="N102" i="34"/>
  <c r="O102" i="34" s="1"/>
  <c r="N104" i="34"/>
  <c r="O104" i="34" s="1"/>
  <c r="N114" i="34"/>
  <c r="O114" i="34" s="1"/>
  <c r="N116" i="34"/>
  <c r="O116" i="34" s="1"/>
  <c r="N118" i="34"/>
  <c r="O118" i="34" s="1"/>
  <c r="N128" i="34"/>
  <c r="O128" i="34" s="1"/>
  <c r="N130" i="34"/>
  <c r="O130" i="34" s="1"/>
  <c r="N132" i="34"/>
  <c r="O132" i="34" s="1"/>
  <c r="N142" i="34"/>
  <c r="O142" i="34" s="1"/>
  <c r="N144" i="34"/>
  <c r="O144" i="34" s="1"/>
  <c r="N146" i="34"/>
  <c r="O146" i="34" s="1"/>
  <c r="N156" i="34"/>
  <c r="O156" i="34" s="1"/>
  <c r="N158" i="34"/>
  <c r="O158" i="34" s="1"/>
  <c r="N160" i="34"/>
  <c r="O160" i="34" s="1"/>
  <c r="N162" i="34"/>
  <c r="O162" i="34" s="1"/>
  <c r="N170" i="34"/>
  <c r="O170" i="34" s="1"/>
  <c r="N172" i="34"/>
  <c r="O172" i="34" s="1"/>
  <c r="N174" i="34"/>
  <c r="O174" i="34" s="1"/>
  <c r="N186" i="34"/>
  <c r="O186" i="34" s="1"/>
  <c r="N188" i="34"/>
  <c r="O188" i="34" s="1"/>
  <c r="N200" i="34"/>
  <c r="O200" i="34" s="1"/>
  <c r="N202" i="34"/>
  <c r="O202" i="34" s="1"/>
  <c r="N214" i="34"/>
  <c r="O214" i="34" s="1"/>
  <c r="N216" i="34"/>
  <c r="O216" i="34" s="1"/>
  <c r="N228" i="34"/>
  <c r="O228" i="34" s="1"/>
  <c r="N230" i="34"/>
  <c r="O230" i="34" s="1"/>
  <c r="N256" i="34"/>
  <c r="O256" i="34" s="1"/>
  <c r="P86" i="34"/>
  <c r="Q86" i="34" s="1"/>
  <c r="P170" i="34"/>
  <c r="P218" i="34"/>
  <c r="R218" i="34" s="1"/>
  <c r="J143" i="10"/>
  <c r="J100" i="10"/>
  <c r="J236" i="10"/>
  <c r="J123" i="10"/>
  <c r="J141" i="10"/>
  <c r="J108" i="10"/>
  <c r="J142" i="10"/>
  <c r="J93" i="10"/>
  <c r="J138" i="10"/>
  <c r="J2" i="10"/>
  <c r="J230" i="10"/>
  <c r="J3" i="10"/>
  <c r="J118" i="10"/>
  <c r="J112" i="10"/>
  <c r="J217" i="10"/>
  <c r="J137" i="10"/>
  <c r="J146" i="10"/>
  <c r="J119" i="10"/>
  <c r="J4" i="10"/>
  <c r="J248" i="10"/>
  <c r="J181" i="10"/>
  <c r="J5" i="10"/>
  <c r="J6" i="10"/>
  <c r="J194" i="10"/>
  <c r="J95" i="10"/>
  <c r="J7" i="10"/>
  <c r="J8" i="10"/>
  <c r="J167" i="10"/>
  <c r="J190" i="10"/>
  <c r="J227" i="10"/>
  <c r="J133" i="10"/>
  <c r="J103" i="10"/>
  <c r="J9" i="10"/>
  <c r="J10" i="10"/>
  <c r="J11" i="10"/>
  <c r="J201" i="10"/>
  <c r="J224" i="10"/>
  <c r="J12" i="10"/>
  <c r="J251" i="10"/>
  <c r="J13" i="10"/>
  <c r="J14" i="10"/>
  <c r="J15" i="10"/>
  <c r="J134" i="10"/>
  <c r="J110" i="10"/>
  <c r="J89" i="10"/>
  <c r="J16" i="10"/>
  <c r="J165" i="10"/>
  <c r="J17" i="10"/>
  <c r="J18" i="10"/>
  <c r="J121" i="10"/>
  <c r="J19" i="10"/>
  <c r="J241" i="10"/>
  <c r="J20" i="10"/>
  <c r="J21" i="10"/>
  <c r="J22" i="10"/>
  <c r="J23" i="10"/>
  <c r="J24" i="10"/>
  <c r="J25" i="10"/>
  <c r="J247" i="10"/>
  <c r="J223" i="10"/>
  <c r="J128" i="10"/>
  <c r="J129" i="10"/>
  <c r="J253" i="10"/>
  <c r="J26" i="10"/>
  <c r="J27" i="10"/>
  <c r="J28" i="10"/>
  <c r="J29" i="10"/>
  <c r="J30" i="10"/>
  <c r="J31" i="10"/>
  <c r="J32" i="10"/>
  <c r="J85" i="10"/>
  <c r="J218" i="10"/>
  <c r="J214" i="10"/>
  <c r="J200" i="10"/>
  <c r="J131" i="10"/>
  <c r="J104" i="10"/>
  <c r="J130" i="10"/>
  <c r="J147" i="10"/>
  <c r="J124" i="10"/>
  <c r="J219" i="10"/>
  <c r="J33" i="10"/>
  <c r="J34" i="10"/>
  <c r="J35" i="10"/>
  <c r="J36" i="10"/>
  <c r="J249" i="10"/>
  <c r="J37" i="10"/>
  <c r="J180" i="10"/>
  <c r="J38" i="10"/>
  <c r="J39" i="10"/>
  <c r="J135" i="10"/>
  <c r="J40" i="10"/>
  <c r="J41" i="10"/>
  <c r="J88" i="10"/>
  <c r="J221" i="10"/>
  <c r="J122" i="10"/>
  <c r="J42" i="10"/>
  <c r="J43" i="10"/>
  <c r="J44" i="10"/>
  <c r="J169" i="10"/>
  <c r="J163" i="10"/>
  <c r="J45" i="10"/>
  <c r="J107" i="10"/>
  <c r="J252" i="10"/>
  <c r="J46" i="10"/>
  <c r="J47" i="10"/>
  <c r="J101" i="10"/>
  <c r="J192" i="10"/>
  <c r="J48" i="10"/>
  <c r="J149" i="10"/>
  <c r="J127" i="10"/>
  <c r="J49" i="10"/>
  <c r="J229" i="10"/>
  <c r="J239" i="10"/>
  <c r="J144" i="10"/>
  <c r="J150" i="10"/>
  <c r="J139" i="10"/>
  <c r="J116" i="10"/>
  <c r="J151" i="10"/>
  <c r="J195" i="10"/>
  <c r="J193" i="10"/>
  <c r="J50" i="10"/>
  <c r="J177" i="10"/>
  <c r="J51" i="10"/>
  <c r="J52" i="10"/>
  <c r="J170" i="10"/>
  <c r="J53" i="10"/>
  <c r="J54" i="10"/>
  <c r="J182" i="10"/>
  <c r="J55" i="10"/>
  <c r="J196" i="10"/>
  <c r="J158" i="10"/>
  <c r="J197" i="10"/>
  <c r="J117" i="10"/>
  <c r="J120" i="10"/>
  <c r="J148" i="10"/>
  <c r="J164" i="10"/>
  <c r="J157" i="10"/>
  <c r="J56" i="10"/>
  <c r="J97" i="10"/>
  <c r="J57" i="10"/>
  <c r="J87" i="10"/>
  <c r="J92" i="10"/>
  <c r="J161" i="10"/>
  <c r="J125" i="10"/>
  <c r="J250" i="10"/>
  <c r="J109" i="10"/>
  <c r="J86" i="10"/>
  <c r="J189" i="10"/>
  <c r="J155" i="10"/>
  <c r="J166" i="10"/>
  <c r="J126" i="10"/>
  <c r="J115" i="10"/>
  <c r="J58" i="10"/>
  <c r="J152" i="10"/>
  <c r="J243" i="10"/>
  <c r="J162" i="10"/>
  <c r="J113" i="10"/>
  <c r="J240" i="10"/>
  <c r="J159" i="10"/>
  <c r="J231" i="10"/>
  <c r="J232" i="10"/>
  <c r="J90" i="10"/>
  <c r="J136" i="10"/>
  <c r="J114" i="10"/>
  <c r="J145" i="10"/>
  <c r="J91" i="10"/>
  <c r="J168" i="10"/>
  <c r="J220" i="10"/>
  <c r="J254" i="10"/>
  <c r="J156" i="10"/>
  <c r="J59" i="10"/>
  <c r="J60" i="10"/>
  <c r="J61" i="10"/>
  <c r="J255" i="10"/>
  <c r="J256" i="10"/>
  <c r="J94" i="10"/>
  <c r="J257" i="10"/>
  <c r="J62" i="10"/>
  <c r="J63" i="10"/>
  <c r="J171" i="10"/>
  <c r="J172" i="10"/>
  <c r="J173" i="10"/>
  <c r="J258" i="10"/>
  <c r="J64" i="10"/>
  <c r="J106" i="10"/>
  <c r="J65" i="10"/>
  <c r="J66" i="10"/>
  <c r="J259" i="10"/>
  <c r="J225" i="10"/>
  <c r="J99" i="10"/>
  <c r="J244" i="10"/>
  <c r="J226" i="10"/>
  <c r="J216" i="10"/>
  <c r="J198" i="10"/>
  <c r="J202" i="10"/>
  <c r="J203" i="10"/>
  <c r="J204" i="10"/>
  <c r="J245" i="10"/>
  <c r="J205" i="10"/>
  <c r="J206" i="10"/>
  <c r="J207" i="10"/>
  <c r="J215" i="10"/>
  <c r="J175" i="10"/>
  <c r="J208" i="10"/>
  <c r="J183" i="10"/>
  <c r="J209" i="10"/>
  <c r="J184" i="10"/>
  <c r="J179" i="10"/>
  <c r="J210" i="10"/>
  <c r="J211" i="10"/>
  <c r="J260" i="10"/>
  <c r="J199" i="10"/>
  <c r="J261" i="10"/>
  <c r="J262" i="10"/>
  <c r="J98" i="10"/>
  <c r="J96" i="10"/>
  <c r="J178" i="10"/>
  <c r="J213" i="10"/>
  <c r="J140" i="10"/>
  <c r="J246" i="10"/>
  <c r="J263" i="10"/>
  <c r="J237" i="10"/>
  <c r="J228" i="10"/>
  <c r="J102" i="10"/>
  <c r="J132" i="10"/>
  <c r="J67" i="10"/>
  <c r="J212" i="10"/>
  <c r="J242" i="10"/>
  <c r="J153" i="10"/>
  <c r="J154" i="10"/>
  <c r="J264" i="10"/>
  <c r="J233" i="10"/>
  <c r="J187" i="10"/>
  <c r="J188" i="10"/>
  <c r="J174" i="10"/>
  <c r="J186" i="10"/>
  <c r="J185" i="10"/>
  <c r="J111" i="10"/>
  <c r="J160" i="10"/>
  <c r="J105" i="10"/>
  <c r="J265" i="10"/>
  <c r="J266" i="10"/>
  <c r="J176" i="10"/>
  <c r="J238" i="10"/>
  <c r="J222" i="10"/>
  <c r="J191" i="10"/>
  <c r="J267" i="10"/>
  <c r="J235" i="10"/>
  <c r="J268" i="10"/>
  <c r="J269" i="10"/>
  <c r="J270" i="10"/>
  <c r="J271" i="10"/>
  <c r="J68" i="10"/>
  <c r="J69" i="10"/>
  <c r="J234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272" i="10"/>
  <c r="J83" i="10"/>
  <c r="J273" i="10"/>
  <c r="J84" i="10"/>
  <c r="J274" i="10"/>
  <c r="K143" i="10"/>
  <c r="K100" i="10"/>
  <c r="K236" i="10"/>
  <c r="K123" i="10"/>
  <c r="K141" i="10"/>
  <c r="K108" i="10"/>
  <c r="K142" i="10"/>
  <c r="K93" i="10"/>
  <c r="K138" i="10"/>
  <c r="K2" i="10"/>
  <c r="K230" i="10"/>
  <c r="K3" i="10"/>
  <c r="K118" i="10"/>
  <c r="K112" i="10"/>
  <c r="K217" i="10"/>
  <c r="K137" i="10"/>
  <c r="K146" i="10"/>
  <c r="K119" i="10"/>
  <c r="K4" i="10"/>
  <c r="AC23" i="20" s="1"/>
  <c r="K248" i="10"/>
  <c r="K181" i="10"/>
  <c r="K5" i="10"/>
  <c r="AC26" i="20" s="1"/>
  <c r="K6" i="10"/>
  <c r="AC27" i="20" s="1"/>
  <c r="K194" i="10"/>
  <c r="K95" i="10"/>
  <c r="K7" i="10"/>
  <c r="AC30" i="20" s="1"/>
  <c r="K8" i="10"/>
  <c r="K167" i="10"/>
  <c r="K190" i="10"/>
  <c r="K227" i="10"/>
  <c r="K133" i="10"/>
  <c r="K103" i="10"/>
  <c r="K9" i="10"/>
  <c r="AC37" i="20" s="1"/>
  <c r="K10" i="10"/>
  <c r="AC38" i="20" s="1"/>
  <c r="K11" i="10"/>
  <c r="AC39" i="20" s="1"/>
  <c r="K201" i="10"/>
  <c r="AC2114" i="20" s="1"/>
  <c r="K224" i="10"/>
  <c r="K12" i="10"/>
  <c r="K251" i="10"/>
  <c r="AC43" i="20" s="1"/>
  <c r="K13" i="10"/>
  <c r="AC44" i="20" s="1"/>
  <c r="K14" i="10"/>
  <c r="AC45" i="20" s="1"/>
  <c r="K15" i="10"/>
  <c r="AC46" i="20" s="1"/>
  <c r="K134" i="10"/>
  <c r="K110" i="10"/>
  <c r="K89" i="10"/>
  <c r="K16" i="10"/>
  <c r="K165" i="10"/>
  <c r="K17" i="10"/>
  <c r="K18" i="10"/>
  <c r="K121" i="10"/>
  <c r="AC2279" i="20" s="1"/>
  <c r="K19" i="10"/>
  <c r="AC55" i="20" s="1"/>
  <c r="K241" i="10"/>
  <c r="K20" i="10"/>
  <c r="K21" i="10"/>
  <c r="AC60" i="20" s="1"/>
  <c r="K22" i="10"/>
  <c r="K23" i="10"/>
  <c r="K24" i="10"/>
  <c r="AC66" i="20" s="1"/>
  <c r="K25" i="10"/>
  <c r="K247" i="10"/>
  <c r="AC68" i="20" s="1"/>
  <c r="K223" i="10"/>
  <c r="K128" i="10"/>
  <c r="K129" i="10"/>
  <c r="K253" i="10"/>
  <c r="AC72" i="20" s="1"/>
  <c r="K26" i="10"/>
  <c r="AC73" i="20" s="1"/>
  <c r="K27" i="10"/>
  <c r="AC74" i="20" s="1"/>
  <c r="K28" i="10"/>
  <c r="AC75" i="20" s="1"/>
  <c r="K29" i="10"/>
  <c r="AC76" i="20" s="1"/>
  <c r="K30" i="10"/>
  <c r="AC77" i="20" s="1"/>
  <c r="K31" i="10"/>
  <c r="AC78" i="20" s="1"/>
  <c r="K32" i="10"/>
  <c r="AC79" i="20" s="1"/>
  <c r="K85" i="10"/>
  <c r="K218" i="10"/>
  <c r="K214" i="10"/>
  <c r="K200" i="10"/>
  <c r="K131" i="10"/>
  <c r="K104" i="10"/>
  <c r="K130" i="10"/>
  <c r="K147" i="10"/>
  <c r="AC2386" i="20" s="1"/>
  <c r="K124" i="10"/>
  <c r="K219" i="10"/>
  <c r="K33" i="10"/>
  <c r="AC111" i="20" s="1"/>
  <c r="K34" i="10"/>
  <c r="AC112" i="20" s="1"/>
  <c r="K35" i="10"/>
  <c r="AC113" i="20" s="1"/>
  <c r="K36" i="10"/>
  <c r="AC114" i="20" s="1"/>
  <c r="K249" i="10"/>
  <c r="AC115" i="20" s="1"/>
  <c r="K37" i="10"/>
  <c r="K180" i="10"/>
  <c r="K38" i="10"/>
  <c r="K39" i="10"/>
  <c r="AC122" i="20" s="1"/>
  <c r="K135" i="10"/>
  <c r="K40" i="10"/>
  <c r="AC124" i="20" s="1"/>
  <c r="K41" i="10"/>
  <c r="AC125" i="20" s="1"/>
  <c r="K88" i="10"/>
  <c r="K221" i="10"/>
  <c r="K122" i="10"/>
  <c r="K42" i="10"/>
  <c r="AC132" i="20" s="1"/>
  <c r="K43" i="10"/>
  <c r="K44" i="10"/>
  <c r="AC136" i="20" s="1"/>
  <c r="K169" i="10"/>
  <c r="K163" i="10"/>
  <c r="K45" i="10"/>
  <c r="AC139" i="20" s="1"/>
  <c r="K107" i="10"/>
  <c r="K252" i="10"/>
  <c r="AC155" i="20" s="1"/>
  <c r="K46" i="10"/>
  <c r="K47" i="10"/>
  <c r="AC158" i="20" s="1"/>
  <c r="K101" i="10"/>
  <c r="AC2251" i="20" s="1"/>
  <c r="K192" i="10"/>
  <c r="K48" i="10"/>
  <c r="AC171" i="20" s="1"/>
  <c r="K149" i="10"/>
  <c r="K127" i="10"/>
  <c r="K49" i="10"/>
  <c r="AC187" i="20" s="1"/>
  <c r="K229" i="10"/>
  <c r="K239" i="10"/>
  <c r="K144" i="10"/>
  <c r="K150" i="10"/>
  <c r="K139" i="10"/>
  <c r="K116" i="10"/>
  <c r="K151" i="10"/>
  <c r="K195" i="10"/>
  <c r="K193" i="10"/>
  <c r="AC1743" i="20" s="1"/>
  <c r="K50" i="10"/>
  <c r="AC259" i="20" s="1"/>
  <c r="K177" i="10"/>
  <c r="K51" i="10"/>
  <c r="K52" i="10"/>
  <c r="K170" i="10"/>
  <c r="K53" i="10"/>
  <c r="AC267" i="20" s="1"/>
  <c r="K54" i="10"/>
  <c r="AC268" i="20" s="1"/>
  <c r="K182" i="10"/>
  <c r="K55" i="10"/>
  <c r="AC270" i="20" s="1"/>
  <c r="K196" i="10"/>
  <c r="K158" i="10"/>
  <c r="K197" i="10"/>
  <c r="K117" i="10"/>
  <c r="K120" i="10"/>
  <c r="AC2293" i="20" s="1"/>
  <c r="K148" i="10"/>
  <c r="K164" i="10"/>
  <c r="K157" i="10"/>
  <c r="K56" i="10"/>
  <c r="AC295" i="20" s="1"/>
  <c r="K97" i="10"/>
  <c r="K57" i="10"/>
  <c r="K87" i="10"/>
  <c r="K92" i="10"/>
  <c r="K161" i="10"/>
  <c r="K125" i="10"/>
  <c r="K250" i="10"/>
  <c r="K109" i="10"/>
  <c r="K86" i="10"/>
  <c r="K189" i="10"/>
  <c r="AC2168" i="20" s="1"/>
  <c r="K155" i="10"/>
  <c r="K166" i="10"/>
  <c r="K126" i="10"/>
  <c r="K115" i="10"/>
  <c r="K58" i="10"/>
  <c r="AC398" i="20" s="1"/>
  <c r="K152" i="10"/>
  <c r="K243" i="10"/>
  <c r="AC406" i="20" s="1"/>
  <c r="K162" i="10"/>
  <c r="K113" i="10"/>
  <c r="K240" i="10"/>
  <c r="K159" i="10"/>
  <c r="K231" i="10"/>
  <c r="K232" i="10"/>
  <c r="K90" i="10"/>
  <c r="K136" i="10"/>
  <c r="K114" i="10"/>
  <c r="K145" i="10"/>
  <c r="K91" i="10"/>
  <c r="K168" i="10"/>
  <c r="K220" i="10"/>
  <c r="K254" i="10"/>
  <c r="K156" i="10"/>
  <c r="K59" i="10"/>
  <c r="K60" i="10"/>
  <c r="K61" i="10"/>
  <c r="K255" i="10"/>
  <c r="K256" i="10"/>
  <c r="K94" i="10"/>
  <c r="K257" i="10"/>
  <c r="K62" i="10"/>
  <c r="K63" i="10"/>
  <c r="K171" i="10"/>
  <c r="K172" i="10"/>
  <c r="K173" i="10"/>
  <c r="K258" i="10"/>
  <c r="K64" i="10"/>
  <c r="K106" i="10"/>
  <c r="AC1093" i="20" s="1"/>
  <c r="K65" i="10"/>
  <c r="K66" i="10"/>
  <c r="K259" i="10"/>
  <c r="K225" i="10"/>
  <c r="K99" i="10"/>
  <c r="K244" i="10"/>
  <c r="K226" i="10"/>
  <c r="K216" i="10"/>
  <c r="K198" i="10"/>
  <c r="K202" i="10"/>
  <c r="K203" i="10"/>
  <c r="K204" i="10"/>
  <c r="K245" i="10"/>
  <c r="K205" i="10"/>
  <c r="K206" i="10"/>
  <c r="K207" i="10"/>
  <c r="K215" i="10"/>
  <c r="K175" i="10"/>
  <c r="K208" i="10"/>
  <c r="K183" i="10"/>
  <c r="K209" i="10"/>
  <c r="K184" i="10"/>
  <c r="K179" i="10"/>
  <c r="K210" i="10"/>
  <c r="K211" i="10"/>
  <c r="K260" i="10"/>
  <c r="K199" i="10"/>
  <c r="K261" i="10"/>
  <c r="K262" i="10"/>
  <c r="K98" i="10"/>
  <c r="K96" i="10"/>
  <c r="K178" i="10"/>
  <c r="K213" i="10"/>
  <c r="K140" i="10"/>
  <c r="K246" i="10"/>
  <c r="AC1961" i="20" s="1"/>
  <c r="K263" i="10"/>
  <c r="K237" i="10"/>
  <c r="K228" i="10"/>
  <c r="K102" i="10"/>
  <c r="K132" i="10"/>
  <c r="K67" i="10"/>
  <c r="K212" i="10"/>
  <c r="K242" i="10"/>
  <c r="K153" i="10"/>
  <c r="K154" i="10"/>
  <c r="K264" i="10"/>
  <c r="K233" i="10"/>
  <c r="K187" i="10"/>
  <c r="K188" i="10"/>
  <c r="K174" i="10"/>
  <c r="K186" i="10"/>
  <c r="K185" i="10"/>
  <c r="K111" i="10"/>
  <c r="K160" i="10"/>
  <c r="K105" i="10"/>
  <c r="K265" i="10"/>
  <c r="K266" i="10"/>
  <c r="K176" i="10"/>
  <c r="AC772" i="20" s="1"/>
  <c r="K238" i="10"/>
  <c r="AC771" i="20" s="1"/>
  <c r="K222" i="10"/>
  <c r="AC770" i="20" s="1"/>
  <c r="K191" i="10"/>
  <c r="K267" i="10"/>
  <c r="K235" i="10"/>
  <c r="AC1964" i="20" s="1"/>
  <c r="K268" i="10"/>
  <c r="K269" i="10"/>
  <c r="K270" i="10"/>
  <c r="K271" i="10"/>
  <c r="K68" i="10"/>
  <c r="K69" i="10"/>
  <c r="K234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272" i="10"/>
  <c r="K83" i="10"/>
  <c r="K273" i="10"/>
  <c r="K84" i="10"/>
  <c r="K274" i="10"/>
  <c r="L143" i="10"/>
  <c r="M143" i="10" s="1"/>
  <c r="N143" i="10" s="1"/>
  <c r="O143" i="10" s="1"/>
  <c r="L100" i="10"/>
  <c r="L236" i="10"/>
  <c r="L123" i="10"/>
  <c r="M123" i="10" s="1"/>
  <c r="N123" i="10" s="1"/>
  <c r="O123" i="10" s="1"/>
  <c r="L141" i="10"/>
  <c r="M141" i="10" s="1"/>
  <c r="N141" i="10" s="1"/>
  <c r="O141" i="10" s="1"/>
  <c r="L108" i="10"/>
  <c r="L142" i="10"/>
  <c r="L93" i="10"/>
  <c r="M93" i="10" s="1"/>
  <c r="N93" i="10" s="1"/>
  <c r="O93" i="10" s="1"/>
  <c r="L138" i="10"/>
  <c r="L2" i="10"/>
  <c r="M2" i="10" s="1"/>
  <c r="N2" i="10" s="1"/>
  <c r="O2" i="10" s="1"/>
  <c r="L230" i="10"/>
  <c r="L3" i="10"/>
  <c r="L118" i="10"/>
  <c r="M118" i="10" s="1"/>
  <c r="N118" i="10" s="1"/>
  <c r="O118" i="10" s="1"/>
  <c r="L112" i="10"/>
  <c r="L217" i="10"/>
  <c r="P217" i="10" s="1"/>
  <c r="L137" i="10"/>
  <c r="L146" i="10"/>
  <c r="L119" i="10"/>
  <c r="L4" i="10"/>
  <c r="M4" i="10" s="1"/>
  <c r="N4" i="10" s="1"/>
  <c r="O4" i="10" s="1"/>
  <c r="L248" i="10"/>
  <c r="L181" i="10"/>
  <c r="L5" i="10"/>
  <c r="M5" i="10" s="1"/>
  <c r="N5" i="10" s="1"/>
  <c r="O5" i="10" s="1"/>
  <c r="L6" i="10"/>
  <c r="L194" i="10"/>
  <c r="M194" i="10" s="1"/>
  <c r="N194" i="10" s="1"/>
  <c r="O194" i="10" s="1"/>
  <c r="L95" i="10"/>
  <c r="L7" i="10"/>
  <c r="L8" i="10"/>
  <c r="M8" i="10" s="1"/>
  <c r="N8" i="10" s="1"/>
  <c r="O8" i="10" s="1"/>
  <c r="L167" i="10"/>
  <c r="L190" i="10"/>
  <c r="P190" i="10" s="1"/>
  <c r="L227" i="10"/>
  <c r="L133" i="10"/>
  <c r="M133" i="10" s="1"/>
  <c r="N133" i="10" s="1"/>
  <c r="O133" i="10" s="1"/>
  <c r="L103" i="10"/>
  <c r="L9" i="10"/>
  <c r="M9" i="10" s="1"/>
  <c r="N9" i="10" s="1"/>
  <c r="O9" i="10" s="1"/>
  <c r="L10" i="10"/>
  <c r="L11" i="10"/>
  <c r="L201" i="10"/>
  <c r="M201" i="10" s="1"/>
  <c r="N201" i="10" s="1"/>
  <c r="O201" i="10" s="1"/>
  <c r="L224" i="10"/>
  <c r="L12" i="10"/>
  <c r="M12" i="10" s="1"/>
  <c r="N12" i="10" s="1"/>
  <c r="O12" i="10" s="1"/>
  <c r="L251" i="10"/>
  <c r="L13" i="10"/>
  <c r="L14" i="10"/>
  <c r="M14" i="10" s="1"/>
  <c r="N14" i="10" s="1"/>
  <c r="O14" i="10" s="1"/>
  <c r="L15" i="10"/>
  <c r="L134" i="10"/>
  <c r="M134" i="10" s="1"/>
  <c r="N134" i="10" s="1"/>
  <c r="O134" i="10" s="1"/>
  <c r="L110" i="10"/>
  <c r="L89" i="10"/>
  <c r="L16" i="10"/>
  <c r="P16" i="10" s="1"/>
  <c r="L165" i="10"/>
  <c r="M165" i="10" s="1"/>
  <c r="N165" i="10" s="1"/>
  <c r="O165" i="10" s="1"/>
  <c r="L17" i="10"/>
  <c r="L18" i="10"/>
  <c r="L121" i="10"/>
  <c r="M121" i="10" s="1"/>
  <c r="N121" i="10" s="1"/>
  <c r="O121" i="10" s="1"/>
  <c r="L19" i="10"/>
  <c r="L241" i="10"/>
  <c r="M241" i="10" s="1"/>
  <c r="N241" i="10" s="1"/>
  <c r="O241" i="10" s="1"/>
  <c r="L20" i="10"/>
  <c r="L21" i="10"/>
  <c r="L22" i="10"/>
  <c r="M22" i="10" s="1"/>
  <c r="N22" i="10" s="1"/>
  <c r="O22" i="10" s="1"/>
  <c r="L23" i="10"/>
  <c r="L24" i="10"/>
  <c r="M24" i="10" s="1"/>
  <c r="N24" i="10" s="1"/>
  <c r="O24" i="10" s="1"/>
  <c r="L25" i="10"/>
  <c r="L247" i="10"/>
  <c r="L223" i="10"/>
  <c r="L128" i="10"/>
  <c r="M128" i="10" s="1"/>
  <c r="N128" i="10" s="1"/>
  <c r="O128" i="10" s="1"/>
  <c r="L129" i="10"/>
  <c r="L253" i="10"/>
  <c r="L26" i="10"/>
  <c r="M26" i="10" s="1"/>
  <c r="N26" i="10" s="1"/>
  <c r="O26" i="10" s="1"/>
  <c r="L27" i="10"/>
  <c r="L28" i="10"/>
  <c r="M28" i="10" s="1"/>
  <c r="N28" i="10" s="1"/>
  <c r="O28" i="10" s="1"/>
  <c r="L29" i="10"/>
  <c r="L30" i="10"/>
  <c r="L31" i="10"/>
  <c r="M31" i="10" s="1"/>
  <c r="N31" i="10" s="1"/>
  <c r="O31" i="10" s="1"/>
  <c r="L32" i="10"/>
  <c r="L85" i="10"/>
  <c r="M85" i="10" s="1"/>
  <c r="N85" i="10" s="1"/>
  <c r="O85" i="10" s="1"/>
  <c r="L218" i="10"/>
  <c r="L214" i="10"/>
  <c r="L200" i="10"/>
  <c r="M200" i="10" s="1"/>
  <c r="N200" i="10" s="1"/>
  <c r="O200" i="10" s="1"/>
  <c r="L131" i="10"/>
  <c r="M131" i="10" s="1"/>
  <c r="N131" i="10" s="1"/>
  <c r="O131" i="10" s="1"/>
  <c r="L104" i="10"/>
  <c r="L130" i="10"/>
  <c r="L147" i="10"/>
  <c r="M147" i="10" s="1"/>
  <c r="N147" i="10" s="1"/>
  <c r="O147" i="10" s="1"/>
  <c r="L124" i="10"/>
  <c r="L219" i="10"/>
  <c r="M219" i="10" s="1"/>
  <c r="N219" i="10" s="1"/>
  <c r="O219" i="10" s="1"/>
  <c r="L33" i="10"/>
  <c r="L34" i="10"/>
  <c r="L35" i="10"/>
  <c r="M35" i="10" s="1"/>
  <c r="N35" i="10" s="1"/>
  <c r="O35" i="10" s="1"/>
  <c r="L36" i="10"/>
  <c r="L249" i="10"/>
  <c r="P249" i="10" s="1"/>
  <c r="L37" i="10"/>
  <c r="L180" i="10"/>
  <c r="L38" i="10"/>
  <c r="L39" i="10"/>
  <c r="M39" i="10" s="1"/>
  <c r="N39" i="10" s="1"/>
  <c r="O39" i="10" s="1"/>
  <c r="L135" i="10"/>
  <c r="L40" i="10"/>
  <c r="L41" i="10"/>
  <c r="M41" i="10" s="1"/>
  <c r="N41" i="10" s="1"/>
  <c r="O41" i="10" s="1"/>
  <c r="L88" i="10"/>
  <c r="L221" i="10"/>
  <c r="M221" i="10" s="1"/>
  <c r="N221" i="10" s="1"/>
  <c r="O221" i="10" s="1"/>
  <c r="L122" i="10"/>
  <c r="L42" i="10"/>
  <c r="L43" i="10"/>
  <c r="M43" i="10" s="1"/>
  <c r="N43" i="10" s="1"/>
  <c r="O43" i="10" s="1"/>
  <c r="L44" i="10"/>
  <c r="L169" i="10"/>
  <c r="M169" i="10" s="1"/>
  <c r="N169" i="10" s="1"/>
  <c r="O169" i="10" s="1"/>
  <c r="L163" i="10"/>
  <c r="L45" i="10"/>
  <c r="L107" i="10"/>
  <c r="M107" i="10" s="1"/>
  <c r="N107" i="10" s="1"/>
  <c r="O107" i="10" s="1"/>
  <c r="L252" i="10"/>
  <c r="M252" i="10" s="1"/>
  <c r="N252" i="10" s="1"/>
  <c r="O252" i="10" s="1"/>
  <c r="L46" i="10"/>
  <c r="L47" i="10"/>
  <c r="L101" i="10"/>
  <c r="M101" i="10" s="1"/>
  <c r="N101" i="10" s="1"/>
  <c r="O101" i="10" s="1"/>
  <c r="L192" i="10"/>
  <c r="L48" i="10"/>
  <c r="M48" i="10" s="1"/>
  <c r="N48" i="10" s="1"/>
  <c r="O48" i="10" s="1"/>
  <c r="L149" i="10"/>
  <c r="L127" i="10"/>
  <c r="L49" i="10"/>
  <c r="M49" i="10" s="1"/>
  <c r="N49" i="10" s="1"/>
  <c r="O49" i="10" s="1"/>
  <c r="L229" i="10"/>
  <c r="L239" i="10"/>
  <c r="P239" i="10" s="1"/>
  <c r="L144" i="10"/>
  <c r="L150" i="10"/>
  <c r="L139" i="10"/>
  <c r="L116" i="10"/>
  <c r="M116" i="10" s="1"/>
  <c r="N116" i="10" s="1"/>
  <c r="O116" i="10" s="1"/>
  <c r="L151" i="10"/>
  <c r="L195" i="10"/>
  <c r="L193" i="10"/>
  <c r="M193" i="10" s="1"/>
  <c r="N193" i="10" s="1"/>
  <c r="O193" i="10" s="1"/>
  <c r="L50" i="10"/>
  <c r="L177" i="10"/>
  <c r="M177" i="10" s="1"/>
  <c r="N177" i="10" s="1"/>
  <c r="O177" i="10" s="1"/>
  <c r="L51" i="10"/>
  <c r="L52" i="10"/>
  <c r="L170" i="10"/>
  <c r="M170" i="10" s="1"/>
  <c r="N170" i="10" s="1"/>
  <c r="O170" i="10" s="1"/>
  <c r="L53" i="10"/>
  <c r="L54" i="10"/>
  <c r="M54" i="10" s="1"/>
  <c r="N54" i="10" s="1"/>
  <c r="O54" i="10" s="1"/>
  <c r="L182" i="10"/>
  <c r="L55" i="10"/>
  <c r="L196" i="10"/>
  <c r="P196" i="10" s="1"/>
  <c r="L158" i="10"/>
  <c r="M158" i="10" s="1"/>
  <c r="N158" i="10" s="1"/>
  <c r="O158" i="10" s="1"/>
  <c r="L197" i="10"/>
  <c r="M197" i="10" s="1"/>
  <c r="N197" i="10" s="1"/>
  <c r="O197" i="10" s="1"/>
  <c r="L117" i="10"/>
  <c r="L120" i="10"/>
  <c r="M120" i="10" s="1"/>
  <c r="N120" i="10" s="1"/>
  <c r="O120" i="10" s="1"/>
  <c r="L148" i="10"/>
  <c r="L164" i="10"/>
  <c r="M164" i="10" s="1"/>
  <c r="N164" i="10" s="1"/>
  <c r="O164" i="10" s="1"/>
  <c r="L157" i="10"/>
  <c r="L56" i="10"/>
  <c r="L97" i="10"/>
  <c r="M97" i="10" s="1"/>
  <c r="N97" i="10" s="1"/>
  <c r="O97" i="10" s="1"/>
  <c r="L57" i="10"/>
  <c r="L87" i="10"/>
  <c r="P87" i="10" s="1"/>
  <c r="L92" i="10"/>
  <c r="L161" i="10"/>
  <c r="L125" i="10"/>
  <c r="P125" i="10" s="1"/>
  <c r="L250" i="10"/>
  <c r="M250" i="10" s="1"/>
  <c r="N250" i="10" s="1"/>
  <c r="O250" i="10" s="1"/>
  <c r="L109" i="10"/>
  <c r="L86" i="10"/>
  <c r="M86" i="10" s="1"/>
  <c r="N86" i="10" s="1"/>
  <c r="O86" i="10" s="1"/>
  <c r="L189" i="10"/>
  <c r="M189" i="10" s="1"/>
  <c r="N189" i="10" s="1"/>
  <c r="O189" i="10" s="1"/>
  <c r="L155" i="10"/>
  <c r="L166" i="10"/>
  <c r="M166" i="10" s="1"/>
  <c r="N166" i="10" s="1"/>
  <c r="O166" i="10" s="1"/>
  <c r="L126" i="10"/>
  <c r="L115" i="10"/>
  <c r="L58" i="10"/>
  <c r="M58" i="10" s="1"/>
  <c r="N58" i="10" s="1"/>
  <c r="O58" i="10" s="1"/>
  <c r="L152" i="10"/>
  <c r="L243" i="10"/>
  <c r="M243" i="10" s="1"/>
  <c r="N243" i="10" s="1"/>
  <c r="O243" i="10" s="1"/>
  <c r="L162" i="10"/>
  <c r="L113" i="10"/>
  <c r="L240" i="10"/>
  <c r="P240" i="10" s="1"/>
  <c r="L159" i="10"/>
  <c r="M159" i="10" s="1"/>
  <c r="N159" i="10" s="1"/>
  <c r="O159" i="10" s="1"/>
  <c r="L231" i="10"/>
  <c r="L232" i="10"/>
  <c r="L90" i="10"/>
  <c r="M90" i="10" s="1"/>
  <c r="N90" i="10" s="1"/>
  <c r="O90" i="10" s="1"/>
  <c r="L136" i="10"/>
  <c r="L114" i="10"/>
  <c r="M114" i="10" s="1"/>
  <c r="N114" i="10" s="1"/>
  <c r="O114" i="10" s="1"/>
  <c r="L145" i="10"/>
  <c r="L91" i="10"/>
  <c r="L168" i="10"/>
  <c r="M168" i="10" s="1"/>
  <c r="L220" i="10"/>
  <c r="L254" i="10"/>
  <c r="M254" i="10" s="1"/>
  <c r="N254" i="10" s="1"/>
  <c r="O254" i="10" s="1"/>
  <c r="L156" i="10"/>
  <c r="L59" i="10"/>
  <c r="L60" i="10"/>
  <c r="M60" i="10" s="1"/>
  <c r="N60" i="10" s="1"/>
  <c r="O60" i="10" s="1"/>
  <c r="L61" i="10"/>
  <c r="M61" i="10" s="1"/>
  <c r="N61" i="10" s="1"/>
  <c r="O61" i="10" s="1"/>
  <c r="L255" i="10"/>
  <c r="L256" i="10"/>
  <c r="L94" i="10"/>
  <c r="M94" i="10" s="1"/>
  <c r="N94" i="10" s="1"/>
  <c r="O94" i="10" s="1"/>
  <c r="L257" i="10"/>
  <c r="L62" i="10"/>
  <c r="M62" i="10" s="1"/>
  <c r="N62" i="10" s="1"/>
  <c r="O62" i="10" s="1"/>
  <c r="L63" i="10"/>
  <c r="L171" i="10"/>
  <c r="L172" i="10"/>
  <c r="M172" i="10" s="1"/>
  <c r="N172" i="10" s="1"/>
  <c r="O172" i="10" s="1"/>
  <c r="L173" i="10"/>
  <c r="L258" i="10"/>
  <c r="P258" i="10" s="1"/>
  <c r="L64" i="10"/>
  <c r="L106" i="10"/>
  <c r="M106" i="10" s="1"/>
  <c r="N106" i="10" s="1"/>
  <c r="O106" i="10" s="1"/>
  <c r="L65" i="10"/>
  <c r="M65" i="10" s="1"/>
  <c r="N65" i="10" s="1"/>
  <c r="O65" i="10" s="1"/>
  <c r="L66" i="10"/>
  <c r="M66" i="10" s="1"/>
  <c r="N66" i="10" s="1"/>
  <c r="O66" i="10" s="1"/>
  <c r="L259" i="10"/>
  <c r="M259" i="10" s="1"/>
  <c r="N259" i="10" s="1"/>
  <c r="O259" i="10" s="1"/>
  <c r="L225" i="10"/>
  <c r="P225" i="10" s="1"/>
  <c r="L99" i="10"/>
  <c r="M99" i="10" s="1"/>
  <c r="N99" i="10" s="1"/>
  <c r="O99" i="10" s="1"/>
  <c r="L244" i="10"/>
  <c r="L226" i="10"/>
  <c r="M226" i="10" s="1"/>
  <c r="N226" i="10" s="1"/>
  <c r="O226" i="10" s="1"/>
  <c r="L216" i="10"/>
  <c r="L198" i="10"/>
  <c r="L202" i="10"/>
  <c r="M202" i="10" s="1"/>
  <c r="N202" i="10" s="1"/>
  <c r="O202" i="10" s="1"/>
  <c r="L203" i="10"/>
  <c r="L204" i="10"/>
  <c r="P204" i="10" s="1"/>
  <c r="L245" i="10"/>
  <c r="L205" i="10"/>
  <c r="L206" i="10"/>
  <c r="M206" i="10" s="1"/>
  <c r="N206" i="10" s="1"/>
  <c r="O206" i="10" s="1"/>
  <c r="L207" i="10"/>
  <c r="M207" i="10" s="1"/>
  <c r="N207" i="10" s="1"/>
  <c r="O207" i="10" s="1"/>
  <c r="L215" i="10"/>
  <c r="L175" i="10"/>
  <c r="L208" i="10"/>
  <c r="M208" i="10" s="1"/>
  <c r="N208" i="10" s="1"/>
  <c r="O208" i="10" s="1"/>
  <c r="L183" i="10"/>
  <c r="L209" i="10"/>
  <c r="M209" i="10" s="1"/>
  <c r="N209" i="10" s="1"/>
  <c r="O209" i="10" s="1"/>
  <c r="L184" i="10"/>
  <c r="L179" i="10"/>
  <c r="L210" i="10"/>
  <c r="M210" i="10" s="1"/>
  <c r="N210" i="10" s="1"/>
  <c r="O210" i="10" s="1"/>
  <c r="L211" i="10"/>
  <c r="L260" i="10"/>
  <c r="M260" i="10" s="1"/>
  <c r="N260" i="10" s="1"/>
  <c r="O260" i="10" s="1"/>
  <c r="L199" i="10"/>
  <c r="L261" i="10"/>
  <c r="P261" i="10" s="1"/>
  <c r="L262" i="10"/>
  <c r="P262" i="10" s="1"/>
  <c r="L98" i="10"/>
  <c r="M98" i="10" s="1"/>
  <c r="N98" i="10" s="1"/>
  <c r="O98" i="10" s="1"/>
  <c r="L96" i="10"/>
  <c r="L178" i="10"/>
  <c r="M178" i="10" s="1"/>
  <c r="N178" i="10" s="1"/>
  <c r="O178" i="10" s="1"/>
  <c r="L213" i="10"/>
  <c r="M213" i="10" s="1"/>
  <c r="N213" i="10" s="1"/>
  <c r="O213" i="10" s="1"/>
  <c r="L140" i="10"/>
  <c r="L246" i="10"/>
  <c r="M246" i="10" s="1"/>
  <c r="N246" i="10" s="1"/>
  <c r="O246" i="10" s="1"/>
  <c r="L263" i="10"/>
  <c r="L237" i="10"/>
  <c r="M237" i="10" s="1"/>
  <c r="N237" i="10" s="1"/>
  <c r="O237" i="10" s="1"/>
  <c r="L228" i="10"/>
  <c r="M228" i="10" s="1"/>
  <c r="N228" i="10" s="1"/>
  <c r="O228" i="10" s="1"/>
  <c r="L102" i="10"/>
  <c r="L132" i="10"/>
  <c r="P132" i="10" s="1"/>
  <c r="L67" i="10"/>
  <c r="L212" i="10"/>
  <c r="L242" i="10"/>
  <c r="P242" i="10" s="1"/>
  <c r="L153" i="10"/>
  <c r="M153" i="10" s="1"/>
  <c r="N153" i="10" s="1"/>
  <c r="O153" i="10" s="1"/>
  <c r="L154" i="10"/>
  <c r="L264" i="10"/>
  <c r="P264" i="10" s="1"/>
  <c r="L233" i="10"/>
  <c r="M233" i="10" s="1"/>
  <c r="N233" i="10" s="1"/>
  <c r="O233" i="10" s="1"/>
  <c r="L187" i="10"/>
  <c r="L188" i="10"/>
  <c r="M188" i="10" s="1"/>
  <c r="N188" i="10" s="1"/>
  <c r="O188" i="10" s="1"/>
  <c r="L174" i="10"/>
  <c r="L186" i="10"/>
  <c r="L185" i="10"/>
  <c r="M185" i="10" s="1"/>
  <c r="N185" i="10" s="1"/>
  <c r="O185" i="10" s="1"/>
  <c r="L111" i="10"/>
  <c r="L160" i="10"/>
  <c r="M160" i="10" s="1"/>
  <c r="N160" i="10" s="1"/>
  <c r="O160" i="10" s="1"/>
  <c r="L105" i="10"/>
  <c r="L265" i="10"/>
  <c r="M265" i="10" s="1"/>
  <c r="N265" i="10" s="1"/>
  <c r="O265" i="10" s="1"/>
  <c r="L266" i="10"/>
  <c r="P266" i="10" s="1"/>
  <c r="L176" i="10"/>
  <c r="M176" i="10" s="1"/>
  <c r="N176" i="10" s="1"/>
  <c r="O176" i="10" s="1"/>
  <c r="L238" i="10"/>
  <c r="M238" i="10" s="1"/>
  <c r="N238" i="10" s="1"/>
  <c r="O238" i="10" s="1"/>
  <c r="L222" i="10"/>
  <c r="M222" i="10" s="1"/>
  <c r="N222" i="10" s="1"/>
  <c r="O222" i="10" s="1"/>
  <c r="L191" i="10"/>
  <c r="M191" i="10" s="1"/>
  <c r="N191" i="10" s="1"/>
  <c r="O191" i="10" s="1"/>
  <c r="L267" i="10"/>
  <c r="M267" i="10" s="1"/>
  <c r="N267" i="10" s="1"/>
  <c r="O267" i="10" s="1"/>
  <c r="L235" i="10"/>
  <c r="M235" i="10" s="1"/>
  <c r="N235" i="10" s="1"/>
  <c r="O235" i="10" s="1"/>
  <c r="L268" i="10"/>
  <c r="L269" i="10"/>
  <c r="P269" i="10" s="1"/>
  <c r="L270" i="10"/>
  <c r="M270" i="10" s="1"/>
  <c r="L271" i="10"/>
  <c r="L68" i="10"/>
  <c r="L69" i="10"/>
  <c r="L234" i="10"/>
  <c r="P234" i="10" s="1"/>
  <c r="L70" i="10"/>
  <c r="M70" i="10" s="1"/>
  <c r="N70" i="10" s="1"/>
  <c r="O70" i="10" s="1"/>
  <c r="L71" i="10"/>
  <c r="M71" i="10" s="1"/>
  <c r="N71" i="10" s="1"/>
  <c r="O71" i="10" s="1"/>
  <c r="L72" i="10"/>
  <c r="M72" i="10" s="1"/>
  <c r="N72" i="10" s="1"/>
  <c r="O72" i="10" s="1"/>
  <c r="L73" i="10"/>
  <c r="P73" i="10" s="1"/>
  <c r="L74" i="10"/>
  <c r="M74" i="10" s="1"/>
  <c r="N74" i="10" s="1"/>
  <c r="O74" i="10" s="1"/>
  <c r="L75" i="10"/>
  <c r="L76" i="10"/>
  <c r="M76" i="10" s="1"/>
  <c r="N76" i="10" s="1"/>
  <c r="O76" i="10" s="1"/>
  <c r="L77" i="10"/>
  <c r="L78" i="10"/>
  <c r="L79" i="10"/>
  <c r="M79" i="10" s="1"/>
  <c r="N79" i="10" s="1"/>
  <c r="O79" i="10" s="1"/>
  <c r="L80" i="10"/>
  <c r="L81" i="10"/>
  <c r="M81" i="10" s="1"/>
  <c r="N81" i="10" s="1"/>
  <c r="O81" i="10" s="1"/>
  <c r="L82" i="10"/>
  <c r="L272" i="10"/>
  <c r="P272" i="10" s="1"/>
  <c r="L83" i="10"/>
  <c r="M83" i="10" s="1"/>
  <c r="N83" i="10" s="1"/>
  <c r="O83" i="10" s="1"/>
  <c r="L273" i="10"/>
  <c r="M273" i="10" s="1"/>
  <c r="N273" i="10" s="1"/>
  <c r="O273" i="10" s="1"/>
  <c r="L84" i="10"/>
  <c r="L274" i="10"/>
  <c r="M274" i="10" s="1"/>
  <c r="N274" i="10" s="1"/>
  <c r="O274" i="10" s="1"/>
  <c r="M100" i="10"/>
  <c r="M236" i="10"/>
  <c r="N236" i="10" s="1"/>
  <c r="O236" i="10" s="1"/>
  <c r="M108" i="10"/>
  <c r="N108" i="10" s="1"/>
  <c r="O108" i="10" s="1"/>
  <c r="M142" i="10"/>
  <c r="N142" i="10" s="1"/>
  <c r="O142" i="10" s="1"/>
  <c r="M138" i="10"/>
  <c r="N138" i="10" s="1"/>
  <c r="O138" i="10" s="1"/>
  <c r="M3" i="10"/>
  <c r="N3" i="10" s="1"/>
  <c r="O3" i="10" s="1"/>
  <c r="M217" i="10"/>
  <c r="N217" i="10" s="1"/>
  <c r="O217" i="10" s="1"/>
  <c r="M137" i="10"/>
  <c r="M146" i="10"/>
  <c r="N146" i="10" s="1"/>
  <c r="O146" i="10" s="1"/>
  <c r="M119" i="10"/>
  <c r="N119" i="10" s="1"/>
  <c r="O119" i="10" s="1"/>
  <c r="M248" i="10"/>
  <c r="N248" i="10" s="1"/>
  <c r="M181" i="10"/>
  <c r="N181" i="10" s="1"/>
  <c r="O181" i="10" s="1"/>
  <c r="M6" i="10"/>
  <c r="N6" i="10" s="1"/>
  <c r="O6" i="10" s="1"/>
  <c r="M7" i="10"/>
  <c r="N7" i="10" s="1"/>
  <c r="O7" i="10" s="1"/>
  <c r="M227" i="10"/>
  <c r="N227" i="10" s="1"/>
  <c r="O227" i="10" s="1"/>
  <c r="M103" i="10"/>
  <c r="N103" i="10" s="1"/>
  <c r="O103" i="10" s="1"/>
  <c r="M10" i="10"/>
  <c r="N10" i="10" s="1"/>
  <c r="O10" i="10" s="1"/>
  <c r="M11" i="10"/>
  <c r="N11" i="10" s="1"/>
  <c r="O11" i="10" s="1"/>
  <c r="M224" i="10"/>
  <c r="N224" i="10" s="1"/>
  <c r="O224" i="10" s="1"/>
  <c r="M13" i="10"/>
  <c r="N13" i="10" s="1"/>
  <c r="O13" i="10" s="1"/>
  <c r="M110" i="10"/>
  <c r="N110" i="10" s="1"/>
  <c r="O110" i="10" s="1"/>
  <c r="M89" i="10"/>
  <c r="N89" i="10" s="1"/>
  <c r="O89" i="10" s="1"/>
  <c r="M16" i="10"/>
  <c r="N16" i="10" s="1"/>
  <c r="O16" i="10" s="1"/>
  <c r="M17" i="10"/>
  <c r="N17" i="10" s="1"/>
  <c r="O17" i="10" s="1"/>
  <c r="M18" i="10"/>
  <c r="N18" i="10" s="1"/>
  <c r="M19" i="10"/>
  <c r="N19" i="10" s="1"/>
  <c r="O19" i="10" s="1"/>
  <c r="M21" i="10"/>
  <c r="N21" i="10" s="1"/>
  <c r="O21" i="10" s="1"/>
  <c r="M25" i="10"/>
  <c r="N25" i="10" s="1"/>
  <c r="O25" i="10" s="1"/>
  <c r="M247" i="10"/>
  <c r="N247" i="10" s="1"/>
  <c r="O247" i="10" s="1"/>
  <c r="M223" i="10"/>
  <c r="N223" i="10" s="1"/>
  <c r="O223" i="10" s="1"/>
  <c r="M129" i="10"/>
  <c r="N129" i="10" s="1"/>
  <c r="O129" i="10" s="1"/>
  <c r="M253" i="10"/>
  <c r="N253" i="10" s="1"/>
  <c r="O253" i="10" s="1"/>
  <c r="M27" i="10"/>
  <c r="N27" i="10" s="1"/>
  <c r="O27" i="10" s="1"/>
  <c r="M30" i="10"/>
  <c r="N30" i="10" s="1"/>
  <c r="O30" i="10" s="1"/>
  <c r="M218" i="10"/>
  <c r="M214" i="10"/>
  <c r="N214" i="10" s="1"/>
  <c r="O214" i="10" s="1"/>
  <c r="M104" i="10"/>
  <c r="N104" i="10" s="1"/>
  <c r="O104" i="10" s="1"/>
  <c r="M130" i="10"/>
  <c r="N130" i="10" s="1"/>
  <c r="O130" i="10" s="1"/>
  <c r="M124" i="10"/>
  <c r="N124" i="10" s="1"/>
  <c r="O124" i="10" s="1"/>
  <c r="M34" i="10"/>
  <c r="N34" i="10" s="1"/>
  <c r="O34" i="10" s="1"/>
  <c r="M37" i="10"/>
  <c r="N37" i="10" s="1"/>
  <c r="O37" i="10" s="1"/>
  <c r="M180" i="10"/>
  <c r="N180" i="10" s="1"/>
  <c r="O180" i="10" s="1"/>
  <c r="M38" i="10"/>
  <c r="N38" i="10" s="1"/>
  <c r="O38" i="10" s="1"/>
  <c r="M135" i="10"/>
  <c r="N135" i="10" s="1"/>
  <c r="O135" i="10" s="1"/>
  <c r="M40" i="10"/>
  <c r="N40" i="10" s="1"/>
  <c r="O40" i="10" s="1"/>
  <c r="M88" i="10"/>
  <c r="M42" i="10"/>
  <c r="N42" i="10" s="1"/>
  <c r="O42" i="10" s="1"/>
  <c r="M163" i="10"/>
  <c r="N163" i="10" s="1"/>
  <c r="O163" i="10" s="1"/>
  <c r="M45" i="10"/>
  <c r="N45" i="10" s="1"/>
  <c r="O45" i="10" s="1"/>
  <c r="M46" i="10"/>
  <c r="N46" i="10" s="1"/>
  <c r="O46" i="10" s="1"/>
  <c r="M47" i="10"/>
  <c r="N47" i="10" s="1"/>
  <c r="O47" i="10" s="1"/>
  <c r="M192" i="10"/>
  <c r="N192" i="10" s="1"/>
  <c r="O192" i="10" s="1"/>
  <c r="M127" i="10"/>
  <c r="N127" i="10" s="1"/>
  <c r="O127" i="10" s="1"/>
  <c r="M144" i="10"/>
  <c r="N144" i="10" s="1"/>
  <c r="O144" i="10" s="1"/>
  <c r="M150" i="10"/>
  <c r="N150" i="10" s="1"/>
  <c r="O150" i="10" s="1"/>
  <c r="M139" i="10"/>
  <c r="N139" i="10" s="1"/>
  <c r="O139" i="10" s="1"/>
  <c r="M151" i="10"/>
  <c r="N151" i="10" s="1"/>
  <c r="M195" i="10"/>
  <c r="N195" i="10" s="1"/>
  <c r="M50" i="10"/>
  <c r="M52" i="10"/>
  <c r="N52" i="10" s="1"/>
  <c r="O52" i="10" s="1"/>
  <c r="M182" i="10"/>
  <c r="N182" i="10" s="1"/>
  <c r="O182" i="10" s="1"/>
  <c r="M55" i="10"/>
  <c r="N55" i="10" s="1"/>
  <c r="O55" i="10" s="1"/>
  <c r="M196" i="10"/>
  <c r="N196" i="10" s="1"/>
  <c r="O196" i="10" s="1"/>
  <c r="M117" i="10"/>
  <c r="N117" i="10" s="1"/>
  <c r="O117" i="10" s="1"/>
  <c r="M148" i="10"/>
  <c r="M56" i="10"/>
  <c r="N56" i="10" s="1"/>
  <c r="O56" i="10" s="1"/>
  <c r="M87" i="10"/>
  <c r="N87" i="10" s="1"/>
  <c r="O87" i="10" s="1"/>
  <c r="M92" i="10"/>
  <c r="N92" i="10" s="1"/>
  <c r="O92" i="10" s="1"/>
  <c r="M161" i="10"/>
  <c r="N161" i="10" s="1"/>
  <c r="O161" i="10" s="1"/>
  <c r="M125" i="10"/>
  <c r="N125" i="10" s="1"/>
  <c r="O125" i="10" s="1"/>
  <c r="M109" i="10"/>
  <c r="N109" i="10" s="1"/>
  <c r="O109" i="10" s="1"/>
  <c r="M155" i="10"/>
  <c r="N155" i="10" s="1"/>
  <c r="O155" i="10" s="1"/>
  <c r="M115" i="10"/>
  <c r="N115" i="10" s="1"/>
  <c r="O115" i="10" s="1"/>
  <c r="M162" i="10"/>
  <c r="N162" i="10" s="1"/>
  <c r="O162" i="10" s="1"/>
  <c r="M113" i="10"/>
  <c r="N113" i="10" s="1"/>
  <c r="O113" i="10" s="1"/>
  <c r="M231" i="10"/>
  <c r="N231" i="10" s="1"/>
  <c r="M232" i="10"/>
  <c r="N232" i="10" s="1"/>
  <c r="O232" i="10" s="1"/>
  <c r="M136" i="10"/>
  <c r="N136" i="10" s="1"/>
  <c r="O136" i="10" s="1"/>
  <c r="M91" i="10"/>
  <c r="N91" i="10" s="1"/>
  <c r="O91" i="10" s="1"/>
  <c r="M156" i="10"/>
  <c r="N156" i="10" s="1"/>
  <c r="O156" i="10" s="1"/>
  <c r="M59" i="10"/>
  <c r="N59" i="10" s="1"/>
  <c r="O59" i="10" s="1"/>
  <c r="M255" i="10"/>
  <c r="N255" i="10" s="1"/>
  <c r="O255" i="10" s="1"/>
  <c r="M256" i="10"/>
  <c r="N256" i="10" s="1"/>
  <c r="O256" i="10" s="1"/>
  <c r="M257" i="10"/>
  <c r="M171" i="10"/>
  <c r="N171" i="10" s="1"/>
  <c r="O171" i="10" s="1"/>
  <c r="M64" i="10"/>
  <c r="N64" i="10" s="1"/>
  <c r="O64" i="10" s="1"/>
  <c r="M225" i="10"/>
  <c r="N225" i="10" s="1"/>
  <c r="M244" i="10"/>
  <c r="N244" i="10" s="1"/>
  <c r="O244" i="10" s="1"/>
  <c r="M198" i="10"/>
  <c r="N198" i="10" s="1"/>
  <c r="O198" i="10" s="1"/>
  <c r="M204" i="10"/>
  <c r="N204" i="10" s="1"/>
  <c r="O204" i="10" s="1"/>
  <c r="M245" i="10"/>
  <c r="N245" i="10" s="1"/>
  <c r="O245" i="10" s="1"/>
  <c r="M205" i="10"/>
  <c r="N205" i="10" s="1"/>
  <c r="O205" i="10" s="1"/>
  <c r="M215" i="10"/>
  <c r="N215" i="10" s="1"/>
  <c r="O215" i="10" s="1"/>
  <c r="M175" i="10"/>
  <c r="N175" i="10" s="1"/>
  <c r="O175" i="10" s="1"/>
  <c r="M183" i="10"/>
  <c r="N183" i="10" s="1"/>
  <c r="O183" i="10" s="1"/>
  <c r="M179" i="10"/>
  <c r="N179" i="10" s="1"/>
  <c r="O179" i="10" s="1"/>
  <c r="M199" i="10"/>
  <c r="N199" i="10" s="1"/>
  <c r="O199" i="10" s="1"/>
  <c r="M261" i="10"/>
  <c r="N261" i="10" s="1"/>
  <c r="O261" i="10" s="1"/>
  <c r="M96" i="10"/>
  <c r="N96" i="10" s="1"/>
  <c r="M140" i="10"/>
  <c r="M132" i="10"/>
  <c r="N132" i="10" s="1"/>
  <c r="O132" i="10" s="1"/>
  <c r="M67" i="10"/>
  <c r="N67" i="10" s="1"/>
  <c r="O67" i="10" s="1"/>
  <c r="M212" i="10"/>
  <c r="N212" i="10" s="1"/>
  <c r="O212" i="10" s="1"/>
  <c r="M242" i="10"/>
  <c r="N242" i="10" s="1"/>
  <c r="O242" i="10" s="1"/>
  <c r="M154" i="10"/>
  <c r="N154" i="10" s="1"/>
  <c r="O154" i="10" s="1"/>
  <c r="M264" i="10"/>
  <c r="N264" i="10" s="1"/>
  <c r="O264" i="10" s="1"/>
  <c r="M187" i="10"/>
  <c r="M186" i="10"/>
  <c r="N186" i="10" s="1"/>
  <c r="O186" i="10" s="1"/>
  <c r="M105" i="10"/>
  <c r="N105" i="10" s="1"/>
  <c r="O105" i="10" s="1"/>
  <c r="M69" i="10"/>
  <c r="N69" i="10" s="1"/>
  <c r="O69" i="10" s="1"/>
  <c r="M234" i="10"/>
  <c r="N234" i="10" s="1"/>
  <c r="O234" i="10" s="1"/>
  <c r="M73" i="10"/>
  <c r="N73" i="10" s="1"/>
  <c r="O73" i="10" s="1"/>
  <c r="M75" i="10"/>
  <c r="N75" i="10" s="1"/>
  <c r="O75" i="10" s="1"/>
  <c r="M78" i="10"/>
  <c r="N78" i="10" s="1"/>
  <c r="O78" i="10" s="1"/>
  <c r="M82" i="10"/>
  <c r="N82" i="10" s="1"/>
  <c r="O82" i="10" s="1"/>
  <c r="M84" i="10"/>
  <c r="N84" i="10" s="1"/>
  <c r="O84" i="10" s="1"/>
  <c r="N100" i="10"/>
  <c r="N137" i="10"/>
  <c r="O137" i="10" s="1"/>
  <c r="N218" i="10"/>
  <c r="N88" i="10"/>
  <c r="O88" i="10" s="1"/>
  <c r="N50" i="10"/>
  <c r="O50" i="10" s="1"/>
  <c r="N148" i="10"/>
  <c r="O148" i="10" s="1"/>
  <c r="N168" i="10"/>
  <c r="O168" i="10" s="1"/>
  <c r="N257" i="10"/>
  <c r="O257" i="10" s="1"/>
  <c r="N140" i="10"/>
  <c r="O140" i="10" s="1"/>
  <c r="N187" i="10"/>
  <c r="O187" i="10" s="1"/>
  <c r="N270" i="10"/>
  <c r="O270" i="10" s="1"/>
  <c r="O100" i="10"/>
  <c r="O248" i="10"/>
  <c r="O18" i="10"/>
  <c r="O218" i="10"/>
  <c r="O151" i="10"/>
  <c r="O195" i="10"/>
  <c r="O231" i="10"/>
  <c r="O225" i="10"/>
  <c r="O96" i="10"/>
  <c r="P100" i="10"/>
  <c r="P236" i="10"/>
  <c r="P123" i="10"/>
  <c r="P141" i="10"/>
  <c r="P108" i="10"/>
  <c r="P142" i="10"/>
  <c r="P93" i="10"/>
  <c r="P138" i="10"/>
  <c r="P3" i="10"/>
  <c r="P137" i="10"/>
  <c r="P146" i="10"/>
  <c r="P119" i="10"/>
  <c r="P248" i="10"/>
  <c r="P181" i="10"/>
  <c r="P5" i="10"/>
  <c r="P6" i="10"/>
  <c r="P7" i="10"/>
  <c r="P227" i="10"/>
  <c r="P133" i="10"/>
  <c r="P103" i="10"/>
  <c r="P10" i="10"/>
  <c r="P11" i="10"/>
  <c r="P224" i="10"/>
  <c r="P13" i="10"/>
  <c r="P134" i="10"/>
  <c r="P110" i="10"/>
  <c r="P89" i="10"/>
  <c r="P165" i="10"/>
  <c r="P17" i="10"/>
  <c r="P18" i="10"/>
  <c r="P121" i="10"/>
  <c r="P19" i="10"/>
  <c r="P21" i="10"/>
  <c r="P25" i="10"/>
  <c r="P247" i="10"/>
  <c r="P223" i="10"/>
  <c r="P128" i="10"/>
  <c r="P129" i="10"/>
  <c r="P253" i="10"/>
  <c r="P26" i="10"/>
  <c r="P27" i="10"/>
  <c r="P30" i="10"/>
  <c r="P218" i="10"/>
  <c r="P214" i="10"/>
  <c r="P104" i="10"/>
  <c r="P130" i="10"/>
  <c r="P147" i="10"/>
  <c r="P124" i="10"/>
  <c r="P34" i="10"/>
  <c r="P37" i="10"/>
  <c r="P180" i="10"/>
  <c r="P38" i="10"/>
  <c r="P39" i="10"/>
  <c r="P135" i="10"/>
  <c r="P40" i="10"/>
  <c r="P88" i="10"/>
  <c r="P42" i="10"/>
  <c r="P169" i="10"/>
  <c r="P163" i="10"/>
  <c r="P45" i="10"/>
  <c r="P107" i="10"/>
  <c r="P252" i="10"/>
  <c r="P46" i="10"/>
  <c r="P47" i="10"/>
  <c r="P101" i="10"/>
  <c r="P192" i="10"/>
  <c r="P48" i="10"/>
  <c r="P127" i="10"/>
  <c r="P144" i="10"/>
  <c r="P150" i="10"/>
  <c r="P139" i="10"/>
  <c r="P151" i="10"/>
  <c r="P195" i="10"/>
  <c r="P193" i="10"/>
  <c r="P50" i="10"/>
  <c r="P52" i="10"/>
  <c r="P182" i="10"/>
  <c r="P55" i="10"/>
  <c r="P158" i="10"/>
  <c r="P197" i="10"/>
  <c r="P117" i="10"/>
  <c r="P120" i="10"/>
  <c r="P148" i="10"/>
  <c r="P56" i="10"/>
  <c r="P92" i="10"/>
  <c r="P161" i="10"/>
  <c r="P109" i="10"/>
  <c r="P86" i="10"/>
  <c r="P155" i="10"/>
  <c r="P115" i="10"/>
  <c r="P162" i="10"/>
  <c r="P113" i="10"/>
  <c r="P231" i="10"/>
  <c r="P232" i="10"/>
  <c r="P90" i="10"/>
  <c r="P136" i="10"/>
  <c r="P91" i="10"/>
  <c r="P156" i="10"/>
  <c r="P59" i="10"/>
  <c r="P61" i="10"/>
  <c r="P255" i="10"/>
  <c r="P256" i="10"/>
  <c r="P94" i="10"/>
  <c r="P257" i="10"/>
  <c r="P171" i="10"/>
  <c r="P64" i="10"/>
  <c r="P106" i="10"/>
  <c r="P65" i="10"/>
  <c r="P66" i="10"/>
  <c r="P259" i="10"/>
  <c r="P244" i="10"/>
  <c r="P198" i="10"/>
  <c r="P245" i="10"/>
  <c r="P205" i="10"/>
  <c r="P215" i="10"/>
  <c r="P175" i="10"/>
  <c r="P208" i="10"/>
  <c r="P183" i="10"/>
  <c r="P179" i="10"/>
  <c r="P199" i="10"/>
  <c r="P96" i="10"/>
  <c r="P178" i="10"/>
  <c r="P140" i="10"/>
  <c r="P237" i="10"/>
  <c r="P67" i="10"/>
  <c r="P212" i="10"/>
  <c r="P154" i="10"/>
  <c r="P187" i="10"/>
  <c r="P186" i="10"/>
  <c r="P105" i="10"/>
  <c r="P265" i="10"/>
  <c r="P238" i="10"/>
  <c r="P222" i="10"/>
  <c r="P267" i="10"/>
  <c r="P69" i="10"/>
  <c r="P70" i="10"/>
  <c r="P75" i="10"/>
  <c r="P76" i="10"/>
  <c r="P78" i="10"/>
  <c r="P82" i="10"/>
  <c r="P84" i="10"/>
  <c r="P274" i="10"/>
  <c r="Q143" i="10"/>
  <c r="Q100" i="10"/>
  <c r="Q236" i="10"/>
  <c r="Q123" i="10"/>
  <c r="Q141" i="10"/>
  <c r="Q108" i="10"/>
  <c r="Q142" i="10"/>
  <c r="Y142" i="10" s="1"/>
  <c r="Z142" i="10" s="1"/>
  <c r="Q93" i="10"/>
  <c r="Y93" i="10" s="1"/>
  <c r="Z93" i="10" s="1"/>
  <c r="Q138" i="10"/>
  <c r="Y138" i="10" s="1"/>
  <c r="Z138" i="10" s="1"/>
  <c r="Q2" i="10"/>
  <c r="Q230" i="10"/>
  <c r="Q3" i="10"/>
  <c r="Q118" i="10"/>
  <c r="Q112" i="10"/>
  <c r="Q217" i="10"/>
  <c r="Q137" i="10"/>
  <c r="Y137" i="10" s="1"/>
  <c r="Q146" i="10"/>
  <c r="V146" i="10" s="1"/>
  <c r="Q119" i="10"/>
  <c r="Q4" i="10"/>
  <c r="Q248" i="10"/>
  <c r="Q181" i="10"/>
  <c r="Q5" i="10"/>
  <c r="Y5" i="10" s="1"/>
  <c r="Z5" i="10" s="1"/>
  <c r="Q6" i="10"/>
  <c r="Y6" i="10" s="1"/>
  <c r="Z6" i="10" s="1"/>
  <c r="Q194" i="10"/>
  <c r="Q95" i="10"/>
  <c r="Q7" i="10"/>
  <c r="Q8" i="10"/>
  <c r="Q167" i="10"/>
  <c r="Q190" i="10"/>
  <c r="Q227" i="10"/>
  <c r="Y227" i="10" s="1"/>
  <c r="Z227" i="10" s="1"/>
  <c r="Q133" i="10"/>
  <c r="Y133" i="10" s="1"/>
  <c r="Z133" i="10" s="1"/>
  <c r="Q103" i="10"/>
  <c r="Q9" i="10"/>
  <c r="Q10" i="10"/>
  <c r="Q11" i="10"/>
  <c r="Y11" i="10" s="1"/>
  <c r="Q201" i="10"/>
  <c r="Y201" i="10" s="1"/>
  <c r="Z201" i="10" s="1"/>
  <c r="Q224" i="10"/>
  <c r="Y224" i="10" s="1"/>
  <c r="Z224" i="10" s="1"/>
  <c r="Q12" i="10"/>
  <c r="Q251" i="10"/>
  <c r="Q13" i="10"/>
  <c r="Q14" i="10"/>
  <c r="Q15" i="10"/>
  <c r="Q134" i="10"/>
  <c r="Q110" i="10"/>
  <c r="Y110" i="10" s="1"/>
  <c r="Q89" i="10"/>
  <c r="Y89" i="10" s="1"/>
  <c r="Q16" i="10"/>
  <c r="Q165" i="10"/>
  <c r="Y165" i="10" s="1"/>
  <c r="Z165" i="10" s="1"/>
  <c r="Q17" i="10"/>
  <c r="Q18" i="10"/>
  <c r="S18" i="10" s="1"/>
  <c r="T18" i="10" s="1"/>
  <c r="Q121" i="10"/>
  <c r="Y121" i="10" s="1"/>
  <c r="Z121" i="10" s="1"/>
  <c r="Q19" i="10"/>
  <c r="Y19" i="10" s="1"/>
  <c r="Z19" i="10" s="1"/>
  <c r="Q241" i="10"/>
  <c r="Q20" i="10"/>
  <c r="Q21" i="10"/>
  <c r="Q22" i="10"/>
  <c r="Q23" i="10"/>
  <c r="Q24" i="10"/>
  <c r="Q25" i="10"/>
  <c r="Q247" i="10"/>
  <c r="Q223" i="10"/>
  <c r="Q128" i="10"/>
  <c r="Q129" i="10"/>
  <c r="Q253" i="10"/>
  <c r="Y253" i="10" s="1"/>
  <c r="Z253" i="10" s="1"/>
  <c r="Q26" i="10"/>
  <c r="Y26" i="10" s="1"/>
  <c r="Z26" i="10" s="1"/>
  <c r="Q27" i="10"/>
  <c r="Y27" i="10" s="1"/>
  <c r="Z27" i="10" s="1"/>
  <c r="Q28" i="10"/>
  <c r="Q29" i="10"/>
  <c r="Q30" i="10"/>
  <c r="Q31" i="10"/>
  <c r="Q32" i="10"/>
  <c r="Q85" i="10"/>
  <c r="Q218" i="10"/>
  <c r="Y218" i="10" s="1"/>
  <c r="Q214" i="10"/>
  <c r="Y214" i="10" s="1"/>
  <c r="Z214" i="10" s="1"/>
  <c r="Q200" i="10"/>
  <c r="Y200" i="10" s="1"/>
  <c r="Z200" i="10" s="1"/>
  <c r="Q131" i="10"/>
  <c r="Q104" i="10"/>
  <c r="Q130" i="10"/>
  <c r="Y130" i="10" s="1"/>
  <c r="Z130" i="10" s="1"/>
  <c r="Q147" i="10"/>
  <c r="Y147" i="10" s="1"/>
  <c r="Q124" i="10"/>
  <c r="Y124" i="10" s="1"/>
  <c r="Z124" i="10" s="1"/>
  <c r="Q219" i="10"/>
  <c r="Q33" i="10"/>
  <c r="Q34" i="10"/>
  <c r="Q35" i="10"/>
  <c r="Q36" i="10"/>
  <c r="Q249" i="10"/>
  <c r="Q37" i="10"/>
  <c r="Q180" i="10"/>
  <c r="V180" i="10" s="1"/>
  <c r="Q38" i="10"/>
  <c r="Y38" i="10" s="1"/>
  <c r="Z38" i="10" s="1"/>
  <c r="Q39" i="10"/>
  <c r="Q135" i="10"/>
  <c r="Q40" i="10"/>
  <c r="Q41" i="10"/>
  <c r="Q88" i="10"/>
  <c r="Q221" i="10"/>
  <c r="Q122" i="10"/>
  <c r="Q42" i="10"/>
  <c r="Q43" i="10"/>
  <c r="Q44" i="10"/>
  <c r="Q169" i="10"/>
  <c r="Q163" i="10"/>
  <c r="Q45" i="10"/>
  <c r="Y45" i="10" s="1"/>
  <c r="Q107" i="10"/>
  <c r="Q252" i="10"/>
  <c r="Y252" i="10" s="1"/>
  <c r="Z252" i="10" s="1"/>
  <c r="Q46" i="10"/>
  <c r="Q47" i="10"/>
  <c r="Y47" i="10" s="1"/>
  <c r="Q101" i="10"/>
  <c r="Q192" i="10"/>
  <c r="Q48" i="10"/>
  <c r="Q149" i="10"/>
  <c r="Q127" i="10"/>
  <c r="Q49" i="10"/>
  <c r="Q229" i="10"/>
  <c r="Q239" i="10"/>
  <c r="Q144" i="10"/>
  <c r="Q150" i="10"/>
  <c r="Y150" i="10" s="1"/>
  <c r="Z150" i="10" s="1"/>
  <c r="Q139" i="10"/>
  <c r="Q116" i="10"/>
  <c r="Q151" i="10"/>
  <c r="Y151" i="10" s="1"/>
  <c r="Q195" i="10"/>
  <c r="Q193" i="10"/>
  <c r="Y193" i="10" s="1"/>
  <c r="Z193" i="10" s="1"/>
  <c r="Q50" i="10"/>
  <c r="Y50" i="10" s="1"/>
  <c r="Z50" i="10" s="1"/>
  <c r="Q177" i="10"/>
  <c r="Q51" i="10"/>
  <c r="Q52" i="10"/>
  <c r="Q170" i="10"/>
  <c r="Q53" i="10"/>
  <c r="Q54" i="10"/>
  <c r="Q182" i="10"/>
  <c r="Q55" i="10"/>
  <c r="Y55" i="10" s="1"/>
  <c r="Z55" i="10" s="1"/>
  <c r="Q196" i="10"/>
  <c r="Q158" i="10"/>
  <c r="Q197" i="10"/>
  <c r="Y197" i="10" s="1"/>
  <c r="Z197" i="10" s="1"/>
  <c r="Q117" i="10"/>
  <c r="Y117" i="10" s="1"/>
  <c r="Q120" i="10"/>
  <c r="Q148" i="10"/>
  <c r="Y148" i="10" s="1"/>
  <c r="Z148" i="10" s="1"/>
  <c r="Q164" i="10"/>
  <c r="Q157" i="10"/>
  <c r="Q56" i="10"/>
  <c r="Q97" i="10"/>
  <c r="Q57" i="10"/>
  <c r="Q87" i="10"/>
  <c r="Q92" i="10"/>
  <c r="Q161" i="10"/>
  <c r="V161" i="10" s="1"/>
  <c r="Q125" i="10"/>
  <c r="Y125" i="10" s="1"/>
  <c r="Z125" i="10" s="1"/>
  <c r="Q250" i="10"/>
  <c r="Q109" i="10"/>
  <c r="Q86" i="10"/>
  <c r="Y86" i="10" s="1"/>
  <c r="Q189" i="10"/>
  <c r="Y189" i="10" s="1"/>
  <c r="Z189" i="10" s="1"/>
  <c r="Q155" i="10"/>
  <c r="Y155" i="10" s="1"/>
  <c r="Z155" i="10" s="1"/>
  <c r="Q166" i="10"/>
  <c r="Q126" i="10"/>
  <c r="Q115" i="10"/>
  <c r="Q58" i="10"/>
  <c r="Q152" i="10"/>
  <c r="Q243" i="10"/>
  <c r="Q162" i="10"/>
  <c r="Y162" i="10" s="1"/>
  <c r="Q113" i="10"/>
  <c r="Q240" i="10"/>
  <c r="Q159" i="10"/>
  <c r="Q231" i="10"/>
  <c r="Q232" i="10"/>
  <c r="Y232" i="10" s="1"/>
  <c r="Z232" i="10" s="1"/>
  <c r="Q90" i="10"/>
  <c r="Y90" i="10" s="1"/>
  <c r="Z90" i="10" s="1"/>
  <c r="Q136" i="10"/>
  <c r="Y136" i="10" s="1"/>
  <c r="Z136" i="10" s="1"/>
  <c r="Q114" i="10"/>
  <c r="Q145" i="10"/>
  <c r="Q91" i="10"/>
  <c r="Q168" i="10"/>
  <c r="Q220" i="10"/>
  <c r="Q254" i="10"/>
  <c r="Q156" i="10"/>
  <c r="Y156" i="10" s="1"/>
  <c r="Z156" i="10" s="1"/>
  <c r="Q59" i="10"/>
  <c r="Y59" i="10" s="1"/>
  <c r="Z59" i="10" s="1"/>
  <c r="Q60" i="10"/>
  <c r="Y60" i="10" s="1"/>
  <c r="Z60" i="10" s="1"/>
  <c r="Q61" i="10"/>
  <c r="Q255" i="10"/>
  <c r="Q256" i="10"/>
  <c r="Y256" i="10" s="1"/>
  <c r="Z256" i="10" s="1"/>
  <c r="Q94" i="10"/>
  <c r="Y94" i="10" s="1"/>
  <c r="Z94" i="10" s="1"/>
  <c r="Q257" i="10"/>
  <c r="Q62" i="10"/>
  <c r="Q63" i="10"/>
  <c r="Q171" i="10"/>
  <c r="Q172" i="10"/>
  <c r="Q173" i="10"/>
  <c r="Q258" i="10"/>
  <c r="Q64" i="10"/>
  <c r="Y64" i="10" s="1"/>
  <c r="Z64" i="10" s="1"/>
  <c r="Q106" i="10"/>
  <c r="Q65" i="10"/>
  <c r="Q66" i="10"/>
  <c r="Q259" i="10"/>
  <c r="Q225" i="10"/>
  <c r="Q99" i="10"/>
  <c r="Y99" i="10" s="1"/>
  <c r="Z99" i="10" s="1"/>
  <c r="Q244" i="10"/>
  <c r="Y244" i="10" s="1"/>
  <c r="Q226" i="10"/>
  <c r="Q216" i="10"/>
  <c r="Q198" i="10"/>
  <c r="Q202" i="10"/>
  <c r="Q203" i="10"/>
  <c r="Q204" i="10"/>
  <c r="Q245" i="10"/>
  <c r="Y245" i="10" s="1"/>
  <c r="Z245" i="10" s="1"/>
  <c r="Q205" i="10"/>
  <c r="Q206" i="10"/>
  <c r="Y206" i="10" s="1"/>
  <c r="Z206" i="10" s="1"/>
  <c r="Q207" i="10"/>
  <c r="Q215" i="10"/>
  <c r="Q175" i="10"/>
  <c r="Q208" i="10"/>
  <c r="Y208" i="10" s="1"/>
  <c r="Z208" i="10" s="1"/>
  <c r="Q183" i="10"/>
  <c r="Y183" i="10" s="1"/>
  <c r="Z183" i="10" s="1"/>
  <c r="Q209" i="10"/>
  <c r="Q184" i="10"/>
  <c r="Q179" i="10"/>
  <c r="Q210" i="10"/>
  <c r="Q211" i="10"/>
  <c r="Q260" i="10"/>
  <c r="Q199" i="10"/>
  <c r="Y199" i="10" s="1"/>
  <c r="Q261" i="10"/>
  <c r="Y261" i="10" s="1"/>
  <c r="Z261" i="10" s="1"/>
  <c r="Q262" i="10"/>
  <c r="Q98" i="10"/>
  <c r="Q96" i="10"/>
  <c r="Q178" i="10"/>
  <c r="Y178" i="10" s="1"/>
  <c r="Q213" i="10"/>
  <c r="Q140" i="10"/>
  <c r="Y140" i="10" s="1"/>
  <c r="Z140" i="10" s="1"/>
  <c r="Q246" i="10"/>
  <c r="Q263" i="10"/>
  <c r="Q237" i="10"/>
  <c r="Q228" i="10"/>
  <c r="Q102" i="10"/>
  <c r="Q132" i="10"/>
  <c r="Q67" i="10"/>
  <c r="Q212" i="10"/>
  <c r="Q242" i="10"/>
  <c r="Q153" i="10"/>
  <c r="Y153" i="10" s="1"/>
  <c r="Z153" i="10" s="1"/>
  <c r="Q154" i="10"/>
  <c r="Q264" i="10"/>
  <c r="Q233" i="10"/>
  <c r="Y233" i="10" s="1"/>
  <c r="Z233" i="10" s="1"/>
  <c r="Q187" i="10"/>
  <c r="Y187" i="10" s="1"/>
  <c r="Z187" i="10" s="1"/>
  <c r="Q188" i="10"/>
  <c r="Q174" i="10"/>
  <c r="Q186" i="10"/>
  <c r="Q185" i="10"/>
  <c r="Q111" i="10"/>
  <c r="Q160" i="10"/>
  <c r="Q105" i="10"/>
  <c r="Y105" i="10" s="1"/>
  <c r="Q265" i="10"/>
  <c r="Y265" i="10" s="1"/>
  <c r="Z265" i="10" s="1"/>
  <c r="Q266" i="10"/>
  <c r="Q176" i="10"/>
  <c r="Y176" i="10" s="1"/>
  <c r="Z176" i="10" s="1"/>
  <c r="Q238" i="10"/>
  <c r="Y238" i="10" s="1"/>
  <c r="Z238" i="10" s="1"/>
  <c r="Q222" i="10"/>
  <c r="Y222" i="10" s="1"/>
  <c r="Z222" i="10" s="1"/>
  <c r="Q191" i="10"/>
  <c r="Q267" i="10"/>
  <c r="Y267" i="10" s="1"/>
  <c r="Z267" i="10" s="1"/>
  <c r="Q235" i="10"/>
  <c r="Q268" i="10"/>
  <c r="Q269" i="10"/>
  <c r="Q270" i="10"/>
  <c r="Q271" i="10"/>
  <c r="Q68" i="10"/>
  <c r="Q69" i="10"/>
  <c r="Q234" i="10"/>
  <c r="Y234" i="10" s="1"/>
  <c r="Z234" i="10" s="1"/>
  <c r="Q70" i="10"/>
  <c r="Q71" i="10"/>
  <c r="Q72" i="10"/>
  <c r="Y72" i="10" s="1"/>
  <c r="Z72" i="10" s="1"/>
  <c r="Q73" i="10"/>
  <c r="Q74" i="10"/>
  <c r="Q75" i="10"/>
  <c r="Y75" i="10" s="1"/>
  <c r="Z75" i="10" s="1"/>
  <c r="Q76" i="10"/>
  <c r="Q77" i="10"/>
  <c r="Q78" i="10"/>
  <c r="Q79" i="10"/>
  <c r="Q80" i="10"/>
  <c r="Q81" i="10"/>
  <c r="Q82" i="10"/>
  <c r="Y82" i="10" s="1"/>
  <c r="Q272" i="10"/>
  <c r="Y272" i="10" s="1"/>
  <c r="Q83" i="10"/>
  <c r="Q273" i="10"/>
  <c r="Q84" i="10"/>
  <c r="Q274" i="10"/>
  <c r="V274" i="10" s="1"/>
  <c r="R143" i="10"/>
  <c r="S143" i="10" s="1"/>
  <c r="R100" i="10"/>
  <c r="R236" i="10"/>
  <c r="R123" i="10"/>
  <c r="R141" i="10"/>
  <c r="R108" i="10"/>
  <c r="R142" i="10"/>
  <c r="R93" i="10"/>
  <c r="R138" i="10"/>
  <c r="R2" i="10"/>
  <c r="R230" i="10"/>
  <c r="R3" i="10"/>
  <c r="S3" i="10" s="1"/>
  <c r="T3" i="10" s="1"/>
  <c r="R118" i="10"/>
  <c r="S118" i="10" s="1"/>
  <c r="T118" i="10" s="1"/>
  <c r="R112" i="10"/>
  <c r="R217" i="10"/>
  <c r="R137" i="10"/>
  <c r="R146" i="10"/>
  <c r="R119" i="10"/>
  <c r="S119" i="10" s="1"/>
  <c r="T119" i="10" s="1"/>
  <c r="R4" i="10"/>
  <c r="R248" i="10"/>
  <c r="R181" i="10"/>
  <c r="R5" i="10"/>
  <c r="R6" i="10"/>
  <c r="R194" i="10"/>
  <c r="R95" i="10"/>
  <c r="S95" i="10" s="1"/>
  <c r="T95" i="10" s="1"/>
  <c r="R7" i="10"/>
  <c r="S7" i="10" s="1"/>
  <c r="T7" i="10" s="1"/>
  <c r="R8" i="10"/>
  <c r="S8" i="10" s="1"/>
  <c r="T8" i="10" s="1"/>
  <c r="R167" i="10"/>
  <c r="R190" i="10"/>
  <c r="R227" i="10"/>
  <c r="R133" i="10"/>
  <c r="R103" i="10"/>
  <c r="R9" i="10"/>
  <c r="R10" i="10"/>
  <c r="R11" i="10"/>
  <c r="R201" i="10"/>
  <c r="R224" i="10"/>
  <c r="R12" i="10"/>
  <c r="R251" i="10"/>
  <c r="S251" i="10" s="1"/>
  <c r="T251" i="10" s="1"/>
  <c r="R13" i="10"/>
  <c r="S13" i="10" s="1"/>
  <c r="T13" i="10" s="1"/>
  <c r="R14" i="10"/>
  <c r="S14" i="10" s="1"/>
  <c r="T14" i="10" s="1"/>
  <c r="R15" i="10"/>
  <c r="R134" i="10"/>
  <c r="R110" i="10"/>
  <c r="R89" i="10"/>
  <c r="R16" i="10"/>
  <c r="R165" i="10"/>
  <c r="R17" i="10"/>
  <c r="R18" i="10"/>
  <c r="R121" i="10"/>
  <c r="R19" i="10"/>
  <c r="R241" i="10"/>
  <c r="R20" i="10"/>
  <c r="S20" i="10" s="1"/>
  <c r="T20" i="10" s="1"/>
  <c r="R21" i="10"/>
  <c r="S21" i="10" s="1"/>
  <c r="T21" i="10" s="1"/>
  <c r="R22" i="10"/>
  <c r="S22" i="10" s="1"/>
  <c r="T22" i="10" s="1"/>
  <c r="R23" i="10"/>
  <c r="R24" i="10"/>
  <c r="R25" i="10"/>
  <c r="R247" i="10"/>
  <c r="R223" i="10"/>
  <c r="R128" i="10"/>
  <c r="R129" i="10"/>
  <c r="R253" i="10"/>
  <c r="R26" i="10"/>
  <c r="R27" i="10"/>
  <c r="R28" i="10"/>
  <c r="R29" i="10"/>
  <c r="S29" i="10" s="1"/>
  <c r="T29" i="10" s="1"/>
  <c r="R30" i="10"/>
  <c r="S30" i="10" s="1"/>
  <c r="T30" i="10" s="1"/>
  <c r="R31" i="10"/>
  <c r="S31" i="10" s="1"/>
  <c r="T31" i="10" s="1"/>
  <c r="R32" i="10"/>
  <c r="R85" i="10"/>
  <c r="R218" i="10"/>
  <c r="R214" i="10"/>
  <c r="R200" i="10"/>
  <c r="R131" i="10"/>
  <c r="R104" i="10"/>
  <c r="R130" i="10"/>
  <c r="R147" i="10"/>
  <c r="R124" i="10"/>
  <c r="R219" i="10"/>
  <c r="R33" i="10"/>
  <c r="S33" i="10" s="1"/>
  <c r="T33" i="10" s="1"/>
  <c r="R34" i="10"/>
  <c r="S34" i="10" s="1"/>
  <c r="T34" i="10" s="1"/>
  <c r="R35" i="10"/>
  <c r="S35" i="10" s="1"/>
  <c r="T35" i="10" s="1"/>
  <c r="R36" i="10"/>
  <c r="R249" i="10"/>
  <c r="R37" i="10"/>
  <c r="R180" i="10"/>
  <c r="R38" i="10"/>
  <c r="R39" i="10"/>
  <c r="R135" i="10"/>
  <c r="R40" i="10"/>
  <c r="R41" i="10"/>
  <c r="R88" i="10"/>
  <c r="R221" i="10"/>
  <c r="R122" i="10"/>
  <c r="S122" i="10" s="1"/>
  <c r="T122" i="10" s="1"/>
  <c r="R42" i="10"/>
  <c r="S42" i="10" s="1"/>
  <c r="T42" i="10" s="1"/>
  <c r="R43" i="10"/>
  <c r="S43" i="10" s="1"/>
  <c r="T43" i="10" s="1"/>
  <c r="R44" i="10"/>
  <c r="R169" i="10"/>
  <c r="R163" i="10"/>
  <c r="R45" i="10"/>
  <c r="R107" i="10"/>
  <c r="R252" i="10"/>
  <c r="R46" i="10"/>
  <c r="S46" i="10" s="1"/>
  <c r="T46" i="10" s="1"/>
  <c r="R47" i="10"/>
  <c r="R101" i="10"/>
  <c r="R192" i="10"/>
  <c r="R48" i="10"/>
  <c r="R149" i="10"/>
  <c r="S149" i="10" s="1"/>
  <c r="T149" i="10" s="1"/>
  <c r="R127" i="10"/>
  <c r="S127" i="10" s="1"/>
  <c r="T127" i="10" s="1"/>
  <c r="R49" i="10"/>
  <c r="R229" i="10"/>
  <c r="R239" i="10"/>
  <c r="R144" i="10"/>
  <c r="R150" i="10"/>
  <c r="R139" i="10"/>
  <c r="R116" i="10"/>
  <c r="R151" i="10"/>
  <c r="S151" i="10" s="1"/>
  <c r="T151" i="10" s="1"/>
  <c r="R195" i="10"/>
  <c r="R193" i="10"/>
  <c r="R50" i="10"/>
  <c r="R177" i="10"/>
  <c r="R51" i="10"/>
  <c r="S51" i="10" s="1"/>
  <c r="T51" i="10" s="1"/>
  <c r="R52" i="10"/>
  <c r="S52" i="10" s="1"/>
  <c r="T52" i="10" s="1"/>
  <c r="R170" i="10"/>
  <c r="R53" i="10"/>
  <c r="R54" i="10"/>
  <c r="R182" i="10"/>
  <c r="R55" i="10"/>
  <c r="R196" i="10"/>
  <c r="R158" i="10"/>
  <c r="R197" i="10"/>
  <c r="R117" i="10"/>
  <c r="R120" i="10"/>
  <c r="R148" i="10"/>
  <c r="R164" i="10"/>
  <c r="R157" i="10"/>
  <c r="S157" i="10" s="1"/>
  <c r="T157" i="10" s="1"/>
  <c r="R56" i="10"/>
  <c r="S56" i="10" s="1"/>
  <c r="T56" i="10" s="1"/>
  <c r="R97" i="10"/>
  <c r="R57" i="10"/>
  <c r="R87" i="10"/>
  <c r="S87" i="10" s="1"/>
  <c r="T87" i="10" s="1"/>
  <c r="R92" i="10"/>
  <c r="R161" i="10"/>
  <c r="R125" i="10"/>
  <c r="R250" i="10"/>
  <c r="R109" i="10"/>
  <c r="R86" i="10"/>
  <c r="R189" i="10"/>
  <c r="R155" i="10"/>
  <c r="R166" i="10"/>
  <c r="R126" i="10"/>
  <c r="S126" i="10" s="1"/>
  <c r="T126" i="10" s="1"/>
  <c r="R115" i="10"/>
  <c r="S115" i="10" s="1"/>
  <c r="T115" i="10" s="1"/>
  <c r="R58" i="10"/>
  <c r="R152" i="10"/>
  <c r="R243" i="10"/>
  <c r="R162" i="10"/>
  <c r="R113" i="10"/>
  <c r="R240" i="10"/>
  <c r="S240" i="10" s="1"/>
  <c r="T240" i="10" s="1"/>
  <c r="R159" i="10"/>
  <c r="R231" i="10"/>
  <c r="R232" i="10"/>
  <c r="R90" i="10"/>
  <c r="R136" i="10"/>
  <c r="R114" i="10"/>
  <c r="S114" i="10" s="1"/>
  <c r="T114" i="10" s="1"/>
  <c r="R145" i="10"/>
  <c r="S145" i="10" s="1"/>
  <c r="T145" i="10" s="1"/>
  <c r="R91" i="10"/>
  <c r="S91" i="10" s="1"/>
  <c r="T91" i="10" s="1"/>
  <c r="R168" i="10"/>
  <c r="R220" i="10"/>
  <c r="R254" i="10"/>
  <c r="R156" i="10"/>
  <c r="R59" i="10"/>
  <c r="R60" i="10"/>
  <c r="R61" i="10"/>
  <c r="R255" i="10"/>
  <c r="R256" i="10"/>
  <c r="R94" i="10"/>
  <c r="R257" i="10"/>
  <c r="R62" i="10"/>
  <c r="R63" i="10"/>
  <c r="S63" i="10" s="1"/>
  <c r="T63" i="10" s="1"/>
  <c r="R171" i="10"/>
  <c r="S171" i="10" s="1"/>
  <c r="T171" i="10" s="1"/>
  <c r="R172" i="10"/>
  <c r="R173" i="10"/>
  <c r="R258" i="10"/>
  <c r="R64" i="10"/>
  <c r="R106" i="10"/>
  <c r="R65" i="10"/>
  <c r="R66" i="10"/>
  <c r="R259" i="10"/>
  <c r="R225" i="10"/>
  <c r="R99" i="10"/>
  <c r="R244" i="10"/>
  <c r="R226" i="10"/>
  <c r="R216" i="10"/>
  <c r="S216" i="10" s="1"/>
  <c r="T216" i="10" s="1"/>
  <c r="R198" i="10"/>
  <c r="S198" i="10" s="1"/>
  <c r="T198" i="10" s="1"/>
  <c r="R202" i="10"/>
  <c r="R203" i="10"/>
  <c r="R204" i="10"/>
  <c r="R245" i="10"/>
  <c r="R205" i="10"/>
  <c r="R206" i="10"/>
  <c r="R207" i="10"/>
  <c r="R215" i="10"/>
  <c r="R175" i="10"/>
  <c r="R208" i="10"/>
  <c r="R183" i="10"/>
  <c r="R209" i="10"/>
  <c r="R184" i="10"/>
  <c r="S184" i="10" s="1"/>
  <c r="T184" i="10" s="1"/>
  <c r="R179" i="10"/>
  <c r="S179" i="10" s="1"/>
  <c r="T179" i="10" s="1"/>
  <c r="R210" i="10"/>
  <c r="R211" i="10"/>
  <c r="R260" i="10"/>
  <c r="R199" i="10"/>
  <c r="R261" i="10"/>
  <c r="R262" i="10"/>
  <c r="R98" i="10"/>
  <c r="R96" i="10"/>
  <c r="R178" i="10"/>
  <c r="R213" i="10"/>
  <c r="R140" i="10"/>
  <c r="R246" i="10"/>
  <c r="R263" i="10"/>
  <c r="S263" i="10" s="1"/>
  <c r="T263" i="10" s="1"/>
  <c r="R237" i="10"/>
  <c r="S237" i="10" s="1"/>
  <c r="T237" i="10" s="1"/>
  <c r="R228" i="10"/>
  <c r="R102" i="10"/>
  <c r="R132" i="10"/>
  <c r="R67" i="10"/>
  <c r="R212" i="10"/>
  <c r="R242" i="10"/>
  <c r="R153" i="10"/>
  <c r="R154" i="10"/>
  <c r="R264" i="10"/>
  <c r="R233" i="10"/>
  <c r="R187" i="10"/>
  <c r="R188" i="10"/>
  <c r="R174" i="10"/>
  <c r="S174" i="10" s="1"/>
  <c r="T174" i="10" s="1"/>
  <c r="R186" i="10"/>
  <c r="S186" i="10" s="1"/>
  <c r="T186" i="10" s="1"/>
  <c r="R185" i="10"/>
  <c r="R111" i="10"/>
  <c r="R160" i="10"/>
  <c r="R105" i="10"/>
  <c r="R265" i="10"/>
  <c r="R266" i="10"/>
  <c r="R176" i="10"/>
  <c r="R238" i="10"/>
  <c r="R222" i="10"/>
  <c r="R191" i="10"/>
  <c r="R267" i="10"/>
  <c r="R235" i="10"/>
  <c r="R268" i="10"/>
  <c r="S268" i="10" s="1"/>
  <c r="T268" i="10" s="1"/>
  <c r="R269" i="10"/>
  <c r="S269" i="10" s="1"/>
  <c r="T269" i="10" s="1"/>
  <c r="R270" i="10"/>
  <c r="R271" i="10"/>
  <c r="R68" i="10"/>
  <c r="R69" i="10"/>
  <c r="R234" i="10"/>
  <c r="R70" i="10"/>
  <c r="R71" i="10"/>
  <c r="R72" i="10"/>
  <c r="R73" i="10"/>
  <c r="R74" i="10"/>
  <c r="R75" i="10"/>
  <c r="R76" i="10"/>
  <c r="R77" i="10"/>
  <c r="S77" i="10" s="1"/>
  <c r="T77" i="10" s="1"/>
  <c r="R78" i="10"/>
  <c r="S78" i="10" s="1"/>
  <c r="T78" i="10" s="1"/>
  <c r="R79" i="10"/>
  <c r="R80" i="10"/>
  <c r="R81" i="10"/>
  <c r="R82" i="10"/>
  <c r="R272" i="10"/>
  <c r="R83" i="10"/>
  <c r="R273" i="10"/>
  <c r="R84" i="10"/>
  <c r="R274" i="10"/>
  <c r="S123" i="10"/>
  <c r="T123" i="10" s="1"/>
  <c r="S108" i="10"/>
  <c r="T108" i="10" s="1"/>
  <c r="S230" i="10"/>
  <c r="T230" i="10" s="1"/>
  <c r="S103" i="10"/>
  <c r="T103" i="10" s="1"/>
  <c r="S16" i="10"/>
  <c r="T16" i="10" s="1"/>
  <c r="S165" i="10"/>
  <c r="T165" i="10" s="1"/>
  <c r="S17" i="10"/>
  <c r="T17" i="10" s="1"/>
  <c r="S223" i="10"/>
  <c r="T223" i="10" s="1"/>
  <c r="S129" i="10"/>
  <c r="T129" i="10" s="1"/>
  <c r="S195" i="10"/>
  <c r="T195" i="10" s="1"/>
  <c r="S250" i="10"/>
  <c r="T250" i="10" s="1"/>
  <c r="S72" i="10"/>
  <c r="T72" i="10" s="1"/>
  <c r="U143" i="10"/>
  <c r="V143" i="10" s="1"/>
  <c r="U100" i="10"/>
  <c r="U236" i="10"/>
  <c r="U123" i="10"/>
  <c r="V123" i="10" s="1"/>
  <c r="P231" i="34" s="1"/>
  <c r="R231" i="34" s="1"/>
  <c r="U141" i="10"/>
  <c r="U108" i="10"/>
  <c r="U142" i="10"/>
  <c r="U93" i="10"/>
  <c r="V93" i="10" s="1"/>
  <c r="U138" i="10"/>
  <c r="U2" i="10"/>
  <c r="U230" i="10"/>
  <c r="V230" i="10" s="1"/>
  <c r="U3" i="10"/>
  <c r="V3" i="10" s="1"/>
  <c r="U118" i="10"/>
  <c r="V118" i="10" s="1"/>
  <c r="P244" i="34" s="1"/>
  <c r="R244" i="34" s="1"/>
  <c r="U112" i="10"/>
  <c r="V112" i="10" s="1"/>
  <c r="U217" i="10"/>
  <c r="U137" i="10"/>
  <c r="U146" i="10"/>
  <c r="U119" i="10"/>
  <c r="V119" i="10" s="1"/>
  <c r="U4" i="10"/>
  <c r="U248" i="10"/>
  <c r="V248" i="10" s="1"/>
  <c r="U181" i="10"/>
  <c r="U5" i="10"/>
  <c r="V5" i="10" s="1"/>
  <c r="U6" i="10"/>
  <c r="U194" i="10"/>
  <c r="U95" i="10"/>
  <c r="V95" i="10" s="1"/>
  <c r="U7" i="10"/>
  <c r="V7" i="10" s="1"/>
  <c r="U8" i="10"/>
  <c r="V8" i="10" s="1"/>
  <c r="W8" i="10" s="1"/>
  <c r="AA8" i="10" s="1"/>
  <c r="U167" i="10"/>
  <c r="U190" i="10"/>
  <c r="U227" i="10"/>
  <c r="U133" i="10"/>
  <c r="U103" i="10"/>
  <c r="V103" i="10" s="1"/>
  <c r="U9" i="10"/>
  <c r="U10" i="10"/>
  <c r="U11" i="10"/>
  <c r="U201" i="10"/>
  <c r="U224" i="10"/>
  <c r="U12" i="10"/>
  <c r="U251" i="10"/>
  <c r="V251" i="10" s="1"/>
  <c r="U13" i="10"/>
  <c r="V13" i="10" s="1"/>
  <c r="U14" i="10"/>
  <c r="V14" i="10" s="1"/>
  <c r="U15" i="10"/>
  <c r="U134" i="10"/>
  <c r="U110" i="10"/>
  <c r="U89" i="10"/>
  <c r="U16" i="10"/>
  <c r="V16" i="10" s="1"/>
  <c r="U165" i="10"/>
  <c r="U17" i="10"/>
  <c r="V17" i="10" s="1"/>
  <c r="U18" i="10"/>
  <c r="U121" i="10"/>
  <c r="V121" i="10" s="1"/>
  <c r="P219" i="34" s="1"/>
  <c r="R219" i="34" s="1"/>
  <c r="U19" i="10"/>
  <c r="U241" i="10"/>
  <c r="U20" i="10"/>
  <c r="V20" i="10" s="1"/>
  <c r="U21" i="10"/>
  <c r="V21" i="10" s="1"/>
  <c r="U22" i="10"/>
  <c r="V22" i="10" s="1"/>
  <c r="U23" i="10"/>
  <c r="U24" i="10"/>
  <c r="V24" i="10" s="1"/>
  <c r="U25" i="10"/>
  <c r="U247" i="10"/>
  <c r="U223" i="10"/>
  <c r="U128" i="10"/>
  <c r="U129" i="10"/>
  <c r="U253" i="10"/>
  <c r="U26" i="10"/>
  <c r="V26" i="10" s="1"/>
  <c r="U27" i="10"/>
  <c r="U28" i="10"/>
  <c r="U29" i="10"/>
  <c r="V29" i="10" s="1"/>
  <c r="U30" i="10"/>
  <c r="V30" i="10" s="1"/>
  <c r="U31" i="10"/>
  <c r="V31" i="10" s="1"/>
  <c r="U32" i="10"/>
  <c r="V32" i="10" s="1"/>
  <c r="U85" i="10"/>
  <c r="U218" i="10"/>
  <c r="U214" i="10"/>
  <c r="U200" i="10"/>
  <c r="U131" i="10"/>
  <c r="U104" i="10"/>
  <c r="U130" i="10"/>
  <c r="U147" i="10"/>
  <c r="V147" i="10" s="1"/>
  <c r="P253" i="34" s="1"/>
  <c r="U124" i="10"/>
  <c r="U219" i="10"/>
  <c r="U33" i="10"/>
  <c r="V33" i="10" s="1"/>
  <c r="U34" i="10"/>
  <c r="V34" i="10" s="1"/>
  <c r="U35" i="10"/>
  <c r="V35" i="10" s="1"/>
  <c r="U36" i="10"/>
  <c r="V36" i="10" s="1"/>
  <c r="U249" i="10"/>
  <c r="U37" i="10"/>
  <c r="V37" i="10" s="1"/>
  <c r="U180" i="10"/>
  <c r="U38" i="10"/>
  <c r="U39" i="10"/>
  <c r="U135" i="10"/>
  <c r="V135" i="10" s="1"/>
  <c r="U40" i="10"/>
  <c r="U41" i="10"/>
  <c r="V41" i="10" s="1"/>
  <c r="U88" i="10"/>
  <c r="U221" i="10"/>
  <c r="U122" i="10"/>
  <c r="V122" i="10" s="1"/>
  <c r="U42" i="10"/>
  <c r="V42" i="10" s="1"/>
  <c r="U43" i="10"/>
  <c r="V43" i="10" s="1"/>
  <c r="U44" i="10"/>
  <c r="U169" i="10"/>
  <c r="U163" i="10"/>
  <c r="U45" i="10"/>
  <c r="U107" i="10"/>
  <c r="U252" i="10"/>
  <c r="U46" i="10"/>
  <c r="V46" i="10" s="1"/>
  <c r="U47" i="10"/>
  <c r="U101" i="10"/>
  <c r="V101" i="10" s="1"/>
  <c r="P230" i="34" s="1"/>
  <c r="U192" i="10"/>
  <c r="U48" i="10"/>
  <c r="U149" i="10"/>
  <c r="V149" i="10" s="1"/>
  <c r="U127" i="10"/>
  <c r="V127" i="10" s="1"/>
  <c r="U49" i="10"/>
  <c r="V49" i="10" s="1"/>
  <c r="U229" i="10"/>
  <c r="U239" i="10"/>
  <c r="V239" i="10" s="1"/>
  <c r="U144" i="10"/>
  <c r="V144" i="10" s="1"/>
  <c r="U150" i="10"/>
  <c r="U139" i="10"/>
  <c r="U116" i="10"/>
  <c r="U151" i="10"/>
  <c r="V151" i="10" s="1"/>
  <c r="U195" i="10"/>
  <c r="U193" i="10"/>
  <c r="V193" i="10" s="1"/>
  <c r="U50" i="10"/>
  <c r="U177" i="10"/>
  <c r="U51" i="10"/>
  <c r="V51" i="10" s="1"/>
  <c r="U52" i="10"/>
  <c r="V52" i="10" s="1"/>
  <c r="U170" i="10"/>
  <c r="V170" i="10" s="1"/>
  <c r="W170" i="10" s="1"/>
  <c r="AA170" i="10" s="1"/>
  <c r="U53" i="10"/>
  <c r="U54" i="10"/>
  <c r="U182" i="10"/>
  <c r="U55" i="10"/>
  <c r="U196" i="10"/>
  <c r="V196" i="10" s="1"/>
  <c r="U158" i="10"/>
  <c r="U197" i="10"/>
  <c r="U117" i="10"/>
  <c r="U120" i="10"/>
  <c r="V120" i="10" s="1"/>
  <c r="U148" i="10"/>
  <c r="U164" i="10"/>
  <c r="U157" i="10"/>
  <c r="V157" i="10" s="1"/>
  <c r="P41" i="34" s="1"/>
  <c r="R41" i="34" s="1"/>
  <c r="U56" i="10"/>
  <c r="V56" i="10" s="1"/>
  <c r="U97" i="10"/>
  <c r="V97" i="10" s="1"/>
  <c r="U57" i="10"/>
  <c r="U87" i="10"/>
  <c r="U92" i="10"/>
  <c r="V92" i="10" s="1"/>
  <c r="U161" i="10"/>
  <c r="U125" i="10"/>
  <c r="U250" i="10"/>
  <c r="U109" i="10"/>
  <c r="U86" i="10"/>
  <c r="U189" i="10"/>
  <c r="V189" i="10" s="1"/>
  <c r="U155" i="10"/>
  <c r="U166" i="10"/>
  <c r="U126" i="10"/>
  <c r="V126" i="10" s="1"/>
  <c r="U115" i="10"/>
  <c r="V115" i="10" s="1"/>
  <c r="U58" i="10"/>
  <c r="V58" i="10" s="1"/>
  <c r="U152" i="10"/>
  <c r="U243" i="10"/>
  <c r="U162" i="10"/>
  <c r="V162" i="10" s="1"/>
  <c r="P213" i="34" s="1"/>
  <c r="R213" i="34" s="1"/>
  <c r="U113" i="10"/>
  <c r="U240" i="10"/>
  <c r="U159" i="10"/>
  <c r="U231" i="10"/>
  <c r="U232" i="10"/>
  <c r="U90" i="10"/>
  <c r="V90" i="10" s="1"/>
  <c r="P235" i="34" s="1"/>
  <c r="U136" i="10"/>
  <c r="U114" i="10"/>
  <c r="U145" i="10"/>
  <c r="V145" i="10" s="1"/>
  <c r="U91" i="10"/>
  <c r="V91" i="10" s="1"/>
  <c r="U168" i="10"/>
  <c r="V168" i="10" s="1"/>
  <c r="U220" i="10"/>
  <c r="U254" i="10"/>
  <c r="U156" i="10"/>
  <c r="U59" i="10"/>
  <c r="U60" i="10"/>
  <c r="U61" i="10"/>
  <c r="V61" i="10" s="1"/>
  <c r="U255" i="10"/>
  <c r="V255" i="10" s="1"/>
  <c r="U256" i="10"/>
  <c r="U94" i="10"/>
  <c r="V94" i="10" s="1"/>
  <c r="U257" i="10"/>
  <c r="U62" i="10"/>
  <c r="U63" i="10"/>
  <c r="V63" i="10" s="1"/>
  <c r="U171" i="10"/>
  <c r="V171" i="10" s="1"/>
  <c r="U172" i="10"/>
  <c r="V172" i="10" s="1"/>
  <c r="W172" i="10" s="1"/>
  <c r="U173" i="10"/>
  <c r="U258" i="10"/>
  <c r="U64" i="10"/>
  <c r="V64" i="10" s="1"/>
  <c r="U106" i="10"/>
  <c r="U65" i="10"/>
  <c r="U66" i="10"/>
  <c r="U259" i="10"/>
  <c r="U225" i="10"/>
  <c r="U99" i="10"/>
  <c r="V99" i="10" s="1"/>
  <c r="U244" i="10"/>
  <c r="U226" i="10"/>
  <c r="U216" i="10"/>
  <c r="V216" i="10" s="1"/>
  <c r="U198" i="10"/>
  <c r="V198" i="10" s="1"/>
  <c r="U202" i="10"/>
  <c r="V202" i="10" s="1"/>
  <c r="U203" i="10"/>
  <c r="U204" i="10"/>
  <c r="V204" i="10" s="1"/>
  <c r="U245" i="10"/>
  <c r="V245" i="10" s="1"/>
  <c r="U205" i="10"/>
  <c r="U206" i="10"/>
  <c r="U207" i="10"/>
  <c r="U215" i="10"/>
  <c r="V215" i="10" s="1"/>
  <c r="U175" i="10"/>
  <c r="U208" i="10"/>
  <c r="V208" i="10" s="1"/>
  <c r="U183" i="10"/>
  <c r="U209" i="10"/>
  <c r="U184" i="10"/>
  <c r="V184" i="10" s="1"/>
  <c r="U179" i="10"/>
  <c r="V179" i="10" s="1"/>
  <c r="U210" i="10"/>
  <c r="V210" i="10" s="1"/>
  <c r="W210" i="10" s="1"/>
  <c r="U211" i="10"/>
  <c r="U260" i="10"/>
  <c r="U199" i="10"/>
  <c r="U261" i="10"/>
  <c r="U262" i="10"/>
  <c r="U98" i="10"/>
  <c r="U96" i="10"/>
  <c r="U178" i="10"/>
  <c r="U213" i="10"/>
  <c r="V213" i="10" s="1"/>
  <c r="U140" i="10"/>
  <c r="U246" i="10"/>
  <c r="U263" i="10"/>
  <c r="V263" i="10" s="1"/>
  <c r="U237" i="10"/>
  <c r="V237" i="10" s="1"/>
  <c r="U228" i="10"/>
  <c r="V228" i="10" s="1"/>
  <c r="U102" i="10"/>
  <c r="V102" i="10" s="1"/>
  <c r="U132" i="10"/>
  <c r="U67" i="10"/>
  <c r="U212" i="10"/>
  <c r="U242" i="10"/>
  <c r="U153" i="10"/>
  <c r="U154" i="10"/>
  <c r="U264" i="10"/>
  <c r="U233" i="10"/>
  <c r="V233" i="10" s="1"/>
  <c r="U187" i="10"/>
  <c r="U188" i="10"/>
  <c r="U174" i="10"/>
  <c r="V174" i="10" s="1"/>
  <c r="U186" i="10"/>
  <c r="V186" i="10" s="1"/>
  <c r="U185" i="10"/>
  <c r="V185" i="10" s="1"/>
  <c r="U111" i="10"/>
  <c r="U160" i="10"/>
  <c r="U105" i="10"/>
  <c r="U265" i="10"/>
  <c r="U266" i="10"/>
  <c r="U176" i="10"/>
  <c r="U238" i="10"/>
  <c r="V238" i="10" s="1"/>
  <c r="W238" i="10" s="1"/>
  <c r="U222" i="10"/>
  <c r="U191" i="10"/>
  <c r="V191" i="10" s="1"/>
  <c r="U267" i="10"/>
  <c r="U235" i="10"/>
  <c r="U268" i="10"/>
  <c r="V268" i="10" s="1"/>
  <c r="U269" i="10"/>
  <c r="V269" i="10" s="1"/>
  <c r="U270" i="10"/>
  <c r="V270" i="10" s="1"/>
  <c r="U271" i="10"/>
  <c r="U68" i="10"/>
  <c r="U69" i="10"/>
  <c r="U234" i="10"/>
  <c r="U70" i="10"/>
  <c r="U71" i="10"/>
  <c r="U72" i="10"/>
  <c r="U73" i="10"/>
  <c r="U74" i="10"/>
  <c r="V74" i="10" s="1"/>
  <c r="U75" i="10"/>
  <c r="U76" i="10"/>
  <c r="U77" i="10"/>
  <c r="V77" i="10" s="1"/>
  <c r="U78" i="10"/>
  <c r="V78" i="10" s="1"/>
  <c r="U79" i="10"/>
  <c r="V79" i="10" s="1"/>
  <c r="U80" i="10"/>
  <c r="U81" i="10"/>
  <c r="U82" i="10"/>
  <c r="U272" i="10"/>
  <c r="U83" i="10"/>
  <c r="U273" i="10"/>
  <c r="U84" i="10"/>
  <c r="U274" i="10"/>
  <c r="V108" i="10"/>
  <c r="V4" i="10"/>
  <c r="V10" i="10"/>
  <c r="V11" i="10"/>
  <c r="V201" i="10"/>
  <c r="V241" i="10"/>
  <c r="V129" i="10"/>
  <c r="V104" i="10"/>
  <c r="V219" i="10"/>
  <c r="V197" i="10"/>
  <c r="V231" i="10"/>
  <c r="V256" i="10"/>
  <c r="V96" i="10"/>
  <c r="V242" i="10"/>
  <c r="V176" i="10"/>
  <c r="Y123" i="10"/>
  <c r="Z123" i="10" s="1"/>
  <c r="Y108" i="10"/>
  <c r="Z108" i="10" s="1"/>
  <c r="Y230" i="10"/>
  <c r="Z230" i="10" s="1"/>
  <c r="Y3" i="10"/>
  <c r="Y118" i="10"/>
  <c r="Y119" i="10"/>
  <c r="Z119" i="10" s="1"/>
  <c r="Y248" i="10"/>
  <c r="Z248" i="10" s="1"/>
  <c r="Y181" i="10"/>
  <c r="Z181" i="10" s="1"/>
  <c r="Y95" i="10"/>
  <c r="Z95" i="10" s="1"/>
  <c r="Y7" i="10"/>
  <c r="Z7" i="10" s="1"/>
  <c r="Y8" i="10"/>
  <c r="Z8" i="10" s="1"/>
  <c r="Y103" i="10"/>
  <c r="Z103" i="10" s="1"/>
  <c r="Y10" i="10"/>
  <c r="Z10" i="10" s="1"/>
  <c r="Y251" i="10"/>
  <c r="Z251" i="10" s="1"/>
  <c r="Y13" i="10"/>
  <c r="Z13" i="10" s="1"/>
  <c r="Y14" i="10"/>
  <c r="Z14" i="10" s="1"/>
  <c r="Y16" i="10"/>
  <c r="Z16" i="10" s="1"/>
  <c r="Y17" i="10"/>
  <c r="Z17" i="10" s="1"/>
  <c r="Y20" i="10"/>
  <c r="Z20" i="10" s="1"/>
  <c r="Y21" i="10"/>
  <c r="Z21" i="10" s="1"/>
  <c r="Y22" i="10"/>
  <c r="Z22" i="10" s="1"/>
  <c r="Y223" i="10"/>
  <c r="Z223" i="10" s="1"/>
  <c r="Y129" i="10"/>
  <c r="Z129" i="10" s="1"/>
  <c r="Y29" i="10"/>
  <c r="Z29" i="10" s="1"/>
  <c r="Y30" i="10"/>
  <c r="Y31" i="10"/>
  <c r="Z31" i="10" s="1"/>
  <c r="Y104" i="10"/>
  <c r="Z104" i="10" s="1"/>
  <c r="Y33" i="10"/>
  <c r="Z33" i="10" s="1"/>
  <c r="Y34" i="10"/>
  <c r="Z34" i="10" s="1"/>
  <c r="Y35" i="10"/>
  <c r="Z35" i="10" s="1"/>
  <c r="Y37" i="10"/>
  <c r="Y135" i="10"/>
  <c r="Y40" i="10"/>
  <c r="Z40" i="10" s="1"/>
  <c r="Y41" i="10"/>
  <c r="Z41" i="10" s="1"/>
  <c r="Y88" i="10"/>
  <c r="Z88" i="10" s="1"/>
  <c r="Y221" i="10"/>
  <c r="Z221" i="10" s="1"/>
  <c r="Y122" i="10"/>
  <c r="Z122" i="10" s="1"/>
  <c r="Y42" i="10"/>
  <c r="Y43" i="10"/>
  <c r="Z43" i="10" s="1"/>
  <c r="Y107" i="10"/>
  <c r="Z107" i="10" s="1"/>
  <c r="Y46" i="10"/>
  <c r="Z46" i="10" s="1"/>
  <c r="Y101" i="10"/>
  <c r="Z101" i="10" s="1"/>
  <c r="Y149" i="10"/>
  <c r="Z149" i="10" s="1"/>
  <c r="Y127" i="10"/>
  <c r="Z127" i="10" s="1"/>
  <c r="Y49" i="10"/>
  <c r="Z49" i="10" s="1"/>
  <c r="Y139" i="10"/>
  <c r="Z139" i="10" s="1"/>
  <c r="Y195" i="10"/>
  <c r="Z195" i="10" s="1"/>
  <c r="Y51" i="10"/>
  <c r="Z51" i="10" s="1"/>
  <c r="Y52" i="10"/>
  <c r="Z52" i="10" s="1"/>
  <c r="Y170" i="10"/>
  <c r="Z170" i="10" s="1"/>
  <c r="Y157" i="10"/>
  <c r="Z157" i="10" s="1"/>
  <c r="Y56" i="10"/>
  <c r="Z56" i="10" s="1"/>
  <c r="Y97" i="10"/>
  <c r="Z97" i="10" s="1"/>
  <c r="Y250" i="10"/>
  <c r="Z250" i="10" s="1"/>
  <c r="Y109" i="10"/>
  <c r="Y166" i="10"/>
  <c r="Z166" i="10" s="1"/>
  <c r="Y126" i="10"/>
  <c r="Z126" i="10" s="1"/>
  <c r="Y115" i="10"/>
  <c r="Z115" i="10" s="1"/>
  <c r="Y58" i="10"/>
  <c r="Z58" i="10" s="1"/>
  <c r="Y231" i="10"/>
  <c r="Z231" i="10" s="1"/>
  <c r="Y145" i="10"/>
  <c r="Z145" i="10" s="1"/>
  <c r="Y91" i="10"/>
  <c r="Y168" i="10"/>
  <c r="Z168" i="10" s="1"/>
  <c r="Y63" i="10"/>
  <c r="Y171" i="10"/>
  <c r="Z171" i="10" s="1"/>
  <c r="Y172" i="10"/>
  <c r="Z172" i="10" s="1"/>
  <c r="Y225" i="10"/>
  <c r="Z225" i="10" s="1"/>
  <c r="Y216" i="10"/>
  <c r="Z216" i="10" s="1"/>
  <c r="Y198" i="10"/>
  <c r="Z198" i="10" s="1"/>
  <c r="Y202" i="10"/>
  <c r="Z202" i="10" s="1"/>
  <c r="Y175" i="10"/>
  <c r="Z175" i="10" s="1"/>
  <c r="Y184" i="10"/>
  <c r="Z184" i="10" s="1"/>
  <c r="Y179" i="10"/>
  <c r="Z179" i="10" s="1"/>
  <c r="Y210" i="10"/>
  <c r="Z210" i="10" s="1"/>
  <c r="Y262" i="10"/>
  <c r="Z262" i="10" s="1"/>
  <c r="Y213" i="10"/>
  <c r="Z213" i="10" s="1"/>
  <c r="Y263" i="10"/>
  <c r="Z263" i="10" s="1"/>
  <c r="Y237" i="10"/>
  <c r="Z237" i="10" s="1"/>
  <c r="Y228" i="10"/>
  <c r="Z228" i="10" s="1"/>
  <c r="Y154" i="10"/>
  <c r="Z154" i="10" s="1"/>
  <c r="Y264" i="10"/>
  <c r="Z264" i="10" s="1"/>
  <c r="Y174" i="10"/>
  <c r="Z174" i="10" s="1"/>
  <c r="Y186" i="10"/>
  <c r="Z186" i="10" s="1"/>
  <c r="Y185" i="10"/>
  <c r="Z185" i="10" s="1"/>
  <c r="Y266" i="10"/>
  <c r="Y191" i="10"/>
  <c r="Z191" i="10" s="1"/>
  <c r="Y268" i="10"/>
  <c r="Y269" i="10"/>
  <c r="Z269" i="10" s="1"/>
  <c r="Y270" i="10"/>
  <c r="Z270" i="10" s="1"/>
  <c r="Y73" i="10"/>
  <c r="Z73" i="10" s="1"/>
  <c r="Y74" i="10"/>
  <c r="Z74" i="10" s="1"/>
  <c r="Y77" i="10"/>
  <c r="Z77" i="10" s="1"/>
  <c r="Y78" i="10"/>
  <c r="Z78" i="10" s="1"/>
  <c r="Y79" i="10"/>
  <c r="Z79" i="10" s="1"/>
  <c r="Y83" i="10"/>
  <c r="Z118" i="10"/>
  <c r="Z63" i="10"/>
  <c r="Z268" i="10"/>
  <c r="AB143" i="10"/>
  <c r="AB100" i="10"/>
  <c r="AB236" i="10"/>
  <c r="AB123" i="10"/>
  <c r="AC123" i="10" s="1"/>
  <c r="AB141" i="10"/>
  <c r="AC141" i="10" s="1"/>
  <c r="AB108" i="10"/>
  <c r="AC108" i="10" s="1"/>
  <c r="AB142" i="10"/>
  <c r="AB93" i="10"/>
  <c r="AC93" i="10" s="1"/>
  <c r="AB138" i="10"/>
  <c r="AC138" i="10" s="1"/>
  <c r="AB2" i="10"/>
  <c r="AB230" i="10"/>
  <c r="AB3" i="10"/>
  <c r="AB118" i="10"/>
  <c r="AC118" i="10" s="1"/>
  <c r="AB112" i="10"/>
  <c r="AC112" i="10" s="1"/>
  <c r="AB217" i="10"/>
  <c r="AB137" i="10"/>
  <c r="AB146" i="10"/>
  <c r="AC146" i="10" s="1"/>
  <c r="AB119" i="10"/>
  <c r="AC119" i="10" s="1"/>
  <c r="AB4" i="10"/>
  <c r="AC4" i="10" s="1"/>
  <c r="AB248" i="10"/>
  <c r="AB181" i="10"/>
  <c r="AB5" i="10"/>
  <c r="AB6" i="10"/>
  <c r="AC6" i="10" s="1"/>
  <c r="AB194" i="10"/>
  <c r="AB95" i="10"/>
  <c r="AB7" i="10"/>
  <c r="AB8" i="10"/>
  <c r="AC8" i="10" s="1"/>
  <c r="AB167" i="10"/>
  <c r="AC167" i="10" s="1"/>
  <c r="AB190" i="10"/>
  <c r="AB227" i="10"/>
  <c r="AB133" i="10"/>
  <c r="AC133" i="10" s="1"/>
  <c r="AB103" i="10"/>
  <c r="AC103" i="10" s="1"/>
  <c r="AB9" i="10"/>
  <c r="AC9" i="10" s="1"/>
  <c r="AB10" i="10"/>
  <c r="AC10" i="10" s="1"/>
  <c r="AB11" i="10"/>
  <c r="AC11" i="10" s="1"/>
  <c r="AB201" i="10"/>
  <c r="AC201" i="10" s="1"/>
  <c r="AB224" i="10"/>
  <c r="AC224" i="10" s="1"/>
  <c r="AB12" i="10"/>
  <c r="AB251" i="10"/>
  <c r="AB13" i="10"/>
  <c r="AB14" i="10"/>
  <c r="AB15" i="10"/>
  <c r="AC15" i="10" s="1"/>
  <c r="AB134" i="10"/>
  <c r="AB110" i="10"/>
  <c r="AB89" i="10"/>
  <c r="AB16" i="10"/>
  <c r="AC16" i="10" s="1"/>
  <c r="AB165" i="10"/>
  <c r="AC165" i="10" s="1"/>
  <c r="AB17" i="10"/>
  <c r="AC17" i="10" s="1"/>
  <c r="AB18" i="10"/>
  <c r="AB121" i="10"/>
  <c r="AB19" i="10"/>
  <c r="AC19" i="10" s="1"/>
  <c r="AB241" i="10"/>
  <c r="AB20" i="10"/>
  <c r="AB21" i="10"/>
  <c r="AB22" i="10"/>
  <c r="AC22" i="10" s="1"/>
  <c r="AB23" i="10"/>
  <c r="AC23" i="10" s="1"/>
  <c r="AB24" i="10"/>
  <c r="AB25" i="10"/>
  <c r="AB247" i="10"/>
  <c r="AB223" i="10"/>
  <c r="AC223" i="10" s="1"/>
  <c r="AB128" i="10"/>
  <c r="AC128" i="10" s="1"/>
  <c r="AB129" i="10"/>
  <c r="AB253" i="10"/>
  <c r="AB26" i="10"/>
  <c r="AC26" i="10" s="1"/>
  <c r="AB27" i="10"/>
  <c r="AC27" i="10" s="1"/>
  <c r="AB28" i="10"/>
  <c r="AB29" i="10"/>
  <c r="AB30" i="10"/>
  <c r="AB31" i="10"/>
  <c r="AC31" i="10" s="1"/>
  <c r="AB32" i="10"/>
  <c r="AC32" i="10" s="1"/>
  <c r="AB85" i="10"/>
  <c r="AB218" i="10"/>
  <c r="AB214" i="10"/>
  <c r="AC214" i="10" s="1"/>
  <c r="AB200" i="10"/>
  <c r="AC200" i="10" s="1"/>
  <c r="AB131" i="10"/>
  <c r="AC131" i="10" s="1"/>
  <c r="AB104" i="10"/>
  <c r="AC104" i="10" s="1"/>
  <c r="AB130" i="10"/>
  <c r="AC130" i="10" s="1"/>
  <c r="AB147" i="10"/>
  <c r="AC147" i="10" s="1"/>
  <c r="AB124" i="10"/>
  <c r="AC124" i="10" s="1"/>
  <c r="AB219" i="10"/>
  <c r="AB33" i="10"/>
  <c r="AB34" i="10"/>
  <c r="AB35" i="10"/>
  <c r="AC35" i="10" s="1"/>
  <c r="AB36" i="10"/>
  <c r="AC36" i="10" s="1"/>
  <c r="AB249" i="10"/>
  <c r="AB37" i="10"/>
  <c r="AB180" i="10"/>
  <c r="AC180" i="10" s="1"/>
  <c r="AB38" i="10"/>
  <c r="AC38" i="10" s="1"/>
  <c r="AB39" i="10"/>
  <c r="AC39" i="10" s="1"/>
  <c r="AB135" i="10"/>
  <c r="AC135" i="10" s="1"/>
  <c r="AB40" i="10"/>
  <c r="AB41" i="10"/>
  <c r="AB88" i="10"/>
  <c r="AC88" i="10" s="1"/>
  <c r="AB221" i="10"/>
  <c r="AB122" i="10"/>
  <c r="AB42" i="10"/>
  <c r="AB43" i="10"/>
  <c r="AC43" i="10" s="1"/>
  <c r="AB44" i="10"/>
  <c r="AC44" i="10" s="1"/>
  <c r="AB169" i="10"/>
  <c r="AB163" i="10"/>
  <c r="AB45" i="10"/>
  <c r="AC45" i="10" s="1"/>
  <c r="AB107" i="10"/>
  <c r="AC107" i="10" s="1"/>
  <c r="AB252" i="10"/>
  <c r="AC252" i="10" s="1"/>
  <c r="AB46" i="10"/>
  <c r="AB47" i="10"/>
  <c r="AB101" i="10"/>
  <c r="AC101" i="10" s="1"/>
  <c r="AB192" i="10"/>
  <c r="AC192" i="10" s="1"/>
  <c r="AB48" i="10"/>
  <c r="AB149" i="10"/>
  <c r="AB127" i="10"/>
  <c r="AB49" i="10"/>
  <c r="AC49" i="10" s="1"/>
  <c r="AB229" i="10"/>
  <c r="AC229" i="10" s="1"/>
  <c r="AB239" i="10"/>
  <c r="AB144" i="10"/>
  <c r="AB150" i="10"/>
  <c r="AB139" i="10"/>
  <c r="AC139" i="10" s="1"/>
  <c r="AB116" i="10"/>
  <c r="AC116" i="10" s="1"/>
  <c r="AB151" i="10"/>
  <c r="AC151" i="10" s="1"/>
  <c r="AB195" i="10"/>
  <c r="AB193" i="10"/>
  <c r="AC193" i="10" s="1"/>
  <c r="AB50" i="10"/>
  <c r="AC50" i="10" s="1"/>
  <c r="AB177" i="10"/>
  <c r="AB51" i="10"/>
  <c r="AB52" i="10"/>
  <c r="AB170" i="10"/>
  <c r="AC170" i="10" s="1"/>
  <c r="AB53" i="10"/>
  <c r="AC53" i="10" s="1"/>
  <c r="AB54" i="10"/>
  <c r="AB182" i="10"/>
  <c r="AB55" i="10"/>
  <c r="AC55" i="10" s="1"/>
  <c r="AB196" i="10"/>
  <c r="AC196" i="10" s="1"/>
  <c r="AB158" i="10"/>
  <c r="AC158" i="10" s="1"/>
  <c r="AB197" i="10"/>
  <c r="AC197" i="10" s="1"/>
  <c r="AB117" i="10"/>
  <c r="AB120" i="10"/>
  <c r="AC120" i="10" s="1"/>
  <c r="AB148" i="10"/>
  <c r="AC148" i="10" s="1"/>
  <c r="AB164" i="10"/>
  <c r="AB157" i="10"/>
  <c r="AB56" i="10"/>
  <c r="AB97" i="10"/>
  <c r="AB57" i="10"/>
  <c r="AC57" i="10" s="1"/>
  <c r="AB87" i="10"/>
  <c r="AB92" i="10"/>
  <c r="AB161" i="10"/>
  <c r="AC161" i="10" s="1"/>
  <c r="AB125" i="10"/>
  <c r="AC125" i="10" s="1"/>
  <c r="AB250" i="10"/>
  <c r="AC250" i="10" s="1"/>
  <c r="AB109" i="10"/>
  <c r="AB86" i="10"/>
  <c r="AC86" i="10" s="1"/>
  <c r="AB189" i="10"/>
  <c r="AC189" i="10" s="1"/>
  <c r="AB155" i="10"/>
  <c r="AC155" i="10" s="1"/>
  <c r="AB166" i="10"/>
  <c r="AB126" i="10"/>
  <c r="AB115" i="10"/>
  <c r="AB58" i="10"/>
  <c r="AC58" i="10" s="1"/>
  <c r="AB152" i="10"/>
  <c r="AC152" i="10" s="1"/>
  <c r="AB243" i="10"/>
  <c r="AB162" i="10"/>
  <c r="AB113" i="10"/>
  <c r="AC113" i="10" s="1"/>
  <c r="AB240" i="10"/>
  <c r="AC240" i="10" s="1"/>
  <c r="AB159" i="10"/>
  <c r="AC159" i="10" s="1"/>
  <c r="AB231" i="10"/>
  <c r="AC231" i="10" s="1"/>
  <c r="AB232" i="10"/>
  <c r="AB90" i="10"/>
  <c r="AB136" i="10"/>
  <c r="AC136" i="10" s="1"/>
  <c r="AB114" i="10"/>
  <c r="AB145" i="10"/>
  <c r="AB91" i="10"/>
  <c r="AB168" i="10"/>
  <c r="AC168" i="10" s="1"/>
  <c r="AB220" i="10"/>
  <c r="AC220" i="10" s="1"/>
  <c r="AB254" i="10"/>
  <c r="AB156" i="10"/>
  <c r="AB59" i="10"/>
  <c r="AB60" i="10"/>
  <c r="AC60" i="10" s="1"/>
  <c r="AB61" i="10"/>
  <c r="AC61" i="10" s="1"/>
  <c r="AB255" i="10"/>
  <c r="AC255" i="10" s="1"/>
  <c r="AB256" i="10"/>
  <c r="AB94" i="10"/>
  <c r="AC94" i="10" s="1"/>
  <c r="AB257" i="10"/>
  <c r="AC257" i="10" s="1"/>
  <c r="AB62" i="10"/>
  <c r="AB63" i="10"/>
  <c r="AB171" i="10"/>
  <c r="AB172" i="10"/>
  <c r="AC172" i="10" s="1"/>
  <c r="AB173" i="10"/>
  <c r="AC173" i="10" s="1"/>
  <c r="AB258" i="10"/>
  <c r="AB64" i="10"/>
  <c r="AB106" i="10"/>
  <c r="AC106" i="10" s="1"/>
  <c r="AB65" i="10"/>
  <c r="AC65" i="10" s="1"/>
  <c r="AB66" i="10"/>
  <c r="AC66" i="10" s="1"/>
  <c r="AB259" i="10"/>
  <c r="AB225" i="10"/>
  <c r="AC225" i="10" s="1"/>
  <c r="AB99" i="10"/>
  <c r="AC99" i="10" s="1"/>
  <c r="AB244" i="10"/>
  <c r="AC244" i="10" s="1"/>
  <c r="AB226" i="10"/>
  <c r="AB216" i="10"/>
  <c r="AB198" i="10"/>
  <c r="AB202" i="10"/>
  <c r="AC202" i="10" s="1"/>
  <c r="AB203" i="10"/>
  <c r="AC203" i="10" s="1"/>
  <c r="AB204" i="10"/>
  <c r="AB245" i="10"/>
  <c r="AB205" i="10"/>
  <c r="AC205" i="10" s="1"/>
  <c r="AB206" i="10"/>
  <c r="AC206" i="10" s="1"/>
  <c r="AB207" i="10"/>
  <c r="AC207" i="10" s="1"/>
  <c r="AB215" i="10"/>
  <c r="AC215" i="10" s="1"/>
  <c r="AB175" i="10"/>
  <c r="AB208" i="10"/>
  <c r="AB183" i="10"/>
  <c r="AC183" i="10" s="1"/>
  <c r="AB209" i="10"/>
  <c r="AB184" i="10"/>
  <c r="AB179" i="10"/>
  <c r="AB210" i="10"/>
  <c r="AC210" i="10" s="1"/>
  <c r="AB211" i="10"/>
  <c r="AC211" i="10" s="1"/>
  <c r="AB260" i="10"/>
  <c r="AC260" i="10" s="1"/>
  <c r="AB199" i="10"/>
  <c r="AC199" i="10" s="1"/>
  <c r="AB261" i="10"/>
  <c r="AC261" i="10" s="1"/>
  <c r="AB262" i="10"/>
  <c r="AC262" i="10" s="1"/>
  <c r="AB98" i="10"/>
  <c r="AC98" i="10" s="1"/>
  <c r="AB96" i="10"/>
  <c r="AC96" i="10" s="1"/>
  <c r="AB178" i="10"/>
  <c r="AC178" i="10" s="1"/>
  <c r="AB213" i="10"/>
  <c r="AC213" i="10" s="1"/>
  <c r="AB140" i="10"/>
  <c r="AC140" i="10" s="1"/>
  <c r="AB246" i="10"/>
  <c r="AC246" i="10" s="1"/>
  <c r="AB263" i="10"/>
  <c r="AC263" i="10" s="1"/>
  <c r="AB237" i="10"/>
  <c r="AB228" i="10"/>
  <c r="AC228" i="10" s="1"/>
  <c r="AB102" i="10"/>
  <c r="AC102" i="10" s="1"/>
  <c r="AB132" i="10"/>
  <c r="AC132" i="10" s="1"/>
  <c r="AB67" i="10"/>
  <c r="AC67" i="10" s="1"/>
  <c r="AB212" i="10"/>
  <c r="AC212" i="10" s="1"/>
  <c r="AB242" i="10"/>
  <c r="AC242" i="10" s="1"/>
  <c r="AB153" i="10"/>
  <c r="AC153" i="10" s="1"/>
  <c r="AB154" i="10"/>
  <c r="AC154" i="10" s="1"/>
  <c r="AB264" i="10"/>
  <c r="AC264" i="10" s="1"/>
  <c r="AB233" i="10"/>
  <c r="AC233" i="10" s="1"/>
  <c r="AB187" i="10"/>
  <c r="AC187" i="10" s="1"/>
  <c r="AB188" i="10"/>
  <c r="AC188" i="10" s="1"/>
  <c r="AB174" i="10"/>
  <c r="AC174" i="10" s="1"/>
  <c r="AB186" i="10"/>
  <c r="AB185" i="10"/>
  <c r="AC185" i="10" s="1"/>
  <c r="AB111" i="10"/>
  <c r="AC111" i="10" s="1"/>
  <c r="AB160" i="10"/>
  <c r="AC160" i="10" s="1"/>
  <c r="AB105" i="10"/>
  <c r="AC105" i="10" s="1"/>
  <c r="AB265" i="10"/>
  <c r="AC265" i="10" s="1"/>
  <c r="AB266" i="10"/>
  <c r="AC266" i="10" s="1"/>
  <c r="AB176" i="10"/>
  <c r="AC176" i="10" s="1"/>
  <c r="AB238" i="10"/>
  <c r="AC238" i="10" s="1"/>
  <c r="AB222" i="10"/>
  <c r="AC222" i="10" s="1"/>
  <c r="AB191" i="10"/>
  <c r="AC191" i="10" s="1"/>
  <c r="AB267" i="10"/>
  <c r="AC267" i="10" s="1"/>
  <c r="AB235" i="10"/>
  <c r="AC235" i="10" s="1"/>
  <c r="AB268" i="10"/>
  <c r="AC268" i="10" s="1"/>
  <c r="AB269" i="10"/>
  <c r="AC269" i="10" s="1"/>
  <c r="AB270" i="10"/>
  <c r="AC270" i="10" s="1"/>
  <c r="AB271" i="10"/>
  <c r="AC271" i="10" s="1"/>
  <c r="AB68" i="10"/>
  <c r="AC68" i="10" s="1"/>
  <c r="AB69" i="10"/>
  <c r="AC69" i="10" s="1"/>
  <c r="AB234" i="10"/>
  <c r="AC234" i="10" s="1"/>
  <c r="AB70" i="10"/>
  <c r="AC70" i="10" s="1"/>
  <c r="AB71" i="10"/>
  <c r="AC71" i="10" s="1"/>
  <c r="AB72" i="10"/>
  <c r="AC72" i="10" s="1"/>
  <c r="AB73" i="10"/>
  <c r="AC73" i="10" s="1"/>
  <c r="AB74" i="10"/>
  <c r="AC74" i="10" s="1"/>
  <c r="AB75" i="10"/>
  <c r="AC75" i="10" s="1"/>
  <c r="AB76" i="10"/>
  <c r="AC76" i="10" s="1"/>
  <c r="AB77" i="10"/>
  <c r="AC77" i="10" s="1"/>
  <c r="AB78" i="10"/>
  <c r="AC78" i="10" s="1"/>
  <c r="AB79" i="10"/>
  <c r="AC79" i="10" s="1"/>
  <c r="AB80" i="10"/>
  <c r="AC80" i="10" s="1"/>
  <c r="AB81" i="10"/>
  <c r="AC81" i="10" s="1"/>
  <c r="AB82" i="10"/>
  <c r="AC82" i="10" s="1"/>
  <c r="AB272" i="10"/>
  <c r="AC272" i="10" s="1"/>
  <c r="AB83" i="10"/>
  <c r="AC83" i="10" s="1"/>
  <c r="AB273" i="10"/>
  <c r="AC273" i="10" s="1"/>
  <c r="AB84" i="10"/>
  <c r="AC84" i="10" s="1"/>
  <c r="AB274" i="10"/>
  <c r="AC274" i="10" s="1"/>
  <c r="AC143" i="10"/>
  <c r="AC100" i="10"/>
  <c r="AC236" i="10"/>
  <c r="AC142" i="10"/>
  <c r="AC2" i="10"/>
  <c r="AC230" i="10"/>
  <c r="AC3" i="10"/>
  <c r="AC217" i="10"/>
  <c r="AC137" i="10"/>
  <c r="AC248" i="10"/>
  <c r="AC181" i="10"/>
  <c r="AC5" i="10"/>
  <c r="AC194" i="10"/>
  <c r="AC95" i="10"/>
  <c r="AC7" i="10"/>
  <c r="AC190" i="10"/>
  <c r="AC227" i="10"/>
  <c r="AC12" i="10"/>
  <c r="AC251" i="10"/>
  <c r="AC13" i="10"/>
  <c r="AC14" i="10"/>
  <c r="AC134" i="10"/>
  <c r="AC110" i="10"/>
  <c r="AC89" i="10"/>
  <c r="AC18" i="10"/>
  <c r="AC121" i="10"/>
  <c r="AC241" i="10"/>
  <c r="AC20" i="10"/>
  <c r="AC21" i="10"/>
  <c r="AC24" i="10"/>
  <c r="AC25" i="10"/>
  <c r="AC247" i="10"/>
  <c r="AC129" i="10"/>
  <c r="AC253" i="10"/>
  <c r="AC28" i="10"/>
  <c r="AC29" i="10"/>
  <c r="AC30" i="10"/>
  <c r="AC85" i="10"/>
  <c r="AC218" i="10"/>
  <c r="AC219" i="10"/>
  <c r="AC33" i="10"/>
  <c r="AC34" i="10"/>
  <c r="AC249" i="10"/>
  <c r="AC37" i="10"/>
  <c r="AC40" i="10"/>
  <c r="AC41" i="10"/>
  <c r="AC221" i="10"/>
  <c r="AC122" i="10"/>
  <c r="AC42" i="10"/>
  <c r="AC169" i="10"/>
  <c r="AC163" i="10"/>
  <c r="AC46" i="10"/>
  <c r="AC47" i="10"/>
  <c r="AC48" i="10"/>
  <c r="AC149" i="10"/>
  <c r="AC127" i="10"/>
  <c r="AC239" i="10"/>
  <c r="AC144" i="10"/>
  <c r="AC150" i="10"/>
  <c r="AC195" i="10"/>
  <c r="AC177" i="10"/>
  <c r="AC51" i="10"/>
  <c r="AC52" i="10"/>
  <c r="AC54" i="10"/>
  <c r="AC182" i="10"/>
  <c r="AC117" i="10"/>
  <c r="AC164" i="10"/>
  <c r="AC157" i="10"/>
  <c r="AC56" i="10"/>
  <c r="AC97" i="10"/>
  <c r="AC87" i="10"/>
  <c r="AC92" i="10"/>
  <c r="AC109" i="10"/>
  <c r="AC166" i="10"/>
  <c r="AC126" i="10"/>
  <c r="AC115" i="10"/>
  <c r="AC243" i="10"/>
  <c r="AC162" i="10"/>
  <c r="AC232" i="10"/>
  <c r="AC90" i="10"/>
  <c r="AC114" i="10"/>
  <c r="AC145" i="10"/>
  <c r="AC91" i="10"/>
  <c r="AC254" i="10"/>
  <c r="AC156" i="10"/>
  <c r="AC59" i="10"/>
  <c r="AC256" i="10"/>
  <c r="AC62" i="10"/>
  <c r="AC63" i="10"/>
  <c r="AC171" i="10"/>
  <c r="AC258" i="10"/>
  <c r="AC64" i="10"/>
  <c r="AC259" i="10"/>
  <c r="AC226" i="10"/>
  <c r="AC216" i="10"/>
  <c r="AC198" i="10"/>
  <c r="AC204" i="10"/>
  <c r="AC245" i="10"/>
  <c r="AC175" i="10"/>
  <c r="AC208" i="10"/>
  <c r="AC209" i="10"/>
  <c r="AC184" i="10"/>
  <c r="AC179" i="10"/>
  <c r="AC237" i="10"/>
  <c r="AC186" i="10"/>
  <c r="N81" i="42" l="1"/>
  <c r="N45" i="42"/>
  <c r="N115" i="42"/>
  <c r="N63" i="42"/>
  <c r="N25" i="42"/>
  <c r="N151" i="42"/>
  <c r="N133" i="42"/>
  <c r="N7" i="42"/>
  <c r="N147" i="42"/>
  <c r="N39" i="42"/>
  <c r="N21" i="42"/>
  <c r="N95" i="42"/>
  <c r="N109" i="42"/>
  <c r="N73" i="42"/>
  <c r="N143" i="42"/>
  <c r="N91" i="42"/>
  <c r="N17" i="42"/>
  <c r="N129" i="42"/>
  <c r="N77" i="42"/>
  <c r="N3" i="42"/>
  <c r="N105" i="42"/>
  <c r="N157" i="42"/>
  <c r="N67" i="42"/>
  <c r="N101" i="42"/>
  <c r="N49" i="42"/>
  <c r="N31" i="42"/>
  <c r="P449" i="39"/>
  <c r="P435" i="39"/>
  <c r="P421" i="39"/>
  <c r="P407" i="39"/>
  <c r="P393" i="39"/>
  <c r="P379" i="39"/>
  <c r="P365" i="39"/>
  <c r="P351" i="39"/>
  <c r="P337" i="39"/>
  <c r="P323" i="39"/>
  <c r="P309" i="39"/>
  <c r="P295" i="39"/>
  <c r="P281" i="39"/>
  <c r="P267" i="39"/>
  <c r="P197" i="39"/>
  <c r="P183" i="39"/>
  <c r="P141" i="39"/>
  <c r="P127" i="39"/>
  <c r="P113" i="39"/>
  <c r="P99" i="39"/>
  <c r="P85" i="39"/>
  <c r="P71" i="39"/>
  <c r="P3" i="39"/>
  <c r="P87" i="39"/>
  <c r="U471" i="39"/>
  <c r="U457" i="39"/>
  <c r="U443" i="39"/>
  <c r="U429" i="39"/>
  <c r="U415" i="39"/>
  <c r="U401" i="39"/>
  <c r="U387" i="39"/>
  <c r="U373" i="39"/>
  <c r="U359" i="39"/>
  <c r="U345" i="39"/>
  <c r="U331" i="39"/>
  <c r="U317" i="39"/>
  <c r="U303" i="39"/>
  <c r="U289" i="39"/>
  <c r="U275" i="39"/>
  <c r="U261" i="39"/>
  <c r="U247" i="39"/>
  <c r="U233" i="39"/>
  <c r="U219" i="39"/>
  <c r="U205" i="39"/>
  <c r="U191" i="39"/>
  <c r="U177" i="39"/>
  <c r="U163" i="39"/>
  <c r="U149" i="39"/>
  <c r="U135" i="39"/>
  <c r="U121" i="39"/>
  <c r="U107" i="39"/>
  <c r="U93" i="39"/>
  <c r="U79" i="39"/>
  <c r="U65" i="39"/>
  <c r="U51" i="39"/>
  <c r="U37" i="39"/>
  <c r="U23" i="39"/>
  <c r="U9" i="39"/>
  <c r="U451" i="39"/>
  <c r="U423" i="39"/>
  <c r="U395" i="39"/>
  <c r="U367" i="39"/>
  <c r="U339" i="39"/>
  <c r="U311" i="39"/>
  <c r="U283" i="39"/>
  <c r="U255" i="39"/>
  <c r="U227" i="39"/>
  <c r="U199" i="39"/>
  <c r="U171" i="39"/>
  <c r="U143" i="39"/>
  <c r="U115" i="39"/>
  <c r="U87" i="39"/>
  <c r="U59" i="39"/>
  <c r="U31" i="39"/>
  <c r="U3" i="39"/>
  <c r="U467" i="39"/>
  <c r="U439" i="39"/>
  <c r="U411" i="39"/>
  <c r="U383" i="39"/>
  <c r="U355" i="39"/>
  <c r="U327" i="39"/>
  <c r="U299" i="39"/>
  <c r="U271" i="39"/>
  <c r="U243" i="39"/>
  <c r="U215" i="39"/>
  <c r="U187" i="39"/>
  <c r="U159" i="39"/>
  <c r="U131" i="39"/>
  <c r="U103" i="39"/>
  <c r="U75" i="39"/>
  <c r="U47" i="39"/>
  <c r="U19" i="39"/>
  <c r="U464" i="39"/>
  <c r="U450" i="39"/>
  <c r="U436" i="39"/>
  <c r="U422" i="39"/>
  <c r="U408" i="39"/>
  <c r="U394" i="39"/>
  <c r="U380" i="39"/>
  <c r="U366" i="39"/>
  <c r="U352" i="39"/>
  <c r="U338" i="39"/>
  <c r="U324" i="39"/>
  <c r="U310" i="39"/>
  <c r="U296" i="39"/>
  <c r="U282" i="39"/>
  <c r="U268" i="39"/>
  <c r="U254" i="39"/>
  <c r="U240" i="39"/>
  <c r="U226" i="39"/>
  <c r="U212" i="39"/>
  <c r="U198" i="39"/>
  <c r="U184" i="39"/>
  <c r="U170" i="39"/>
  <c r="U156" i="39"/>
  <c r="U142" i="39"/>
  <c r="U128" i="39"/>
  <c r="U114" i="39"/>
  <c r="U100" i="39"/>
  <c r="U86" i="39"/>
  <c r="U72" i="39"/>
  <c r="U58" i="39"/>
  <c r="U44" i="39"/>
  <c r="U30" i="39"/>
  <c r="U16" i="39"/>
  <c r="U2" i="39"/>
  <c r="U466" i="39"/>
  <c r="U452" i="39"/>
  <c r="U438" i="39"/>
  <c r="U424" i="39"/>
  <c r="U410" i="39"/>
  <c r="U396" i="39"/>
  <c r="U382" i="39"/>
  <c r="U368" i="39"/>
  <c r="U354" i="39"/>
  <c r="U340" i="39"/>
  <c r="U326" i="39"/>
  <c r="U312" i="39"/>
  <c r="U298" i="39"/>
  <c r="U284" i="39"/>
  <c r="U270" i="39"/>
  <c r="U256" i="39"/>
  <c r="U242" i="39"/>
  <c r="U228" i="39"/>
  <c r="U214" i="39"/>
  <c r="U200" i="39"/>
  <c r="U186" i="39"/>
  <c r="U172" i="39"/>
  <c r="U158" i="39"/>
  <c r="U144" i="39"/>
  <c r="U130" i="39"/>
  <c r="U116" i="39"/>
  <c r="U102" i="39"/>
  <c r="U88" i="39"/>
  <c r="U74" i="39"/>
  <c r="U60" i="39"/>
  <c r="U46" i="39"/>
  <c r="U32" i="39"/>
  <c r="U18" i="39"/>
  <c r="U4" i="39"/>
  <c r="P461" i="39"/>
  <c r="P111" i="39"/>
  <c r="P253" i="39"/>
  <c r="P225" i="39"/>
  <c r="P155" i="39"/>
  <c r="P29" i="39"/>
  <c r="P283" i="39"/>
  <c r="P451" i="39"/>
  <c r="P405" i="39"/>
  <c r="P349" i="39"/>
  <c r="P195" i="39"/>
  <c r="P97" i="39"/>
  <c r="P409" i="39"/>
  <c r="P293" i="39"/>
  <c r="P239" i="39"/>
  <c r="P211" i="39"/>
  <c r="P169" i="39"/>
  <c r="P15" i="39"/>
  <c r="P460" i="39"/>
  <c r="P199" i="39"/>
  <c r="P101" i="39"/>
  <c r="P404" i="39"/>
  <c r="P339" i="39"/>
  <c r="P279" i="39"/>
  <c r="P185" i="39"/>
  <c r="P353" i="39"/>
  <c r="P209" i="39"/>
  <c r="P43" i="39"/>
  <c r="P447" i="39"/>
  <c r="P395" i="39"/>
  <c r="P269" i="39"/>
  <c r="P181" i="39"/>
  <c r="P83" i="39"/>
  <c r="P459" i="39"/>
  <c r="P445" i="39"/>
  <c r="P431" i="39"/>
  <c r="P417" i="39"/>
  <c r="P403" i="39"/>
  <c r="P389" i="39"/>
  <c r="P375" i="39"/>
  <c r="P361" i="39"/>
  <c r="P347" i="39"/>
  <c r="P333" i="39"/>
  <c r="P319" i="39"/>
  <c r="P305" i="39"/>
  <c r="P291" i="39"/>
  <c r="P277" i="39"/>
  <c r="P263" i="39"/>
  <c r="P249" i="39"/>
  <c r="P235" i="39"/>
  <c r="P221" i="39"/>
  <c r="P207" i="39"/>
  <c r="P193" i="39"/>
  <c r="P179" i="39"/>
  <c r="P165" i="39"/>
  <c r="P151" i="39"/>
  <c r="P137" i="39"/>
  <c r="P123" i="39"/>
  <c r="P109" i="39"/>
  <c r="P95" i="39"/>
  <c r="P81" i="39"/>
  <c r="P67" i="39"/>
  <c r="P53" i="39"/>
  <c r="P39" i="39"/>
  <c r="P25" i="39"/>
  <c r="P12" i="39"/>
  <c r="P82" i="39"/>
  <c r="P110" i="39"/>
  <c r="P138" i="39"/>
  <c r="P152" i="39"/>
  <c r="P180" i="39"/>
  <c r="P222" i="39"/>
  <c r="P264" i="39"/>
  <c r="P278" i="39"/>
  <c r="P376" i="39"/>
  <c r="P96" i="39"/>
  <c r="P292" i="39"/>
  <c r="P124" i="39"/>
  <c r="P362" i="39"/>
  <c r="P68" i="39"/>
  <c r="P236" i="39"/>
  <c r="P306" i="39"/>
  <c r="P40" i="39"/>
  <c r="P166" i="39"/>
  <c r="P250" i="39"/>
  <c r="P334" i="39"/>
  <c r="P54" i="39"/>
  <c r="P194" i="39"/>
  <c r="P320" i="39"/>
  <c r="P11" i="39"/>
  <c r="P26" i="39"/>
  <c r="P208" i="39"/>
  <c r="P348" i="39"/>
  <c r="P446" i="39"/>
  <c r="P335" i="39"/>
  <c r="P171" i="39"/>
  <c r="P73" i="39"/>
  <c r="P458" i="39"/>
  <c r="P444" i="39"/>
  <c r="P430" i="39"/>
  <c r="P416" i="39"/>
  <c r="P402" i="39"/>
  <c r="P388" i="39"/>
  <c r="P374" i="39"/>
  <c r="P360" i="39"/>
  <c r="P346" i="39"/>
  <c r="P332" i="39"/>
  <c r="P318" i="39"/>
  <c r="P304" i="39"/>
  <c r="P290" i="39"/>
  <c r="P276" i="39"/>
  <c r="P262" i="39"/>
  <c r="P248" i="39"/>
  <c r="P234" i="39"/>
  <c r="P220" i="39"/>
  <c r="P206" i="39"/>
  <c r="P192" i="39"/>
  <c r="P178" i="39"/>
  <c r="P164" i="39"/>
  <c r="P150" i="39"/>
  <c r="P136" i="39"/>
  <c r="P122" i="39"/>
  <c r="P108" i="39"/>
  <c r="P94" i="39"/>
  <c r="P80" i="39"/>
  <c r="P66" i="39"/>
  <c r="P52" i="39"/>
  <c r="P38" i="39"/>
  <c r="P24" i="39"/>
  <c r="P4" i="39"/>
  <c r="U469" i="39"/>
  <c r="U455" i="39"/>
  <c r="U441" i="39"/>
  <c r="U427" i="39"/>
  <c r="U413" i="39"/>
  <c r="U399" i="39"/>
  <c r="U385" i="39"/>
  <c r="U371" i="39"/>
  <c r="U357" i="39"/>
  <c r="U343" i="39"/>
  <c r="U329" i="39"/>
  <c r="U315" i="39"/>
  <c r="U301" i="39"/>
  <c r="U287" i="39"/>
  <c r="U273" i="39"/>
  <c r="U259" i="39"/>
  <c r="U245" i="39"/>
  <c r="U231" i="39"/>
  <c r="U217" i="39"/>
  <c r="U203" i="39"/>
  <c r="U189" i="39"/>
  <c r="U175" i="39"/>
  <c r="U161" i="39"/>
  <c r="U147" i="39"/>
  <c r="U133" i="39"/>
  <c r="U119" i="39"/>
  <c r="U105" i="39"/>
  <c r="U91" i="39"/>
  <c r="U77" i="39"/>
  <c r="U63" i="39"/>
  <c r="U49" i="39"/>
  <c r="U35" i="39"/>
  <c r="U21" i="39"/>
  <c r="U7" i="39"/>
  <c r="P437" i="39"/>
  <c r="P391" i="39"/>
  <c r="P325" i="39"/>
  <c r="P265" i="39"/>
  <c r="P167" i="39"/>
  <c r="P69" i="39"/>
  <c r="P390" i="39"/>
  <c r="P255" i="39"/>
  <c r="P157" i="39"/>
  <c r="P59" i="39"/>
  <c r="P433" i="39"/>
  <c r="P381" i="39"/>
  <c r="P321" i="39"/>
  <c r="P251" i="39"/>
  <c r="P153" i="39"/>
  <c r="P55" i="39"/>
  <c r="P432" i="39"/>
  <c r="P311" i="39"/>
  <c r="P241" i="39"/>
  <c r="P143" i="39"/>
  <c r="P45" i="39"/>
  <c r="P423" i="39"/>
  <c r="P377" i="39"/>
  <c r="P237" i="39"/>
  <c r="P139" i="39"/>
  <c r="P41" i="39"/>
  <c r="P13" i="39"/>
  <c r="P57" i="39"/>
  <c r="P367" i="39"/>
  <c r="P307" i="39"/>
  <c r="P227" i="39"/>
  <c r="P129" i="39"/>
  <c r="P31" i="39"/>
  <c r="P465" i="39"/>
  <c r="P419" i="39"/>
  <c r="P297" i="39"/>
  <c r="P223" i="39"/>
  <c r="P125" i="39"/>
  <c r="P27" i="39"/>
  <c r="P418" i="39"/>
  <c r="P363" i="39"/>
  <c r="P213" i="39"/>
  <c r="P115" i="39"/>
  <c r="P17" i="39"/>
  <c r="P464" i="39"/>
  <c r="P450" i="39"/>
  <c r="P436" i="39"/>
  <c r="P422" i="39"/>
  <c r="P408" i="39"/>
  <c r="P394" i="39"/>
  <c r="P380" i="39"/>
  <c r="P366" i="39"/>
  <c r="P352" i="39"/>
  <c r="P338" i="39"/>
  <c r="P324" i="39"/>
  <c r="P310" i="39"/>
  <c r="P296" i="39"/>
  <c r="P282" i="39"/>
  <c r="P268" i="39"/>
  <c r="P254" i="39"/>
  <c r="P240" i="39"/>
  <c r="P226" i="39"/>
  <c r="P212" i="39"/>
  <c r="P198" i="39"/>
  <c r="P184" i="39"/>
  <c r="P170" i="39"/>
  <c r="P156" i="39"/>
  <c r="P142" i="39"/>
  <c r="P128" i="39"/>
  <c r="P114" i="39"/>
  <c r="P100" i="39"/>
  <c r="P86" i="39"/>
  <c r="P72" i="39"/>
  <c r="P58" i="39"/>
  <c r="P44" i="39"/>
  <c r="P30" i="39"/>
  <c r="P16" i="39"/>
  <c r="P2" i="39"/>
  <c r="P462" i="39"/>
  <c r="P448" i="39"/>
  <c r="P434" i="39"/>
  <c r="P420" i="39"/>
  <c r="P406" i="39"/>
  <c r="P392" i="39"/>
  <c r="P378" i="39"/>
  <c r="P364" i="39"/>
  <c r="P350" i="39"/>
  <c r="P336" i="39"/>
  <c r="P322" i="39"/>
  <c r="P308" i="39"/>
  <c r="P294" i="39"/>
  <c r="P280" i="39"/>
  <c r="P266" i="39"/>
  <c r="P252" i="39"/>
  <c r="P238" i="39"/>
  <c r="P224" i="39"/>
  <c r="P210" i="39"/>
  <c r="P196" i="39"/>
  <c r="P182" i="39"/>
  <c r="P168" i="39"/>
  <c r="P154" i="39"/>
  <c r="P140" i="39"/>
  <c r="P126" i="39"/>
  <c r="P112" i="39"/>
  <c r="P98" i="39"/>
  <c r="P84" i="39"/>
  <c r="P70" i="39"/>
  <c r="P56" i="39"/>
  <c r="P42" i="39"/>
  <c r="P28" i="39"/>
  <c r="P14" i="39"/>
  <c r="P10" i="39"/>
  <c r="P471" i="39"/>
  <c r="P457" i="39"/>
  <c r="P443" i="39"/>
  <c r="P429" i="39"/>
  <c r="P415" i="39"/>
  <c r="P401" i="39"/>
  <c r="P387" i="39"/>
  <c r="P373" i="39"/>
  <c r="P359" i="39"/>
  <c r="P345" i="39"/>
  <c r="P331" i="39"/>
  <c r="P317" i="39"/>
  <c r="P303" i="39"/>
  <c r="P289" i="39"/>
  <c r="P275" i="39"/>
  <c r="P261" i="39"/>
  <c r="P247" i="39"/>
  <c r="P233" i="39"/>
  <c r="P219" i="39"/>
  <c r="P205" i="39"/>
  <c r="P191" i="39"/>
  <c r="P177" i="39"/>
  <c r="P163" i="39"/>
  <c r="P149" i="39"/>
  <c r="P135" i="39"/>
  <c r="P121" i="39"/>
  <c r="P107" i="39"/>
  <c r="P93" i="39"/>
  <c r="P79" i="39"/>
  <c r="P65" i="39"/>
  <c r="P51" i="39"/>
  <c r="P37" i="39"/>
  <c r="P23" i="39"/>
  <c r="P9" i="39"/>
  <c r="P470" i="39"/>
  <c r="P456" i="39"/>
  <c r="P442" i="39"/>
  <c r="P428" i="39"/>
  <c r="P414" i="39"/>
  <c r="P400" i="39"/>
  <c r="P386" i="39"/>
  <c r="P372" i="39"/>
  <c r="P358" i="39"/>
  <c r="P344" i="39"/>
  <c r="P330" i="39"/>
  <c r="P316" i="39"/>
  <c r="P302" i="39"/>
  <c r="P288" i="39"/>
  <c r="P274" i="39"/>
  <c r="P260" i="39"/>
  <c r="P246" i="39"/>
  <c r="P232" i="39"/>
  <c r="P218" i="39"/>
  <c r="P204" i="39"/>
  <c r="P190" i="39"/>
  <c r="P176" i="39"/>
  <c r="P162" i="39"/>
  <c r="P148" i="39"/>
  <c r="P134" i="39"/>
  <c r="P120" i="39"/>
  <c r="P106" i="39"/>
  <c r="P92" i="39"/>
  <c r="P78" i="39"/>
  <c r="P64" i="39"/>
  <c r="P50" i="39"/>
  <c r="P36" i="39"/>
  <c r="P22" i="39"/>
  <c r="P8" i="39"/>
  <c r="P469" i="39"/>
  <c r="P455" i="39"/>
  <c r="P441" i="39"/>
  <c r="P427" i="39"/>
  <c r="P413" i="39"/>
  <c r="P399" i="39"/>
  <c r="P385" i="39"/>
  <c r="P371" i="39"/>
  <c r="P357" i="39"/>
  <c r="P343" i="39"/>
  <c r="P329" i="39"/>
  <c r="P315" i="39"/>
  <c r="P301" i="39"/>
  <c r="P287" i="39"/>
  <c r="P273" i="39"/>
  <c r="P259" i="39"/>
  <c r="P245" i="39"/>
  <c r="P231" i="39"/>
  <c r="P217" i="39"/>
  <c r="P203" i="39"/>
  <c r="P189" i="39"/>
  <c r="P175" i="39"/>
  <c r="P161" i="39"/>
  <c r="P147" i="39"/>
  <c r="P133" i="39"/>
  <c r="P119" i="39"/>
  <c r="P105" i="39"/>
  <c r="P91" i="39"/>
  <c r="P77" i="39"/>
  <c r="P63" i="39"/>
  <c r="P49" i="39"/>
  <c r="P35" i="39"/>
  <c r="P21" i="39"/>
  <c r="P7" i="39"/>
  <c r="P468" i="39"/>
  <c r="P454" i="39"/>
  <c r="P440" i="39"/>
  <c r="P426" i="39"/>
  <c r="P412" i="39"/>
  <c r="P398" i="39"/>
  <c r="P384" i="39"/>
  <c r="P370" i="39"/>
  <c r="P356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6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P211" i="34"/>
  <c r="R211" i="34" s="1"/>
  <c r="P191" i="34"/>
  <c r="R191" i="34" s="1"/>
  <c r="P99" i="34"/>
  <c r="Z192" i="10"/>
  <c r="N225" i="34"/>
  <c r="O225" i="34" s="1"/>
  <c r="L141" i="34"/>
  <c r="N99" i="34"/>
  <c r="O99" i="34" s="1"/>
  <c r="W168" i="10"/>
  <c r="AA168" i="10" s="1"/>
  <c r="Z147" i="10"/>
  <c r="Y192" i="10"/>
  <c r="V75" i="10"/>
  <c r="V267" i="10"/>
  <c r="V187" i="10"/>
  <c r="V140" i="10"/>
  <c r="V183" i="10"/>
  <c r="V244" i="10"/>
  <c r="V257" i="10"/>
  <c r="V136" i="10"/>
  <c r="V155" i="10"/>
  <c r="V148" i="10"/>
  <c r="V50" i="10"/>
  <c r="V192" i="10"/>
  <c r="V88" i="10"/>
  <c r="V124" i="10"/>
  <c r="V27" i="10"/>
  <c r="V19" i="10"/>
  <c r="V224" i="10"/>
  <c r="V6" i="10"/>
  <c r="V138" i="10"/>
  <c r="S142" i="10"/>
  <c r="T142" i="10" s="1"/>
  <c r="Z83" i="10"/>
  <c r="S70" i="10"/>
  <c r="T70" i="10" s="1"/>
  <c r="Z266" i="10"/>
  <c r="S242" i="10"/>
  <c r="T242" i="10" s="1"/>
  <c r="S65" i="10"/>
  <c r="T65" i="10" s="1"/>
  <c r="S139" i="10"/>
  <c r="T139" i="10" s="1"/>
  <c r="S107" i="10"/>
  <c r="T107" i="10" s="1"/>
  <c r="P255" i="34"/>
  <c r="R255" i="34" s="1"/>
  <c r="P152" i="34"/>
  <c r="Y106" i="10"/>
  <c r="Z106" i="10" s="1"/>
  <c r="Y120" i="10"/>
  <c r="Z120" i="10" s="1"/>
  <c r="V73" i="10"/>
  <c r="V222" i="10"/>
  <c r="V264" i="10"/>
  <c r="V178" i="10"/>
  <c r="V175" i="10"/>
  <c r="V225" i="10"/>
  <c r="V232" i="10"/>
  <c r="V86" i="10"/>
  <c r="V117" i="10"/>
  <c r="V195" i="10"/>
  <c r="V47" i="10"/>
  <c r="V40" i="10"/>
  <c r="V130" i="10"/>
  <c r="V253" i="10"/>
  <c r="V18" i="10"/>
  <c r="V181" i="10"/>
  <c r="V142" i="10"/>
  <c r="S75" i="10"/>
  <c r="T75" i="10" s="1"/>
  <c r="S183" i="10"/>
  <c r="T183" i="10" s="1"/>
  <c r="S155" i="10"/>
  <c r="T155" i="10" s="1"/>
  <c r="S148" i="10"/>
  <c r="T148" i="10" s="1"/>
  <c r="S50" i="10"/>
  <c r="T50" i="10" s="1"/>
  <c r="S192" i="10"/>
  <c r="T192" i="10" s="1"/>
  <c r="S88" i="10"/>
  <c r="T88" i="10" s="1"/>
  <c r="S124" i="10"/>
  <c r="T124" i="10" s="1"/>
  <c r="S19" i="10"/>
  <c r="T19" i="10" s="1"/>
  <c r="S224" i="10"/>
  <c r="T224" i="10" s="1"/>
  <c r="S6" i="10"/>
  <c r="T6" i="10" s="1"/>
  <c r="S138" i="10"/>
  <c r="T138" i="10" s="1"/>
  <c r="P138" i="34"/>
  <c r="R138" i="34" s="1"/>
  <c r="L78" i="34"/>
  <c r="J184" i="34"/>
  <c r="L184" i="34" s="1"/>
  <c r="Z161" i="10"/>
  <c r="Y274" i="10"/>
  <c r="Z274" i="10" s="1"/>
  <c r="S74" i="10"/>
  <c r="T74" i="10" s="1"/>
  <c r="S191" i="10"/>
  <c r="T191" i="10" s="1"/>
  <c r="S233" i="10"/>
  <c r="T233" i="10" s="1"/>
  <c r="S213" i="10"/>
  <c r="T213" i="10" s="1"/>
  <c r="S208" i="10"/>
  <c r="T208" i="10" s="1"/>
  <c r="S99" i="10"/>
  <c r="T99" i="10" s="1"/>
  <c r="S94" i="10"/>
  <c r="T94" i="10" s="1"/>
  <c r="S90" i="10"/>
  <c r="T90" i="10" s="1"/>
  <c r="S189" i="10"/>
  <c r="T189" i="10" s="1"/>
  <c r="S120" i="10"/>
  <c r="T120" i="10" s="1"/>
  <c r="S193" i="10"/>
  <c r="T193" i="10" s="1"/>
  <c r="S101" i="10"/>
  <c r="T101" i="10" s="1"/>
  <c r="S41" i="10"/>
  <c r="T41" i="10" s="1"/>
  <c r="S147" i="10"/>
  <c r="T147" i="10" s="1"/>
  <c r="S26" i="10"/>
  <c r="T26" i="10" s="1"/>
  <c r="S121" i="10"/>
  <c r="T121" i="10" s="1"/>
  <c r="S201" i="10"/>
  <c r="T201" i="10" s="1"/>
  <c r="S5" i="10"/>
  <c r="T5" i="10" s="1"/>
  <c r="S93" i="10"/>
  <c r="T93" i="10" s="1"/>
  <c r="S254" i="10"/>
  <c r="S134" i="10"/>
  <c r="P239" i="34"/>
  <c r="P15" i="34"/>
  <c r="S27" i="10"/>
  <c r="T27" i="10" s="1"/>
  <c r="S73" i="10"/>
  <c r="T73" i="10" s="1"/>
  <c r="S222" i="10"/>
  <c r="T222" i="10" s="1"/>
  <c r="S175" i="10"/>
  <c r="T175" i="10" s="1"/>
  <c r="S225" i="10"/>
  <c r="T225" i="10" s="1"/>
  <c r="S256" i="10"/>
  <c r="T256" i="10" s="1"/>
  <c r="S117" i="10"/>
  <c r="T117" i="10" s="1"/>
  <c r="S130" i="10"/>
  <c r="T130" i="10" s="1"/>
  <c r="S253" i="10"/>
  <c r="T253" i="10" s="1"/>
  <c r="S11" i="10"/>
  <c r="T11" i="10" s="1"/>
  <c r="S181" i="10"/>
  <c r="T181" i="10" s="1"/>
  <c r="V111" i="10"/>
  <c r="V211" i="10"/>
  <c r="V57" i="10"/>
  <c r="V53" i="10"/>
  <c r="V44" i="10"/>
  <c r="V15" i="10"/>
  <c r="S167" i="10"/>
  <c r="S112" i="10"/>
  <c r="P116" i="34"/>
  <c r="R116" i="34" s="1"/>
  <c r="P222" i="34"/>
  <c r="R222" i="34" s="1"/>
  <c r="W146" i="10"/>
  <c r="P18" i="34"/>
  <c r="R18" i="34" s="1"/>
  <c r="Y257" i="10"/>
  <c r="Z257" i="10" s="1"/>
  <c r="Y18" i="10"/>
  <c r="Z18" i="10" s="1"/>
  <c r="V55" i="10"/>
  <c r="V150" i="10"/>
  <c r="V45" i="10"/>
  <c r="V247" i="10"/>
  <c r="V89" i="10"/>
  <c r="V236" i="10"/>
  <c r="P101" i="34"/>
  <c r="R101" i="34" s="1"/>
  <c r="W37" i="10"/>
  <c r="P209" i="34"/>
  <c r="R209" i="34" s="1"/>
  <c r="N240" i="34"/>
  <c r="O240" i="34" s="1"/>
  <c r="N169" i="34"/>
  <c r="O169" i="34" s="1"/>
  <c r="J212" i="34"/>
  <c r="L212" i="34" s="1"/>
  <c r="P194" i="34"/>
  <c r="R194" i="34" s="1"/>
  <c r="P98" i="34"/>
  <c r="R98" i="34" s="1"/>
  <c r="W14" i="10"/>
  <c r="AA14" i="10" s="1"/>
  <c r="P84" i="34"/>
  <c r="R84" i="34" s="1"/>
  <c r="P81" i="34"/>
  <c r="R81" i="34" s="1"/>
  <c r="P172" i="34"/>
  <c r="R172" i="34" s="1"/>
  <c r="Y161" i="10"/>
  <c r="Y146" i="10"/>
  <c r="Z146" i="10" s="1"/>
  <c r="W198" i="10"/>
  <c r="V133" i="10"/>
  <c r="S79" i="10"/>
  <c r="T79" i="10" s="1"/>
  <c r="S270" i="10"/>
  <c r="T270" i="10" s="1"/>
  <c r="S185" i="10"/>
  <c r="T185" i="10" s="1"/>
  <c r="S228" i="10"/>
  <c r="T228" i="10" s="1"/>
  <c r="S210" i="10"/>
  <c r="T210" i="10" s="1"/>
  <c r="S202" i="10"/>
  <c r="T202" i="10" s="1"/>
  <c r="S172" i="10"/>
  <c r="T172" i="10" s="1"/>
  <c r="S168" i="10"/>
  <c r="T168" i="10" s="1"/>
  <c r="S58" i="10"/>
  <c r="T58" i="10" s="1"/>
  <c r="S97" i="10"/>
  <c r="T97" i="10" s="1"/>
  <c r="S170" i="10"/>
  <c r="T170" i="10" s="1"/>
  <c r="S49" i="10"/>
  <c r="T49" i="10" s="1"/>
  <c r="P169" i="34"/>
  <c r="P65" i="34"/>
  <c r="R65" i="34" s="1"/>
  <c r="V76" i="10"/>
  <c r="V273" i="10"/>
  <c r="S71" i="10"/>
  <c r="T71" i="10" s="1"/>
  <c r="S98" i="10"/>
  <c r="T98" i="10" s="1"/>
  <c r="S207" i="10"/>
  <c r="T207" i="10" s="1"/>
  <c r="S66" i="10"/>
  <c r="T66" i="10" s="1"/>
  <c r="S61" i="10"/>
  <c r="T61" i="10" s="1"/>
  <c r="V250" i="10"/>
  <c r="P258" i="34" s="1"/>
  <c r="R258" i="34" s="1"/>
  <c r="S158" i="10"/>
  <c r="T158" i="10" s="1"/>
  <c r="S39" i="10"/>
  <c r="T39" i="10" s="1"/>
  <c r="V128" i="10"/>
  <c r="V9" i="10"/>
  <c r="S4" i="10"/>
  <c r="T4" i="10" s="1"/>
  <c r="V141" i="10"/>
  <c r="P46" i="34" s="1"/>
  <c r="R46" i="34" s="1"/>
  <c r="P153" i="34"/>
  <c r="R153" i="34" s="1"/>
  <c r="P4" i="34"/>
  <c r="R4" i="34" s="1"/>
  <c r="P175" i="34"/>
  <c r="R175" i="34" s="1"/>
  <c r="P195" i="34"/>
  <c r="R195" i="34" s="1"/>
  <c r="P215" i="34"/>
  <c r="R215" i="34" s="1"/>
  <c r="P236" i="34"/>
  <c r="P135" i="34"/>
  <c r="R135" i="34" s="1"/>
  <c r="P256" i="34"/>
  <c r="R256" i="34" s="1"/>
  <c r="P155" i="34"/>
  <c r="R155" i="34" s="1"/>
  <c r="P34" i="34"/>
  <c r="R34" i="34" s="1"/>
  <c r="P76" i="34"/>
  <c r="R76" i="34" s="1"/>
  <c r="P92" i="34"/>
  <c r="R92" i="34" s="1"/>
  <c r="P204" i="34"/>
  <c r="R204" i="34" s="1"/>
  <c r="P24" i="34"/>
  <c r="R24" i="34" s="1"/>
  <c r="P108" i="34"/>
  <c r="R108" i="34" s="1"/>
  <c r="P164" i="34"/>
  <c r="R164" i="34" s="1"/>
  <c r="P44" i="34"/>
  <c r="R44" i="34" s="1"/>
  <c r="P124" i="34"/>
  <c r="R124" i="34" s="1"/>
  <c r="P245" i="34"/>
  <c r="P3" i="34"/>
  <c r="P144" i="34"/>
  <c r="R144" i="34" s="1"/>
  <c r="P184" i="34"/>
  <c r="P60" i="34"/>
  <c r="R60" i="34" s="1"/>
  <c r="P225" i="34"/>
  <c r="AC875" i="20"/>
  <c r="AC811" i="20"/>
  <c r="AC1104" i="20"/>
  <c r="AC979" i="20"/>
  <c r="AC1019" i="20"/>
  <c r="AC829" i="20"/>
  <c r="AC949" i="20"/>
  <c r="AC1173" i="20"/>
  <c r="AC1360" i="20"/>
  <c r="AC2297" i="20"/>
  <c r="AC1705" i="20"/>
  <c r="AC2071" i="20"/>
  <c r="AC780" i="20"/>
  <c r="AC1689" i="20"/>
  <c r="AC822" i="20"/>
  <c r="AC1349" i="20"/>
  <c r="AC654" i="20"/>
  <c r="AC2145" i="20"/>
  <c r="AC1529" i="20"/>
  <c r="AC1510" i="20"/>
  <c r="AC1896" i="20"/>
  <c r="AC708" i="20"/>
  <c r="AC1059" i="20"/>
  <c r="AC1447" i="20"/>
  <c r="AC1203" i="20"/>
  <c r="AC1795" i="20"/>
  <c r="AC856" i="20"/>
  <c r="AC695" i="20"/>
  <c r="AC1942" i="20"/>
  <c r="AC2046" i="20"/>
  <c r="AC2366" i="20"/>
  <c r="AC785" i="20"/>
  <c r="AC430" i="20"/>
  <c r="AC1014" i="20"/>
  <c r="AC1414" i="20"/>
  <c r="AC1498" i="20"/>
  <c r="AC1624" i="20"/>
  <c r="AC946" i="20"/>
  <c r="AC303" i="20"/>
  <c r="AC680" i="20"/>
  <c r="AC966" i="20"/>
  <c r="AC942" i="20"/>
  <c r="AC1106" i="20"/>
  <c r="AC1481" i="20"/>
  <c r="AC2091" i="20"/>
  <c r="AC1435" i="20"/>
  <c r="AC899" i="20"/>
  <c r="AC1336" i="20"/>
  <c r="AC1337" i="20"/>
  <c r="AC1654" i="20"/>
  <c r="AC2241" i="20"/>
  <c r="AC1849" i="20"/>
  <c r="AC1920" i="20"/>
  <c r="AC2313" i="20"/>
  <c r="AC2175" i="20"/>
  <c r="AC1734" i="20"/>
  <c r="AC190" i="20"/>
  <c r="AC341" i="20"/>
  <c r="AC291" i="20"/>
  <c r="AC363" i="20"/>
  <c r="AC246" i="20"/>
  <c r="AC192" i="20"/>
  <c r="AC137" i="20"/>
  <c r="AC1163" i="20"/>
  <c r="AC686" i="20"/>
  <c r="AC712" i="20"/>
  <c r="AC938" i="20"/>
  <c r="AC1556" i="20"/>
  <c r="AC1642" i="20"/>
  <c r="AC1814" i="20"/>
  <c r="AC1912" i="20"/>
  <c r="AC1585" i="20"/>
  <c r="AC1710" i="20"/>
  <c r="AC2260" i="20"/>
  <c r="AC2220" i="20"/>
  <c r="AC188" i="20"/>
  <c r="AC212" i="20"/>
  <c r="AC550" i="20"/>
  <c r="AC285" i="20"/>
  <c r="AC439" i="20"/>
  <c r="AC621" i="20"/>
  <c r="AC747" i="20"/>
  <c r="AC385" i="20"/>
  <c r="AC967" i="20"/>
  <c r="AC150" i="20"/>
  <c r="AC208" i="20"/>
  <c r="AC504" i="20"/>
  <c r="AC1469" i="20"/>
  <c r="AC1567" i="20"/>
  <c r="AC108" i="20"/>
  <c r="AC335" i="20"/>
  <c r="AC362" i="20"/>
  <c r="AC414" i="20"/>
  <c r="AC1135" i="20"/>
  <c r="AC1180" i="20"/>
  <c r="AC538" i="20"/>
  <c r="AC1152" i="20"/>
  <c r="AC444" i="20"/>
  <c r="AC587" i="20"/>
  <c r="AC1260" i="20"/>
  <c r="AC766" i="20"/>
  <c r="AC1636" i="20"/>
  <c r="AC203" i="20"/>
  <c r="AC724" i="20"/>
  <c r="AC1004" i="20"/>
  <c r="AC80" i="20"/>
  <c r="AC232" i="20"/>
  <c r="AC2118" i="20"/>
  <c r="AC373" i="20"/>
  <c r="AC2035" i="20"/>
  <c r="AC1416" i="20"/>
  <c r="AC1121" i="20"/>
  <c r="AC1996" i="20"/>
  <c r="AC1397" i="20"/>
  <c r="AC1458" i="20"/>
  <c r="AC903" i="20"/>
  <c r="AC1292" i="20"/>
  <c r="AC1860" i="20"/>
  <c r="AC2193" i="20"/>
  <c r="AC2278" i="20"/>
  <c r="AC2003" i="20"/>
  <c r="AC2169" i="20"/>
  <c r="AC1989" i="20"/>
  <c r="AC1806" i="20"/>
  <c r="AC2246" i="20"/>
  <c r="AC47" i="20"/>
  <c r="AC464" i="20"/>
  <c r="AC483" i="20"/>
  <c r="AC1345" i="20"/>
  <c r="AC170" i="20"/>
  <c r="AC1010" i="20"/>
  <c r="AC1175" i="20"/>
  <c r="AC1933" i="20"/>
  <c r="AC2073" i="20"/>
  <c r="AC1818" i="20"/>
  <c r="AC2137" i="20"/>
  <c r="AC1747" i="20"/>
  <c r="AC2009" i="20"/>
  <c r="AC2204" i="20"/>
  <c r="AC2331" i="20"/>
  <c r="AC33" i="20"/>
  <c r="AC841" i="20"/>
  <c r="AC675" i="20"/>
  <c r="AC1200" i="20"/>
  <c r="AC1056" i="20"/>
  <c r="AC1444" i="20"/>
  <c r="AC1683" i="20"/>
  <c r="AC2363" i="20"/>
  <c r="AC2301" i="20"/>
  <c r="AC17" i="20"/>
  <c r="AC160" i="20"/>
  <c r="AC661" i="20"/>
  <c r="AC452" i="20"/>
  <c r="AC425" i="20"/>
  <c r="AC557" i="20"/>
  <c r="AC879" i="20"/>
  <c r="AC375" i="20"/>
  <c r="AC1340" i="20"/>
  <c r="AC1341" i="20"/>
  <c r="AC768" i="20"/>
  <c r="AC1249" i="20"/>
  <c r="AC2019" i="20"/>
  <c r="AC1628" i="20"/>
  <c r="AC1039" i="20"/>
  <c r="AC1472" i="20"/>
  <c r="AC1982" i="20"/>
  <c r="AC500" i="20"/>
  <c r="AC1872" i="20"/>
  <c r="AC1762" i="20"/>
  <c r="AC2096" i="20"/>
  <c r="AC2295" i="20"/>
  <c r="AC2452" i="20"/>
  <c r="AC2415" i="20"/>
  <c r="AC2" i="20"/>
  <c r="AC102" i="20"/>
  <c r="AC144" i="20"/>
  <c r="AC408" i="20"/>
  <c r="AC436" i="20"/>
  <c r="AC506" i="20"/>
  <c r="AC86" i="20"/>
  <c r="AC480" i="20"/>
  <c r="AC789" i="20"/>
  <c r="AC623" i="20"/>
  <c r="AC922" i="20"/>
  <c r="AC1300" i="20"/>
  <c r="AC734" i="20"/>
  <c r="AC1316" i="20"/>
  <c r="AC219" i="20"/>
  <c r="AC167" i="20"/>
  <c r="AC1170" i="20"/>
  <c r="AC328" i="20"/>
  <c r="AC964" i="20"/>
  <c r="AC1987" i="20"/>
  <c r="AC1571" i="20"/>
  <c r="AC2061" i="20"/>
  <c r="AC374" i="20"/>
  <c r="AC1214" i="20"/>
  <c r="AC834" i="20"/>
  <c r="AC1764" i="20"/>
  <c r="AC1600" i="20"/>
  <c r="AC1692" i="20"/>
  <c r="AC2100" i="20"/>
  <c r="AC2438" i="20"/>
  <c r="AC2230" i="20"/>
  <c r="AC2258" i="20"/>
  <c r="AC1854" i="20"/>
  <c r="AC2016" i="20"/>
  <c r="AC1759" i="20"/>
  <c r="Y65" i="10"/>
  <c r="Z65" i="10" s="1"/>
  <c r="Y247" i="10"/>
  <c r="W247" i="10" s="1"/>
  <c r="W118" i="10"/>
  <c r="AA118" i="10" s="1"/>
  <c r="V167" i="10"/>
  <c r="V80" i="10"/>
  <c r="V271" i="10"/>
  <c r="V203" i="10"/>
  <c r="V173" i="10"/>
  <c r="V220" i="10"/>
  <c r="V152" i="10"/>
  <c r="V229" i="10"/>
  <c r="V23" i="10"/>
  <c r="AC844" i="20"/>
  <c r="AC1057" i="20"/>
  <c r="AC1445" i="20"/>
  <c r="AC1201" i="20"/>
  <c r="AC1782" i="20"/>
  <c r="AC1940" i="20"/>
  <c r="AC2364" i="20"/>
  <c r="AC2044" i="20"/>
  <c r="AC779" i="20"/>
  <c r="AC1690" i="20"/>
  <c r="AC2072" i="20"/>
  <c r="AC2268" i="20"/>
  <c r="AC754" i="20"/>
  <c r="AC796" i="20"/>
  <c r="AC820" i="20"/>
  <c r="AC653" i="20"/>
  <c r="AC1977" i="20"/>
  <c r="AC1114" i="20"/>
  <c r="AC1352" i="20"/>
  <c r="AC1332" i="20"/>
  <c r="AC1531" i="20"/>
  <c r="AC1897" i="20"/>
  <c r="AC2147" i="20"/>
  <c r="AC2129" i="20"/>
  <c r="AC717" i="20"/>
  <c r="AC1210" i="20"/>
  <c r="AC1066" i="20"/>
  <c r="AC1430" i="20"/>
  <c r="AC1949" i="20"/>
  <c r="AC681" i="20"/>
  <c r="AC1792" i="20"/>
  <c r="AC2053" i="20"/>
  <c r="AC2351" i="20"/>
  <c r="AC1061" i="20"/>
  <c r="AC692" i="20"/>
  <c r="AC1425" i="20"/>
  <c r="AC850" i="20"/>
  <c r="AC2048" i="20"/>
  <c r="AC1205" i="20"/>
  <c r="AC515" i="20"/>
  <c r="AC1789" i="20"/>
  <c r="AC1944" i="20"/>
  <c r="AC2346" i="20"/>
  <c r="AC1581" i="20"/>
  <c r="AC1092" i="20"/>
  <c r="AC930" i="20"/>
  <c r="AC2265" i="20"/>
  <c r="AC1883" i="20"/>
  <c r="AC651" i="20"/>
  <c r="AC1045" i="20"/>
  <c r="AC1330" i="20"/>
  <c r="AC944" i="20"/>
  <c r="AC1107" i="20"/>
  <c r="AC1917" i="20"/>
  <c r="AC1622" i="20"/>
  <c r="AC806" i="20"/>
  <c r="AC1464" i="20"/>
  <c r="AC974" i="20"/>
  <c r="AC1503" i="20"/>
  <c r="AC1739" i="20"/>
  <c r="AC890" i="20"/>
  <c r="AC1278" i="20"/>
  <c r="AC2010" i="20"/>
  <c r="AC744" i="20"/>
  <c r="AC1354" i="20"/>
  <c r="AC868" i="20"/>
  <c r="AC2026" i="20"/>
  <c r="AC2115" i="20"/>
  <c r="AC1980" i="20"/>
  <c r="AC1918" i="20"/>
  <c r="AC2425" i="20"/>
  <c r="AC2202" i="20"/>
  <c r="AC2342" i="20"/>
  <c r="AC1901" i="20"/>
  <c r="AC2126" i="20"/>
  <c r="AC2288" i="20"/>
  <c r="AC2162" i="20"/>
  <c r="AC2457" i="20"/>
  <c r="AC2248" i="20"/>
  <c r="AC563" i="20"/>
  <c r="AC508" i="20"/>
  <c r="AC405" i="20"/>
  <c r="AC1029" i="20"/>
  <c r="AC510" i="20"/>
  <c r="AC730" i="20"/>
  <c r="AC1861" i="20"/>
  <c r="AC764" i="20"/>
  <c r="AC1384" i="20"/>
  <c r="AC1141" i="20"/>
  <c r="AC1630" i="20"/>
  <c r="AC1289" i="20"/>
  <c r="AC2280" i="20"/>
  <c r="AC2412" i="20"/>
  <c r="AC1371" i="20"/>
  <c r="AC1448" i="20"/>
  <c r="AC1325" i="20"/>
  <c r="AC1453" i="20"/>
  <c r="AC302" i="20"/>
  <c r="AC1421" i="20"/>
  <c r="AC505" i="20"/>
  <c r="AC645" i="20"/>
  <c r="AC340" i="20"/>
  <c r="AC290" i="20"/>
  <c r="AC189" i="20"/>
  <c r="AC191" i="20"/>
  <c r="AC247" i="20"/>
  <c r="AC877" i="20"/>
  <c r="AC65" i="20"/>
  <c r="AC156" i="20"/>
  <c r="AC32" i="20"/>
  <c r="AC1183" i="20"/>
  <c r="AC672" i="20"/>
  <c r="AC923" i="20"/>
  <c r="AC1830" i="20"/>
  <c r="AC2000" i="20"/>
  <c r="AC2447" i="20"/>
  <c r="AC1602" i="20"/>
  <c r="AC2385" i="20"/>
  <c r="AC134" i="20"/>
  <c r="AC381" i="20"/>
  <c r="AC15" i="20"/>
  <c r="AC585" i="20"/>
  <c r="AC1651" i="20"/>
  <c r="AC2063" i="20"/>
  <c r="AC825" i="20"/>
  <c r="AC2411" i="20"/>
  <c r="AC2387" i="20"/>
  <c r="P224" i="34"/>
  <c r="R224" i="34" s="1"/>
  <c r="P189" i="34"/>
  <c r="P171" i="34"/>
  <c r="R171" i="34" s="1"/>
  <c r="P154" i="34"/>
  <c r="R154" i="34" s="1"/>
  <c r="P137" i="34"/>
  <c r="R137" i="34" s="1"/>
  <c r="P117" i="34"/>
  <c r="R117" i="34" s="1"/>
  <c r="P100" i="34"/>
  <c r="P83" i="34"/>
  <c r="R83" i="34" s="1"/>
  <c r="P39" i="34"/>
  <c r="R39" i="34" s="1"/>
  <c r="P17" i="34"/>
  <c r="R17" i="34" s="1"/>
  <c r="AC939" i="20"/>
  <c r="AC1343" i="20"/>
  <c r="AC1016" i="20"/>
  <c r="AC1499" i="20"/>
  <c r="AC781" i="20"/>
  <c r="AC1128" i="20"/>
  <c r="AC1735" i="20"/>
  <c r="AC1276" i="20"/>
  <c r="AC1657" i="20"/>
  <c r="AC2023" i="20"/>
  <c r="AC1617" i="20"/>
  <c r="AC2327" i="20"/>
  <c r="AC2176" i="20"/>
  <c r="AC2388" i="20"/>
  <c r="AC815" i="20"/>
  <c r="AC915" i="20"/>
  <c r="AC1097" i="20"/>
  <c r="AC1400" i="20"/>
  <c r="AC978" i="20"/>
  <c r="AC1666" i="20"/>
  <c r="AC1519" i="20"/>
  <c r="AC1538" i="20"/>
  <c r="AC1908" i="20"/>
  <c r="AC1926" i="20"/>
  <c r="AC991" i="20"/>
  <c r="AC870" i="20"/>
  <c r="AC1678" i="20"/>
  <c r="AC2079" i="20"/>
  <c r="AC2215" i="20"/>
  <c r="AC1548" i="20"/>
  <c r="AC2161" i="20"/>
  <c r="AC2430" i="20"/>
  <c r="AC1511" i="20"/>
  <c r="AC948" i="20"/>
  <c r="AC2146" i="20"/>
  <c r="AC1350" i="20"/>
  <c r="AC823" i="20"/>
  <c r="AC1898" i="20"/>
  <c r="AC1530" i="20"/>
  <c r="AC710" i="20"/>
  <c r="AC688" i="20"/>
  <c r="AC1046" i="20"/>
  <c r="AC1165" i="20"/>
  <c r="AC1273" i="20"/>
  <c r="AC1222" i="20"/>
  <c r="AC950" i="20"/>
  <c r="AC1558" i="20"/>
  <c r="AC1712" i="20"/>
  <c r="AC1644" i="20"/>
  <c r="AC1816" i="20"/>
  <c r="AC1914" i="20"/>
  <c r="AC2308" i="20"/>
  <c r="AC1723" i="20"/>
  <c r="AC2109" i="20"/>
  <c r="AC1427" i="20"/>
  <c r="AC694" i="20"/>
  <c r="AC1063" i="20"/>
  <c r="AC518" i="20"/>
  <c r="AC1791" i="20"/>
  <c r="AC852" i="20"/>
  <c r="AC1207" i="20"/>
  <c r="AC2348" i="20"/>
  <c r="AC2050" i="20"/>
  <c r="AC1946" i="20"/>
  <c r="AC1090" i="20"/>
  <c r="AC928" i="20"/>
  <c r="AC1881" i="20"/>
  <c r="AC1579" i="20"/>
  <c r="AC2263" i="20"/>
  <c r="AC117" i="20"/>
  <c r="AC6" i="20"/>
  <c r="AC151" i="20"/>
  <c r="AC296" i="20"/>
  <c r="AC241" i="20"/>
  <c r="AC299" i="20"/>
  <c r="AC184" i="20"/>
  <c r="AC316" i="20"/>
  <c r="AC349" i="20"/>
  <c r="AC224" i="20"/>
  <c r="AC82" i="20"/>
  <c r="AC169" i="20"/>
  <c r="AC393" i="20"/>
  <c r="AC959" i="20"/>
  <c r="AC1122" i="20"/>
  <c r="AC1094" i="20"/>
  <c r="AC1365" i="20"/>
  <c r="AC1536" i="20"/>
  <c r="AC1866" i="20"/>
  <c r="AC1843" i="20"/>
  <c r="AC2315" i="20"/>
  <c r="AC909" i="20"/>
  <c r="AC264" i="20"/>
  <c r="AC186" i="20"/>
  <c r="AC1363" i="20"/>
  <c r="AC1023" i="20"/>
  <c r="AC1589" i="20"/>
  <c r="AC1865" i="20"/>
  <c r="AC1308" i="20"/>
  <c r="AC1374" i="20"/>
  <c r="AC2319" i="20"/>
  <c r="AC2008" i="20"/>
  <c r="P254" i="34"/>
  <c r="P238" i="34"/>
  <c r="R238" i="34" s="1"/>
  <c r="P186" i="34"/>
  <c r="R186" i="34" s="1"/>
  <c r="P133" i="34"/>
  <c r="P115" i="34"/>
  <c r="R115" i="34" s="1"/>
  <c r="N119" i="34"/>
  <c r="O119" i="34" s="1"/>
  <c r="J119" i="34"/>
  <c r="L119" i="34" s="1"/>
  <c r="Y240" i="10"/>
  <c r="Z240" i="10" s="1"/>
  <c r="AC547" i="20"/>
  <c r="AC832" i="20"/>
  <c r="AC871" i="20"/>
  <c r="AC814" i="20"/>
  <c r="AC1540" i="20"/>
  <c r="AC1098" i="20"/>
  <c r="AC1549" i="20"/>
  <c r="AC1679" i="20"/>
  <c r="AC914" i="20"/>
  <c r="AC1907" i="20"/>
  <c r="AC1521" i="20"/>
  <c r="AC2080" i="20"/>
  <c r="AC992" i="20"/>
  <c r="AC1402" i="20"/>
  <c r="AC1667" i="20"/>
  <c r="AC2216" i="20"/>
  <c r="AC2160" i="20"/>
  <c r="AC1927" i="20"/>
  <c r="AC2192" i="20"/>
  <c r="AC687" i="20"/>
  <c r="AC1221" i="20"/>
  <c r="AC1164" i="20"/>
  <c r="AC711" i="20"/>
  <c r="AC1272" i="20"/>
  <c r="AC1722" i="20"/>
  <c r="AC1557" i="20"/>
  <c r="AC1711" i="20"/>
  <c r="AC1643" i="20"/>
  <c r="AC1047" i="20"/>
  <c r="AC2108" i="20"/>
  <c r="AC1815" i="20"/>
  <c r="AC2307" i="20"/>
  <c r="AC1913" i="20"/>
  <c r="AC578" i="20"/>
  <c r="AC1255" i="20"/>
  <c r="AC1588" i="20"/>
  <c r="AC1810" i="20"/>
  <c r="AC2006" i="20"/>
  <c r="AC590" i="20"/>
  <c r="AC2335" i="20"/>
  <c r="AC924" i="20"/>
  <c r="AC568" i="20"/>
  <c r="AC1824" i="20"/>
  <c r="AC1576" i="20"/>
  <c r="AC1514" i="20"/>
  <c r="AC2460" i="20"/>
  <c r="AC2409" i="20"/>
  <c r="AC2102" i="20"/>
  <c r="AC907" i="20"/>
  <c r="AC618" i="20"/>
  <c r="AC1148" i="20"/>
  <c r="AC389" i="20"/>
  <c r="AC391" i="20"/>
  <c r="AC699" i="20"/>
  <c r="AC1366" i="20"/>
  <c r="AC2253" i="20"/>
  <c r="AC1773" i="20"/>
  <c r="AC325" i="20"/>
  <c r="AC437" i="20"/>
  <c r="AC495" i="20"/>
  <c r="AC287" i="20"/>
  <c r="AC403" i="20"/>
  <c r="AC293" i="20"/>
  <c r="AC1215" i="20"/>
  <c r="AC1391" i="20"/>
  <c r="AC2033" i="20"/>
  <c r="AC1253" i="20"/>
  <c r="AC1488" i="20"/>
  <c r="AC1755" i="20"/>
  <c r="AC1716" i="20"/>
  <c r="AC2277" i="20"/>
  <c r="AC1890" i="20"/>
  <c r="AC2378" i="20"/>
  <c r="AC306" i="20"/>
  <c r="AC262" i="20"/>
  <c r="AC179" i="20"/>
  <c r="AC197" i="20"/>
  <c r="AC411" i="20"/>
  <c r="AC331" i="20"/>
  <c r="AC584" i="20"/>
  <c r="AC885" i="20"/>
  <c r="AC987" i="20"/>
  <c r="AC1863" i="20"/>
  <c r="AC2381" i="20"/>
  <c r="AC253" i="20"/>
  <c r="AC351" i="20"/>
  <c r="AC365" i="20"/>
  <c r="AC422" i="20"/>
  <c r="AC213" i="20"/>
  <c r="AC242" i="20"/>
  <c r="AC298" i="20"/>
  <c r="AC802" i="20"/>
  <c r="AC1279" i="20"/>
  <c r="AC475" i="20"/>
  <c r="AC308" i="20"/>
  <c r="AC531" i="20"/>
  <c r="AC1596" i="20"/>
  <c r="AC442" i="20"/>
  <c r="AC1377" i="20"/>
  <c r="AC133" i="20"/>
  <c r="AC594" i="20"/>
  <c r="AC1875" i="20"/>
  <c r="AC1364" i="20"/>
  <c r="AC1767" i="20"/>
  <c r="AC1467" i="20"/>
  <c r="AC1412" i="20"/>
  <c r="AC128" i="20"/>
  <c r="AC738" i="20"/>
  <c r="AC1232" i="20"/>
  <c r="AC1742" i="20"/>
  <c r="AC1043" i="20"/>
  <c r="AC865" i="20"/>
  <c r="AC1151" i="20"/>
  <c r="AC1261" i="20"/>
  <c r="AC1474" i="20"/>
  <c r="AC1494" i="20"/>
  <c r="AC2250" i="20"/>
  <c r="AC2392" i="20"/>
  <c r="AC2098" i="20"/>
  <c r="AC2200" i="20"/>
  <c r="AC1804" i="20"/>
  <c r="AC1990" i="20"/>
  <c r="AC2373" i="20"/>
  <c r="AC2111" i="20"/>
  <c r="AC101" i="20"/>
  <c r="AC89" i="20"/>
  <c r="AC58" i="20"/>
  <c r="AC29" i="20"/>
  <c r="AC200" i="20"/>
  <c r="AC489" i="20"/>
  <c r="AC1216" i="20"/>
  <c r="AC1312" i="20"/>
  <c r="AC2149" i="20"/>
  <c r="AC12" i="20"/>
  <c r="AC1962" i="20"/>
  <c r="P221" i="34"/>
  <c r="R221" i="34" s="1"/>
  <c r="P203" i="34"/>
  <c r="R203" i="34" s="1"/>
  <c r="P151" i="34"/>
  <c r="P131" i="34"/>
  <c r="R131" i="34" s="1"/>
  <c r="P114" i="34"/>
  <c r="R114" i="34" s="1"/>
  <c r="P97" i="34"/>
  <c r="R97" i="34" s="1"/>
  <c r="P57" i="34"/>
  <c r="P33" i="34"/>
  <c r="R33" i="34" s="1"/>
  <c r="P14" i="34"/>
  <c r="R14" i="34" s="1"/>
  <c r="N250" i="34"/>
  <c r="O250" i="34" s="1"/>
  <c r="Q116" i="34"/>
  <c r="Q60" i="34"/>
  <c r="Q18" i="34"/>
  <c r="AC530" i="20"/>
  <c r="AC1241" i="20"/>
  <c r="AC636" i="20"/>
  <c r="AC1749" i="20"/>
  <c r="AC997" i="20"/>
  <c r="AC1395" i="20"/>
  <c r="AC1524" i="20"/>
  <c r="AC2403" i="20"/>
  <c r="AC2340" i="20"/>
  <c r="AC2429" i="20"/>
  <c r="AC1211" i="20"/>
  <c r="AC716" i="20"/>
  <c r="AC853" i="20"/>
  <c r="AC1067" i="20"/>
  <c r="AC1431" i="20"/>
  <c r="AC1950" i="20"/>
  <c r="AC682" i="20"/>
  <c r="AC2054" i="20"/>
  <c r="AC1793" i="20"/>
  <c r="AC2352" i="20"/>
  <c r="AC701" i="20"/>
  <c r="AC598" i="20"/>
  <c r="AC616" i="20"/>
  <c r="AC1001" i="20"/>
  <c r="AC1347" i="20"/>
  <c r="AC945" i="20"/>
  <c r="AC1108" i="20"/>
  <c r="AC918" i="20"/>
  <c r="AC1277" i="20"/>
  <c r="AC2021" i="20"/>
  <c r="AC1564" i="20"/>
  <c r="AC1619" i="20"/>
  <c r="AC1801" i="20"/>
  <c r="AC2426" i="20"/>
  <c r="AC2203" i="20"/>
  <c r="AC2329" i="20"/>
  <c r="AC2343" i="20"/>
  <c r="AC301" i="20"/>
  <c r="AC1225" i="20"/>
  <c r="AC1005" i="20"/>
  <c r="AC1275" i="20"/>
  <c r="AC1320" i="20"/>
  <c r="AC919" i="20"/>
  <c r="AC908" i="20"/>
  <c r="AC1466" i="20"/>
  <c r="AC630" i="20"/>
  <c r="AC1376" i="20"/>
  <c r="AC1599" i="20"/>
  <c r="AC2179" i="20"/>
  <c r="AC2028" i="20"/>
  <c r="AC2323" i="20"/>
  <c r="AC2120" i="20"/>
  <c r="AC2242" i="20"/>
  <c r="AC1729" i="20"/>
  <c r="AC1101" i="20"/>
  <c r="AC911" i="20"/>
  <c r="AC265" i="20"/>
  <c r="AC1405" i="20"/>
  <c r="AC828" i="20"/>
  <c r="AC874" i="20"/>
  <c r="AC1664" i="20"/>
  <c r="AC995" i="20"/>
  <c r="AC1552" i="20"/>
  <c r="AC1676" i="20"/>
  <c r="AC1930" i="20"/>
  <c r="AC2431" i="20"/>
  <c r="AC2083" i="20"/>
  <c r="AC2219" i="20"/>
  <c r="AC135" i="20"/>
  <c r="AC706" i="20"/>
  <c r="AC388" i="20"/>
  <c r="AC604" i="20"/>
  <c r="AC627" i="20"/>
  <c r="AC614" i="20"/>
  <c r="AC146" i="20"/>
  <c r="AC226" i="20"/>
  <c r="AC548" i="20"/>
  <c r="AC227" i="20"/>
  <c r="AC745" i="20"/>
  <c r="AC161" i="20"/>
  <c r="AC649" i="20"/>
  <c r="AC999" i="20"/>
  <c r="AC1224" i="20"/>
  <c r="AC1525" i="20"/>
  <c r="AC839" i="20"/>
  <c r="AC14" i="20"/>
  <c r="AC317" i="20"/>
  <c r="AC756" i="20"/>
  <c r="AC889" i="20"/>
  <c r="AC2015" i="20"/>
  <c r="AC1592" i="20"/>
  <c r="AC1922" i="20"/>
  <c r="AC782" i="20"/>
  <c r="AC402" i="20"/>
  <c r="AC1774" i="20"/>
  <c r="AC1970" i="20"/>
  <c r="AC2266" i="20"/>
  <c r="AC2294" i="20"/>
  <c r="AC2337" i="20"/>
  <c r="AC2422" i="20"/>
  <c r="AC2437" i="20"/>
  <c r="AC2312" i="20"/>
  <c r="AC1752" i="20"/>
  <c r="AC1565" i="20"/>
  <c r="Y70" i="10"/>
  <c r="Z70" i="10" s="1"/>
  <c r="Y113" i="10"/>
  <c r="Z113" i="10" s="1"/>
  <c r="AC833" i="20"/>
  <c r="AC546" i="20"/>
  <c r="AC813" i="20"/>
  <c r="AC872" i="20"/>
  <c r="AC1541" i="20"/>
  <c r="AC913" i="20"/>
  <c r="AC1403" i="20"/>
  <c r="AC993" i="20"/>
  <c r="AC1550" i="20"/>
  <c r="AC1680" i="20"/>
  <c r="AC1522" i="20"/>
  <c r="AC1928" i="20"/>
  <c r="AC1099" i="20"/>
  <c r="AC2130" i="20"/>
  <c r="AC2081" i="20"/>
  <c r="AC1668" i="20"/>
  <c r="AC2159" i="20"/>
  <c r="AC2217" i="20"/>
  <c r="AC1905" i="20"/>
  <c r="AC669" i="20"/>
  <c r="AC1707" i="20"/>
  <c r="AC846" i="20"/>
  <c r="AC1434" i="20"/>
  <c r="AC2038" i="20"/>
  <c r="AC1934" i="20"/>
  <c r="AC2423" i="20"/>
  <c r="AC1785" i="20"/>
  <c r="AC1237" i="20"/>
  <c r="AC937" i="20"/>
  <c r="AC1103" i="20"/>
  <c r="AC1455" i="20"/>
  <c r="AC1018" i="20"/>
  <c r="AC2085" i="20"/>
  <c r="AC671" i="20"/>
  <c r="AC1714" i="20"/>
  <c r="AC1662" i="20"/>
  <c r="AC2222" i="20"/>
  <c r="AC2156" i="20"/>
  <c r="AC502" i="20"/>
  <c r="AC602" i="20"/>
  <c r="AC1604" i="20"/>
  <c r="AC2152" i="20"/>
  <c r="AC2285" i="20"/>
  <c r="AC662" i="20"/>
  <c r="AC1131" i="20"/>
  <c r="AC386" i="20"/>
  <c r="AC878" i="20"/>
  <c r="AC1470" i="20"/>
  <c r="AC559" i="20"/>
  <c r="AC1318" i="20"/>
  <c r="AC1038" i="20"/>
  <c r="AC767" i="20"/>
  <c r="AC1248" i="20"/>
  <c r="AC1629" i="20"/>
  <c r="AC1825" i="20"/>
  <c r="AC826" i="20"/>
  <c r="AC2095" i="20"/>
  <c r="AC2453" i="20"/>
  <c r="AC2233" i="20"/>
  <c r="AC1761" i="20"/>
  <c r="AC2018" i="20"/>
  <c r="AC2416" i="20"/>
  <c r="AC283" i="20"/>
  <c r="AC451" i="20"/>
  <c r="AC830" i="20"/>
  <c r="AC399" i="20"/>
  <c r="AC377" i="20"/>
  <c r="AC573" i="20"/>
  <c r="AC482" i="20"/>
  <c r="AC556" i="20"/>
  <c r="AC1254" i="20"/>
  <c r="AC1314" i="20"/>
  <c r="AC1568" i="20"/>
  <c r="AC926" i="20"/>
  <c r="AC344" i="20"/>
  <c r="AC1143" i="20"/>
  <c r="AC1362" i="20"/>
  <c r="AC1032" i="20"/>
  <c r="AC1760" i="20"/>
  <c r="AC1998" i="20"/>
  <c r="AC2151" i="20"/>
  <c r="AC1892" i="20"/>
  <c r="AC2185" i="20"/>
  <c r="AC1985" i="20"/>
  <c r="AC2384" i="20"/>
  <c r="AC2441" i="20"/>
  <c r="AC817" i="20"/>
  <c r="AC261" i="20"/>
  <c r="AC1331" i="20"/>
  <c r="AC650" i="20"/>
  <c r="AC976" i="20"/>
  <c r="AC1504" i="20"/>
  <c r="AC1174" i="20"/>
  <c r="AC1979" i="20"/>
  <c r="AC275" i="20"/>
  <c r="AC1355" i="20"/>
  <c r="AC2333" i="20"/>
  <c r="AC1738" i="20"/>
  <c r="AC2116" i="20"/>
  <c r="AC2125" i="20"/>
  <c r="AC1902" i="20"/>
  <c r="AC2289" i="20"/>
  <c r="AC131" i="20"/>
  <c r="AC533" i="20"/>
  <c r="AC254" i="20"/>
  <c r="AC801" i="20"/>
  <c r="AC354" i="20"/>
  <c r="AC593" i="20"/>
  <c r="AC1042" i="20"/>
  <c r="AC307" i="20"/>
  <c r="AC1150" i="20"/>
  <c r="AC1597" i="20"/>
  <c r="AC737" i="20"/>
  <c r="AC864" i="20"/>
  <c r="AC127" i="20"/>
  <c r="AC320" i="20"/>
  <c r="AC473" i="20"/>
  <c r="AC1515" i="20"/>
  <c r="AC1496" i="20"/>
  <c r="AC2113" i="20"/>
  <c r="AC1411" i="20"/>
  <c r="AC1575" i="20"/>
  <c r="AC1992" i="20"/>
  <c r="AC1231" i="20"/>
  <c r="AC1280" i="20"/>
  <c r="AC1468" i="20"/>
  <c r="AC1769" i="20"/>
  <c r="AC1744" i="20"/>
  <c r="AC1378" i="20"/>
  <c r="AC1802" i="20"/>
  <c r="AC2249" i="20"/>
  <c r="AC2393" i="20"/>
  <c r="AC2199" i="20"/>
  <c r="AC1855" i="20"/>
  <c r="AC827" i="20"/>
  <c r="AC110" i="20"/>
  <c r="AC56" i="20"/>
  <c r="AC478" i="20"/>
  <c r="AC255" i="20"/>
  <c r="AC397" i="20"/>
  <c r="AC663" i="20"/>
  <c r="AC985" i="20"/>
  <c r="AC1139" i="20"/>
  <c r="AC332" i="20"/>
  <c r="AC576" i="20"/>
  <c r="AC1385" i="20"/>
  <c r="AC237" i="20"/>
  <c r="AC416" i="20"/>
  <c r="AC1298" i="20"/>
  <c r="AC249" i="20"/>
  <c r="AC1612" i="20"/>
  <c r="AC496" i="20"/>
  <c r="AC2164" i="20"/>
  <c r="AC965" i="20"/>
  <c r="AC2380" i="20"/>
  <c r="AC2059" i="20"/>
  <c r="AC1834" i="20"/>
  <c r="AC1178" i="20"/>
  <c r="AC387" i="20"/>
  <c r="AC42" i="20"/>
  <c r="AC251" i="20"/>
  <c r="AC1006" i="20"/>
  <c r="AC2090" i="20"/>
  <c r="AC1123" i="20"/>
  <c r="AC2134" i="20"/>
  <c r="AC1745" i="20"/>
  <c r="AC2060" i="20"/>
  <c r="AC28" i="20"/>
  <c r="AC857" i="20"/>
  <c r="AC732" i="20"/>
  <c r="AC1069" i="20"/>
  <c r="AC266" i="20"/>
  <c r="AC1433" i="20"/>
  <c r="AC1796" i="20"/>
  <c r="AC1212" i="20"/>
  <c r="AC2056" i="20"/>
  <c r="AC2354" i="20"/>
  <c r="AC1952" i="20"/>
  <c r="AC11" i="20"/>
  <c r="AC193" i="20"/>
  <c r="P252" i="34"/>
  <c r="R252" i="34" s="1"/>
  <c r="P201" i="34"/>
  <c r="R201" i="34" s="1"/>
  <c r="P149" i="34"/>
  <c r="R149" i="34" s="1"/>
  <c r="P130" i="34"/>
  <c r="R130" i="34" s="1"/>
  <c r="P113" i="34"/>
  <c r="P75" i="34"/>
  <c r="R75" i="34" s="1"/>
  <c r="P32" i="34"/>
  <c r="R32" i="34" s="1"/>
  <c r="P11" i="34"/>
  <c r="R11" i="34" s="1"/>
  <c r="L85" i="34"/>
  <c r="Q170" i="34"/>
  <c r="R170" i="34"/>
  <c r="Y242" i="10"/>
  <c r="Z242" i="10" s="1"/>
  <c r="Y207" i="10"/>
  <c r="Z207" i="10" s="1"/>
  <c r="W187" i="10"/>
  <c r="AA187" i="10" s="1"/>
  <c r="W155" i="10"/>
  <c r="AA155" i="10" s="1"/>
  <c r="W88" i="10"/>
  <c r="P20" i="34"/>
  <c r="R20" i="34" s="1"/>
  <c r="P104" i="34"/>
  <c r="P160" i="34"/>
  <c r="P120" i="34"/>
  <c r="R120" i="34" s="1"/>
  <c r="P10" i="34"/>
  <c r="R10" i="34" s="1"/>
  <c r="P40" i="34"/>
  <c r="W27" i="10"/>
  <c r="X27" i="10" s="1"/>
  <c r="S60" i="10"/>
  <c r="T60" i="10" s="1"/>
  <c r="AC466" i="20"/>
  <c r="AC1399" i="20"/>
  <c r="AC1457" i="20"/>
  <c r="AC488" i="20"/>
  <c r="AC1003" i="20"/>
  <c r="AC1671" i="20"/>
  <c r="AC638" i="20"/>
  <c r="AC1544" i="20"/>
  <c r="AC1234" i="20"/>
  <c r="AC1492" i="20"/>
  <c r="AC1659" i="20"/>
  <c r="AC2171" i="20"/>
  <c r="AC1799" i="20"/>
  <c r="AC2244" i="20"/>
  <c r="AC2328" i="20"/>
  <c r="AC873" i="20"/>
  <c r="AC994" i="20"/>
  <c r="AC1100" i="20"/>
  <c r="AC1404" i="20"/>
  <c r="AC912" i="20"/>
  <c r="AC1551" i="20"/>
  <c r="AC1669" i="20"/>
  <c r="AC977" i="20"/>
  <c r="AC812" i="20"/>
  <c r="AC1542" i="20"/>
  <c r="AC1523" i="20"/>
  <c r="AC1906" i="20"/>
  <c r="AC1681" i="20"/>
  <c r="AC2432" i="20"/>
  <c r="AC2082" i="20"/>
  <c r="AC2158" i="20"/>
  <c r="AC2218" i="20"/>
  <c r="AC1929" i="20"/>
  <c r="AC753" i="20"/>
  <c r="AC1333" i="20"/>
  <c r="AC1113" i="20"/>
  <c r="AC1532" i="20"/>
  <c r="AC797" i="20"/>
  <c r="AC1889" i="20"/>
  <c r="AC1978" i="20"/>
  <c r="AC821" i="20"/>
  <c r="AC1077" i="20"/>
  <c r="AC652" i="20"/>
  <c r="AC1868" i="20"/>
  <c r="AC1899" i="20"/>
  <c r="AC2128" i="20"/>
  <c r="AC715" i="20"/>
  <c r="AC683" i="20"/>
  <c r="AC1269" i="20"/>
  <c r="AC1553" i="20"/>
  <c r="AC1048" i="20"/>
  <c r="AC1218" i="20"/>
  <c r="AC1160" i="20"/>
  <c r="AC1811" i="20"/>
  <c r="AC1909" i="20"/>
  <c r="AC2105" i="20"/>
  <c r="AC1706" i="20"/>
  <c r="AC1719" i="20"/>
  <c r="AC2303" i="20"/>
  <c r="AC1639" i="20"/>
  <c r="AC876" i="20"/>
  <c r="AC1105" i="20"/>
  <c r="AC1020" i="20"/>
  <c r="AC936" i="20"/>
  <c r="AC1243" i="20"/>
  <c r="AC824" i="20"/>
  <c r="AC1954" i="20"/>
  <c r="AC2446" i="20"/>
  <c r="AC380" i="20"/>
  <c r="AC539" i="20"/>
  <c r="AC1026" i="20"/>
  <c r="AC947" i="20"/>
  <c r="AC1853" i="20"/>
  <c r="AC586" i="20"/>
  <c r="AC1186" i="20"/>
  <c r="AC2271" i="20"/>
  <c r="AC2064" i="20"/>
  <c r="AC281" i="20"/>
  <c r="AC631" i="20"/>
  <c r="AC534" i="20"/>
  <c r="AC606" i="20"/>
  <c r="AC892" i="20"/>
  <c r="AC1176" i="20"/>
  <c r="AC1526" i="20"/>
  <c r="AC809" i="20"/>
  <c r="AC1506" i="20"/>
  <c r="AC1968" i="20"/>
  <c r="AC1770" i="20"/>
  <c r="AC2324" i="20"/>
  <c r="AC1846" i="20"/>
  <c r="AC2206" i="20"/>
  <c r="AC162" i="20"/>
  <c r="AC633" i="20"/>
  <c r="AC432" i="20"/>
  <c r="AC484" i="20"/>
  <c r="AC955" i="20"/>
  <c r="AC1149" i="20"/>
  <c r="AC1120" i="20"/>
  <c r="AC1513" i="20"/>
  <c r="AC470" i="20"/>
  <c r="AC1533" i="20"/>
  <c r="AC445" i="20"/>
  <c r="AC1741" i="20"/>
  <c r="AC2208" i="20"/>
  <c r="AC1682" i="20"/>
  <c r="AC2336" i="20"/>
  <c r="AC2435" i="20"/>
  <c r="AC1845" i="20"/>
  <c r="AC1076" i="20"/>
  <c r="AC126" i="20"/>
  <c r="AC1313" i="20"/>
  <c r="AC1268" i="20"/>
  <c r="AC897" i="20"/>
  <c r="AC2358" i="20"/>
  <c r="AC1703" i="20"/>
  <c r="AC174" i="20"/>
  <c r="AC282" i="20"/>
  <c r="AC493" i="20"/>
  <c r="AC181" i="20"/>
  <c r="AC143" i="20"/>
  <c r="AC206" i="20"/>
  <c r="AC404" i="20"/>
  <c r="AC574" i="20"/>
  <c r="AC1252" i="20"/>
  <c r="AC100" i="20"/>
  <c r="AC1285" i="20"/>
  <c r="AC931" i="20"/>
  <c r="AC322" i="20"/>
  <c r="AC1753" i="20"/>
  <c r="AC2012" i="20"/>
  <c r="AC2375" i="20"/>
  <c r="AC2093" i="20"/>
  <c r="AC2187" i="20"/>
  <c r="AC1633" i="20"/>
  <c r="AC41" i="20"/>
  <c r="AC752" i="20"/>
  <c r="AC998" i="20"/>
  <c r="AC795" i="20"/>
  <c r="AC941" i="20"/>
  <c r="AC975" i="20"/>
  <c r="AC655" i="20"/>
  <c r="AC1621" i="20"/>
  <c r="AC1903" i="20"/>
  <c r="AC1353" i="20"/>
  <c r="AC867" i="20"/>
  <c r="AC1737" i="20"/>
  <c r="AC1981" i="20"/>
  <c r="AC2127" i="20"/>
  <c r="AC204" i="20"/>
  <c r="AC210" i="20"/>
  <c r="AC659" i="20"/>
  <c r="AC195" i="20"/>
  <c r="AC339" i="20"/>
  <c r="AC382" i="20"/>
  <c r="AC438" i="20"/>
  <c r="AC788" i="20"/>
  <c r="AC229" i="20"/>
  <c r="AC469" i="20"/>
  <c r="AC554" i="20"/>
  <c r="AC969" i="20"/>
  <c r="AC10" i="20"/>
  <c r="AC289" i="20"/>
  <c r="AC412" i="20"/>
  <c r="AC485" i="20"/>
  <c r="AC624" i="20"/>
  <c r="AC1030" i="20"/>
  <c r="AC21" i="20"/>
  <c r="AC1245" i="20"/>
  <c r="AC1290" i="20"/>
  <c r="AC904" i="20"/>
  <c r="AC321" i="20"/>
  <c r="AC608" i="20"/>
  <c r="AC1383" i="20"/>
  <c r="AC1605" i="20"/>
  <c r="AC1572" i="20"/>
  <c r="AC1171" i="20"/>
  <c r="AC1758" i="20"/>
  <c r="AC2150" i="20"/>
  <c r="AC1648" i="20"/>
  <c r="AC2235" i="20"/>
  <c r="AC2450" i="20"/>
  <c r="AC2413" i="20"/>
  <c r="AC1857" i="20"/>
  <c r="AC1995" i="20"/>
  <c r="P251" i="34"/>
  <c r="R251" i="34" s="1"/>
  <c r="P200" i="34"/>
  <c r="R200" i="34" s="1"/>
  <c r="P183" i="34"/>
  <c r="R183" i="34" s="1"/>
  <c r="P166" i="34"/>
  <c r="P129" i="34"/>
  <c r="R129" i="34" s="1"/>
  <c r="P74" i="34"/>
  <c r="R74" i="34" s="1"/>
  <c r="P53" i="34"/>
  <c r="R53" i="34" s="1"/>
  <c r="P31" i="34"/>
  <c r="R31" i="34" s="1"/>
  <c r="AC511" i="20"/>
  <c r="AC1267" i="20"/>
  <c r="AC1694" i="20"/>
  <c r="AC1535" i="20"/>
  <c r="AC1367" i="20"/>
  <c r="AC1410" i="20"/>
  <c r="AC2076" i="20"/>
  <c r="AC1594" i="20"/>
  <c r="AC1702" i="20"/>
  <c r="AC1184" i="20"/>
  <c r="AC2002" i="20"/>
  <c r="AC1821" i="20"/>
  <c r="AC1871" i="20"/>
  <c r="AC2243" i="20"/>
  <c r="AC2314" i="20"/>
  <c r="AC2274" i="20"/>
  <c r="AC1733" i="20"/>
  <c r="AC693" i="20"/>
  <c r="AC1206" i="20"/>
  <c r="AC851" i="20"/>
  <c r="AC1945" i="20"/>
  <c r="AC541" i="20"/>
  <c r="AC1062" i="20"/>
  <c r="AC1426" i="20"/>
  <c r="AC2049" i="20"/>
  <c r="AC2347" i="20"/>
  <c r="AC1790" i="20"/>
  <c r="AC31" i="20"/>
  <c r="AC201" i="20"/>
  <c r="P59" i="34"/>
  <c r="R59" i="34" s="1"/>
  <c r="V207" i="10"/>
  <c r="W74" i="10"/>
  <c r="AA74" i="10" s="1"/>
  <c r="P174" i="34"/>
  <c r="P134" i="34"/>
  <c r="W189" i="10"/>
  <c r="Q230" i="34"/>
  <c r="R230" i="34"/>
  <c r="P132" i="34"/>
  <c r="R132" i="34" s="1"/>
  <c r="P52" i="34"/>
  <c r="R52" i="34" s="1"/>
  <c r="P192" i="34"/>
  <c r="R192" i="34" s="1"/>
  <c r="P68" i="34"/>
  <c r="P118" i="34"/>
  <c r="P8" i="34"/>
  <c r="P38" i="34"/>
  <c r="R38" i="34" s="1"/>
  <c r="P178" i="34"/>
  <c r="R178" i="34" s="1"/>
  <c r="P54" i="34"/>
  <c r="R54" i="34" s="1"/>
  <c r="S44" i="10"/>
  <c r="S272" i="10"/>
  <c r="T272" i="10" s="1"/>
  <c r="S234" i="10"/>
  <c r="T234" i="10" s="1"/>
  <c r="S265" i="10"/>
  <c r="T265" i="10" s="1"/>
  <c r="S212" i="10"/>
  <c r="T212" i="10" s="1"/>
  <c r="S261" i="10"/>
  <c r="T261" i="10" s="1"/>
  <c r="S205" i="10"/>
  <c r="T205" i="10" s="1"/>
  <c r="S106" i="10"/>
  <c r="T106" i="10" s="1"/>
  <c r="S59" i="10"/>
  <c r="T59" i="10" s="1"/>
  <c r="S113" i="10"/>
  <c r="T113" i="10" s="1"/>
  <c r="S161" i="10"/>
  <c r="T161" i="10" s="1"/>
  <c r="S55" i="10"/>
  <c r="T55" i="10" s="1"/>
  <c r="S150" i="10"/>
  <c r="T150" i="10" s="1"/>
  <c r="S45" i="10"/>
  <c r="T45" i="10" s="1"/>
  <c r="S180" i="10"/>
  <c r="T180" i="10" s="1"/>
  <c r="S214" i="10"/>
  <c r="T214" i="10" s="1"/>
  <c r="S247" i="10"/>
  <c r="T247" i="10" s="1"/>
  <c r="S89" i="10"/>
  <c r="T89" i="10" s="1"/>
  <c r="S133" i="10"/>
  <c r="T133" i="10" s="1"/>
  <c r="S146" i="10"/>
  <c r="T146" i="10" s="1"/>
  <c r="S236" i="10"/>
  <c r="T236" i="10" s="1"/>
  <c r="S76" i="10"/>
  <c r="T76" i="10" s="1"/>
  <c r="S246" i="10"/>
  <c r="T246" i="10" s="1"/>
  <c r="S226" i="10"/>
  <c r="T226" i="10" s="1"/>
  <c r="S62" i="10"/>
  <c r="T62" i="10" s="1"/>
  <c r="V114" i="10"/>
  <c r="V166" i="10"/>
  <c r="W166" i="10" s="1"/>
  <c r="S164" i="10"/>
  <c r="T164" i="10" s="1"/>
  <c r="S177" i="10"/>
  <c r="T177" i="10" s="1"/>
  <c r="S48" i="10"/>
  <c r="T48" i="10" s="1"/>
  <c r="S221" i="10"/>
  <c r="T221" i="10" s="1"/>
  <c r="S219" i="10"/>
  <c r="T219" i="10" s="1"/>
  <c r="V28" i="10"/>
  <c r="S241" i="10"/>
  <c r="T241" i="10" s="1"/>
  <c r="V12" i="10"/>
  <c r="S194" i="10"/>
  <c r="T194" i="10" s="1"/>
  <c r="V2" i="10"/>
  <c r="Y68" i="10"/>
  <c r="Z68" i="10" s="1"/>
  <c r="AC860" i="20"/>
  <c r="AC1060" i="20"/>
  <c r="AC1424" i="20"/>
  <c r="AC2047" i="20"/>
  <c r="AC1204" i="20"/>
  <c r="AC1797" i="20"/>
  <c r="AC2345" i="20"/>
  <c r="AC553" i="20"/>
  <c r="AC664" i="20"/>
  <c r="AC1471" i="20"/>
  <c r="AC499" i="20"/>
  <c r="AC1247" i="20"/>
  <c r="AC2451" i="20"/>
  <c r="AC1826" i="20"/>
  <c r="AC2232" i="20"/>
  <c r="AC2017" i="20"/>
  <c r="AC1973" i="20"/>
  <c r="AC1807" i="20"/>
  <c r="AC597" i="20"/>
  <c r="AC615" i="20"/>
  <c r="AC818" i="20"/>
  <c r="AC1346" i="20"/>
  <c r="AC891" i="20"/>
  <c r="AC1528" i="20"/>
  <c r="AC1095" i="20"/>
  <c r="AC1334" i="20"/>
  <c r="AC702" i="20"/>
  <c r="AC2405" i="20"/>
  <c r="AC2142" i="20"/>
  <c r="AC2144" i="20"/>
  <c r="AC854" i="20"/>
  <c r="AC1213" i="20"/>
  <c r="AC727" i="20"/>
  <c r="AC1070" i="20"/>
  <c r="AC1432" i="20"/>
  <c r="AC1951" i="20"/>
  <c r="AC1794" i="20"/>
  <c r="AC2055" i="20"/>
  <c r="AC2353" i="20"/>
  <c r="AC607" i="20"/>
  <c r="AC635" i="20"/>
  <c r="AC996" i="20"/>
  <c r="AC529" i="20"/>
  <c r="AC1372" i="20"/>
  <c r="AC1242" i="20"/>
  <c r="AC1408" i="20"/>
  <c r="AC1465" i="20"/>
  <c r="AC1537" i="20"/>
  <c r="AC863" i="20"/>
  <c r="AC1396" i="20"/>
  <c r="AC1660" i="20"/>
  <c r="AC2404" i="20"/>
  <c r="AC2238" i="20"/>
  <c r="AC1748" i="20"/>
  <c r="AC2341" i="20"/>
  <c r="AC2330" i="20"/>
  <c r="AC2428" i="20"/>
  <c r="AC617" i="20"/>
  <c r="AC1000" i="20"/>
  <c r="AC1449" i="20"/>
  <c r="AC1393" i="20"/>
  <c r="AC1451" i="20"/>
  <c r="AC1281" i="20"/>
  <c r="AC1728" i="20"/>
  <c r="AC2024" i="20"/>
  <c r="AC700" i="20"/>
  <c r="AC1634" i="20"/>
  <c r="AC1653" i="20"/>
  <c r="AC1869" i="20"/>
  <c r="AC2143" i="20"/>
  <c r="AC2427" i="20"/>
  <c r="AC2316" i="20"/>
  <c r="AC2177" i="20"/>
  <c r="AC2191" i="20"/>
  <c r="AC2374" i="20"/>
  <c r="AC491" i="20"/>
  <c r="AC773" i="20"/>
  <c r="AC1265" i="20"/>
  <c r="AC837" i="20"/>
  <c r="AC984" i="20"/>
  <c r="AC1031" i="20"/>
  <c r="AC462" i="20"/>
  <c r="AC1389" i="20"/>
  <c r="AC1142" i="20"/>
  <c r="AC921" i="20"/>
  <c r="AC1613" i="20"/>
  <c r="AC1867" i="20"/>
  <c r="AC902" i="20"/>
  <c r="AC1477" i="20"/>
  <c r="AC2181" i="20"/>
  <c r="AC2448" i="20"/>
  <c r="AC2030" i="20"/>
  <c r="AC2287" i="20"/>
  <c r="P250" i="34"/>
  <c r="P233" i="34"/>
  <c r="R233" i="34" s="1"/>
  <c r="P217" i="34"/>
  <c r="R217" i="34" s="1"/>
  <c r="P73" i="34"/>
  <c r="R73" i="34" s="1"/>
  <c r="P51" i="34"/>
  <c r="R51" i="34" s="1"/>
  <c r="P30" i="34"/>
  <c r="P7" i="34"/>
  <c r="R7" i="34" s="1"/>
  <c r="Q46" i="34"/>
  <c r="Q4" i="34"/>
  <c r="L153" i="34"/>
  <c r="L83" i="34"/>
  <c r="L27" i="34"/>
  <c r="L13" i="34"/>
  <c r="J35" i="34"/>
  <c r="Y205" i="10"/>
  <c r="Z205" i="10" s="1"/>
  <c r="Y39" i="10"/>
  <c r="Z39" i="10" s="1"/>
  <c r="P220" i="34"/>
  <c r="R220" i="34" s="1"/>
  <c r="P55" i="34"/>
  <c r="R55" i="34" s="1"/>
  <c r="P90" i="34"/>
  <c r="R90" i="34" s="1"/>
  <c r="P202" i="34"/>
  <c r="P22" i="34"/>
  <c r="P106" i="34"/>
  <c r="R106" i="34" s="1"/>
  <c r="P162" i="34"/>
  <c r="R162" i="34" s="1"/>
  <c r="P122" i="34"/>
  <c r="R122" i="34" s="1"/>
  <c r="P13" i="34"/>
  <c r="R13" i="34" s="1"/>
  <c r="AC1321" i="20"/>
  <c r="AC1609" i="20"/>
  <c r="AC1880" i="20"/>
  <c r="AC1993" i="20"/>
  <c r="AC2210" i="20"/>
  <c r="AC2184" i="20"/>
  <c r="AC2256" i="20"/>
  <c r="AC1359" i="20"/>
  <c r="AC1322" i="20"/>
  <c r="AC569" i="20"/>
  <c r="AC2296" i="20"/>
  <c r="AC513" i="20"/>
  <c r="AC1068" i="20"/>
  <c r="AC1638" i="20"/>
  <c r="AC1591" i="20"/>
  <c r="AC1126" i="20"/>
  <c r="AC1820" i="20"/>
  <c r="AC1916" i="20"/>
  <c r="AC1822" i="20"/>
  <c r="AC2141" i="20"/>
  <c r="AC2302" i="20"/>
  <c r="AC2400" i="20"/>
  <c r="AC2088" i="20"/>
  <c r="AC467" i="20"/>
  <c r="AC637" i="20"/>
  <c r="AC1456" i="20"/>
  <c r="AC487" i="20"/>
  <c r="AC1002" i="20"/>
  <c r="AC1670" i="20"/>
  <c r="AC1658" i="20"/>
  <c r="AC1233" i="20"/>
  <c r="AC1491" i="20"/>
  <c r="AC1545" i="20"/>
  <c r="AC1800" i="20"/>
  <c r="AC1398" i="20"/>
  <c r="AC2172" i="20"/>
  <c r="AC2245" i="20"/>
  <c r="AC460" i="20"/>
  <c r="AC1971" i="20"/>
  <c r="AC367" i="20"/>
  <c r="AC427" i="20"/>
  <c r="AC1361" i="20"/>
  <c r="AC1028" i="20"/>
  <c r="AC1838" i="20"/>
  <c r="AC2273" i="20"/>
  <c r="AC759" i="20"/>
  <c r="AC481" i="20"/>
  <c r="AC343" i="20"/>
  <c r="AC378" i="20"/>
  <c r="AC1299" i="20"/>
  <c r="AC364" i="20"/>
  <c r="AC1033" i="20"/>
  <c r="AC1570" i="20"/>
  <c r="AC544" i="20"/>
  <c r="AC888" i="20"/>
  <c r="AC1144" i="20"/>
  <c r="AC1894" i="20"/>
  <c r="AC276" i="20"/>
  <c r="AC300" i="20"/>
  <c r="AC2183" i="20"/>
  <c r="AC2458" i="20"/>
  <c r="AC805" i="20"/>
  <c r="AC910" i="20"/>
  <c r="AC1819" i="20"/>
  <c r="AC1921" i="20"/>
  <c r="AC2131" i="20"/>
  <c r="AC1348" i="20"/>
  <c r="AC1326" i="20"/>
  <c r="AC252" i="20"/>
  <c r="AC741" i="20"/>
  <c r="AC1509" i="20"/>
  <c r="AC1704" i="20"/>
  <c r="AC1746" i="20"/>
  <c r="AC2087" i="20"/>
  <c r="AC395" i="20"/>
  <c r="AC355" i="20"/>
  <c r="AC96" i="20"/>
  <c r="AC98" i="20"/>
  <c r="AC233" i="20"/>
  <c r="AC356" i="20"/>
  <c r="AC182" i="20"/>
  <c r="AC333" i="20"/>
  <c r="AC209" i="20"/>
  <c r="AC222" i="20"/>
  <c r="AC88" i="20"/>
  <c r="AC53" i="20"/>
  <c r="AC153" i="20"/>
  <c r="AC25" i="20"/>
  <c r="AC677" i="20"/>
  <c r="AC859" i="20"/>
  <c r="AC981" i="20"/>
  <c r="AC1442" i="20"/>
  <c r="AC1198" i="20"/>
  <c r="AC1054" i="20"/>
  <c r="AC1686" i="20"/>
  <c r="AC2298" i="20"/>
  <c r="AC2360" i="20"/>
  <c r="AC8" i="20"/>
  <c r="AC297" i="20"/>
  <c r="AC284" i="20"/>
  <c r="AC424" i="20"/>
  <c r="AC383" i="20"/>
  <c r="AC523" i="20"/>
  <c r="AC245" i="20"/>
  <c r="AC501" i="20"/>
  <c r="AC660" i="20"/>
  <c r="AC769" i="20"/>
  <c r="AC152" i="20"/>
  <c r="AC1386" i="20"/>
  <c r="AC238" i="20"/>
  <c r="AC558" i="20"/>
  <c r="AC880" i="20"/>
  <c r="AC218" i="20"/>
  <c r="AC16" i="20"/>
  <c r="AC230" i="20"/>
  <c r="AC447" i="20"/>
  <c r="AC1763" i="20"/>
  <c r="AC1319" i="20"/>
  <c r="AC1627" i="20"/>
  <c r="AC1250" i="20"/>
  <c r="AC2020" i="20"/>
  <c r="AC1040" i="20"/>
  <c r="AC376" i="20"/>
  <c r="AC1490" i="20"/>
  <c r="AC933" i="20"/>
  <c r="AC1311" i="20"/>
  <c r="AC1618" i="20"/>
  <c r="AC2417" i="20"/>
  <c r="AC1983" i="20"/>
  <c r="AC1873" i="20"/>
  <c r="AC2454" i="20"/>
  <c r="AC2234" i="20"/>
  <c r="P232" i="34"/>
  <c r="P198" i="34"/>
  <c r="R198" i="34" s="1"/>
  <c r="P181" i="34"/>
  <c r="R181" i="34" s="1"/>
  <c r="P163" i="34"/>
  <c r="R163" i="34" s="1"/>
  <c r="P110" i="34"/>
  <c r="R110" i="34" s="1"/>
  <c r="P91" i="34"/>
  <c r="R91" i="34" s="1"/>
  <c r="P72" i="34"/>
  <c r="R72" i="34" s="1"/>
  <c r="P49" i="34"/>
  <c r="R49" i="34" s="1"/>
  <c r="P29" i="34"/>
  <c r="R29" i="34" s="1"/>
  <c r="P5" i="34"/>
  <c r="R5" i="34" s="1"/>
  <c r="L222" i="34"/>
  <c r="N194" i="34"/>
  <c r="O194" i="34" s="1"/>
  <c r="Q194" i="34" s="1"/>
  <c r="N180" i="34"/>
  <c r="O180" i="34" s="1"/>
  <c r="N124" i="34"/>
  <c r="O124" i="34" s="1"/>
  <c r="N96" i="34"/>
  <c r="O96" i="34" s="1"/>
  <c r="L82" i="34"/>
  <c r="L54" i="34"/>
  <c r="N40" i="34"/>
  <c r="O40" i="34" s="1"/>
  <c r="Q40" i="34" s="1"/>
  <c r="N26" i="34"/>
  <c r="O26" i="34" s="1"/>
  <c r="AC929" i="20"/>
  <c r="AC1091" i="20"/>
  <c r="AC2264" i="20"/>
  <c r="AC1882" i="20"/>
  <c r="AC1580" i="20"/>
  <c r="Y196" i="10"/>
  <c r="Z196" i="10" s="1"/>
  <c r="Y236" i="10"/>
  <c r="Z236" i="10" s="1"/>
  <c r="W46" i="10"/>
  <c r="X46" i="10" s="1"/>
  <c r="W17" i="10"/>
  <c r="AA17" i="10" s="1"/>
  <c r="AC1111" i="20"/>
  <c r="AC1191" i="20"/>
  <c r="AC1534" i="20"/>
  <c r="AC1450" i="20"/>
  <c r="AC1369" i="20"/>
  <c r="AC786" i="20"/>
  <c r="AC1127" i="20"/>
  <c r="AC2198" i="20"/>
  <c r="AC2014" i="20"/>
  <c r="AC2317" i="20"/>
  <c r="AC1167" i="20"/>
  <c r="AC1258" i="20"/>
  <c r="AC900" i="20"/>
  <c r="AC1500" i="20"/>
  <c r="AC2262" i="20"/>
  <c r="AC509" i="20"/>
  <c r="AC1301" i="20"/>
  <c r="AC1339" i="20"/>
  <c r="AC1169" i="20"/>
  <c r="AC1157" i="20"/>
  <c r="AC2182" i="20"/>
  <c r="AC2065" i="20"/>
  <c r="AC703" i="20"/>
  <c r="AC1125" i="20"/>
  <c r="AC952" i="20"/>
  <c r="AC1344" i="20"/>
  <c r="AC1583" i="20"/>
  <c r="AC1155" i="20"/>
  <c r="AC613" i="20"/>
  <c r="AC1008" i="20"/>
  <c r="AC1777" i="20"/>
  <c r="AC1931" i="20"/>
  <c r="AC657" i="20"/>
  <c r="AC1227" i="20"/>
  <c r="AC1115" i="20"/>
  <c r="AC1561" i="20"/>
  <c r="AC2133" i="20"/>
  <c r="AC2320" i="20"/>
  <c r="AC2140" i="20"/>
  <c r="AC1751" i="20"/>
  <c r="AC519" i="20"/>
  <c r="AC665" i="20"/>
  <c r="AC1192" i="20"/>
  <c r="AC1935" i="20"/>
  <c r="AC1783" i="20"/>
  <c r="AC1071" i="20"/>
  <c r="AC1436" i="20"/>
  <c r="AC2368" i="20"/>
  <c r="AC2039" i="20"/>
  <c r="AC707" i="20"/>
  <c r="AC696" i="20"/>
  <c r="AC441" i="20"/>
  <c r="AC1972" i="20"/>
  <c r="AC492" i="20"/>
  <c r="AC360" i="20"/>
  <c r="AC1886" i="20"/>
  <c r="AC2031" i="20"/>
  <c r="AC691" i="20"/>
  <c r="AC274" i="20"/>
  <c r="AC516" i="20"/>
  <c r="AC1058" i="20"/>
  <c r="AC849" i="20"/>
  <c r="AC1446" i="20"/>
  <c r="AC1202" i="20"/>
  <c r="AC1788" i="20"/>
  <c r="AC2045" i="20"/>
  <c r="AC2365" i="20"/>
  <c r="AC1941" i="20"/>
  <c r="AC379" i="20"/>
  <c r="AC729" i="20"/>
  <c r="AC353" i="20"/>
  <c r="AC577" i="20"/>
  <c r="AC243" i="20"/>
  <c r="AC1027" i="20"/>
  <c r="AC512" i="20"/>
  <c r="AC346" i="20"/>
  <c r="AC420" i="20"/>
  <c r="AC1246" i="20"/>
  <c r="AC1851" i="20"/>
  <c r="AC1287" i="20"/>
  <c r="AC1647" i="20"/>
  <c r="AC2197" i="20"/>
  <c r="AC2068" i="20"/>
  <c r="AC157" i="20"/>
  <c r="AC163" i="20"/>
  <c r="AC123" i="20"/>
  <c r="AC1013" i="20"/>
  <c r="AC263" i="20"/>
  <c r="AC804" i="20"/>
  <c r="AC1230" i="20"/>
  <c r="AC755" i="20"/>
  <c r="AC810" i="20"/>
  <c r="AC1656" i="20"/>
  <c r="AC1505" i="20"/>
  <c r="AC1772" i="20"/>
  <c r="AC2326" i="20"/>
  <c r="AC2205" i="20"/>
  <c r="AC141" i="20"/>
  <c r="AC887" i="20"/>
  <c r="AC172" i="20"/>
  <c r="AC1610" i="20"/>
  <c r="AC583" i="20"/>
  <c r="AC986" i="20"/>
  <c r="AC415" i="20"/>
  <c r="AC94" i="20"/>
  <c r="AC330" i="20"/>
  <c r="AC543" i="20"/>
  <c r="AC1138" i="20"/>
  <c r="AC1297" i="20"/>
  <c r="AC1862" i="20"/>
  <c r="AC2382" i="20"/>
  <c r="AC843" i="20"/>
  <c r="AC718" i="20"/>
  <c r="AC1209" i="20"/>
  <c r="AC679" i="20"/>
  <c r="AC1429" i="20"/>
  <c r="AC71" i="20"/>
  <c r="AC1065" i="20"/>
  <c r="AC1781" i="20"/>
  <c r="AC960" i="20"/>
  <c r="AC2052" i="20"/>
  <c r="AC2350" i="20"/>
  <c r="AC1948" i="20"/>
  <c r="AC62" i="20"/>
  <c r="AC52" i="20"/>
  <c r="AC24" i="20"/>
  <c r="AC697" i="20"/>
  <c r="AC95" i="20"/>
  <c r="AC477" i="20"/>
  <c r="AC214" i="20"/>
  <c r="AC579" i="20"/>
  <c r="AC1041" i="20"/>
  <c r="AC7" i="20"/>
  <c r="AC334" i="20"/>
  <c r="AC458" i="20"/>
  <c r="AC1483" i="20"/>
  <c r="AC390" i="20"/>
  <c r="AC1288" i="20"/>
  <c r="AC164" i="20"/>
  <c r="AC392" i="20"/>
  <c r="AC1423" i="20"/>
  <c r="AC1136" i="20"/>
  <c r="AC350" i="20"/>
  <c r="AC736" i="20"/>
  <c r="AC1147" i="20"/>
  <c r="AC1844" i="20"/>
  <c r="AC905" i="20"/>
  <c r="AC2069" i="20"/>
  <c r="AC2236" i="20"/>
  <c r="AC2254" i="20"/>
  <c r="AC2408" i="20"/>
  <c r="AC1832" i="20"/>
  <c r="P247" i="34"/>
  <c r="R247" i="34" s="1"/>
  <c r="P214" i="34"/>
  <c r="R214" i="34" s="1"/>
  <c r="P197" i="34"/>
  <c r="R197" i="34" s="1"/>
  <c r="P180" i="34"/>
  <c r="R180" i="34" s="1"/>
  <c r="P161" i="34"/>
  <c r="R161" i="34" s="1"/>
  <c r="P143" i="34"/>
  <c r="R143" i="34" s="1"/>
  <c r="P126" i="34"/>
  <c r="R126" i="34" s="1"/>
  <c r="P89" i="34"/>
  <c r="R89" i="34" s="1"/>
  <c r="P71" i="34"/>
  <c r="R71" i="34" s="1"/>
  <c r="P28" i="34"/>
  <c r="R28" i="34" s="1"/>
  <c r="AC816" i="20"/>
  <c r="AC1539" i="20"/>
  <c r="AC1401" i="20"/>
  <c r="AC916" i="20"/>
  <c r="AC869" i="20"/>
  <c r="AC1665" i="20"/>
  <c r="AC1520" i="20"/>
  <c r="AC1021" i="20"/>
  <c r="AC1096" i="20"/>
  <c r="AC1547" i="20"/>
  <c r="AC2078" i="20"/>
  <c r="AC2214" i="20"/>
  <c r="AC1925" i="20"/>
  <c r="AC1677" i="20"/>
  <c r="AC61" i="20"/>
  <c r="AC64" i="20"/>
  <c r="Y180" i="10"/>
  <c r="Z180" i="10" s="1"/>
  <c r="S80" i="10"/>
  <c r="S271" i="10"/>
  <c r="S111" i="10"/>
  <c r="T111" i="10" s="1"/>
  <c r="S102" i="10"/>
  <c r="S211" i="10"/>
  <c r="S203" i="10"/>
  <c r="S173" i="10"/>
  <c r="T173" i="10" s="1"/>
  <c r="S220" i="10"/>
  <c r="S152" i="10"/>
  <c r="T152" i="10" s="1"/>
  <c r="S57" i="10"/>
  <c r="T57" i="10" s="1"/>
  <c r="S53" i="10"/>
  <c r="S229" i="10"/>
  <c r="S36" i="10"/>
  <c r="S32" i="10"/>
  <c r="S23" i="10"/>
  <c r="S15" i="10"/>
  <c r="AC895" i="20"/>
  <c r="AC1373" i="20"/>
  <c r="AC1586" i="20"/>
  <c r="AC1501" i="20"/>
  <c r="AC1309" i="20"/>
  <c r="AC2221" i="20"/>
  <c r="AC2261" i="20"/>
  <c r="AC647" i="20"/>
  <c r="AC514" i="20"/>
  <c r="AC920" i="20"/>
  <c r="AC2094" i="20"/>
  <c r="AC1356" i="20"/>
  <c r="AC2180" i="20"/>
  <c r="AC704" i="20"/>
  <c r="AC1116" i="20"/>
  <c r="AC1228" i="20"/>
  <c r="AC1124" i="20"/>
  <c r="AC656" i="20"/>
  <c r="AC612" i="20"/>
  <c r="AC2132" i="20"/>
  <c r="AC1009" i="20"/>
  <c r="AC953" i="20"/>
  <c r="AC1562" i="20"/>
  <c r="AC1584" i="20"/>
  <c r="AC1932" i="20"/>
  <c r="AC2321" i="20"/>
  <c r="AC2139" i="20"/>
  <c r="AC1750" i="20"/>
  <c r="AC1778" i="20"/>
  <c r="AC746" i="20"/>
  <c r="AC845" i="20"/>
  <c r="AC1075" i="20"/>
  <c r="AC1196" i="20"/>
  <c r="AC1936" i="20"/>
  <c r="AC1437" i="20"/>
  <c r="AC2040" i="20"/>
  <c r="AC2367" i="20"/>
  <c r="AC1784" i="20"/>
  <c r="AC619" i="20"/>
  <c r="AC536" i="20"/>
  <c r="AC431" i="20"/>
  <c r="AC954" i="20"/>
  <c r="AC784" i="20"/>
  <c r="AC446" i="20"/>
  <c r="AC471" i="20"/>
  <c r="AC628" i="20"/>
  <c r="AC698" i="20"/>
  <c r="AC1156" i="20"/>
  <c r="AC596" i="20"/>
  <c r="AC2209" i="20"/>
  <c r="AC2252" i="20"/>
  <c r="AC2074" i="20"/>
  <c r="AC2436" i="20"/>
  <c r="AC575" i="20"/>
  <c r="AC352" i="20"/>
  <c r="AC1251" i="20"/>
  <c r="AC1293" i="20"/>
  <c r="AC413" i="20"/>
  <c r="AC643" i="20"/>
  <c r="AC970" i="20"/>
  <c r="AC1387" i="20"/>
  <c r="AC882" i="20"/>
  <c r="AC1603" i="20"/>
  <c r="AC472" i="20"/>
  <c r="AC1489" i="20"/>
  <c r="AC498" i="20"/>
  <c r="AC1984" i="20"/>
  <c r="AC1022" i="20"/>
  <c r="AC2165" i="20"/>
  <c r="AC2459" i="20"/>
  <c r="AC2281" i="20"/>
  <c r="AC2036" i="20"/>
  <c r="AC2188" i="20"/>
  <c r="AC1829" i="20"/>
  <c r="AC685" i="20"/>
  <c r="AC1271" i="20"/>
  <c r="AC1555" i="20"/>
  <c r="AC713" i="20"/>
  <c r="AC272" i="20"/>
  <c r="AC1721" i="20"/>
  <c r="AC1162" i="20"/>
  <c r="AC1220" i="20"/>
  <c r="AC1641" i="20"/>
  <c r="AC1049" i="20"/>
  <c r="AC2305" i="20"/>
  <c r="AC1709" i="20"/>
  <c r="AC1813" i="20"/>
  <c r="AC1911" i="20"/>
  <c r="AC2107" i="20"/>
  <c r="AC231" i="20"/>
  <c r="AC763" i="20"/>
  <c r="AC1631" i="20"/>
  <c r="AC2376" i="20"/>
  <c r="AC93" i="20"/>
  <c r="AC1035" i="20"/>
  <c r="AC426" i="20"/>
  <c r="AC1852" i="20"/>
  <c r="AC588" i="20"/>
  <c r="AC2291" i="20"/>
  <c r="AC1649" i="20"/>
  <c r="AC719" i="20"/>
  <c r="AC1208" i="20"/>
  <c r="AC1428" i="20"/>
  <c r="AC70" i="20"/>
  <c r="AC842" i="20"/>
  <c r="AC961" i="20"/>
  <c r="AC1064" i="20"/>
  <c r="AC678" i="20"/>
  <c r="AC2349" i="20"/>
  <c r="AC2051" i="20"/>
  <c r="AC1779" i="20"/>
  <c r="AC1947" i="20"/>
  <c r="AC1780" i="20"/>
  <c r="AC51" i="20"/>
  <c r="AC109" i="20"/>
  <c r="AC315" i="20"/>
  <c r="AC345" i="20"/>
  <c r="AC401" i="20"/>
  <c r="AC1884" i="20"/>
  <c r="AC2440" i="20"/>
  <c r="AC620" i="20"/>
  <c r="AC567" i="20"/>
  <c r="AC735" i="20"/>
  <c r="AC580" i="20"/>
  <c r="AC925" i="20"/>
  <c r="AC440" i="20"/>
  <c r="AC988" i="20"/>
  <c r="AC1140" i="20"/>
  <c r="AC524" i="20"/>
  <c r="AC1294" i="20"/>
  <c r="AC1381" i="20"/>
  <c r="AC1244" i="20"/>
  <c r="AC1646" i="20"/>
  <c r="AC790" i="20"/>
  <c r="AC1955" i="20"/>
  <c r="AC1958" i="20"/>
  <c r="AC1891" i="20"/>
  <c r="AC2439" i="20"/>
  <c r="AC2189" i="20"/>
  <c r="AC2231" i="20"/>
  <c r="AC2067" i="20"/>
  <c r="P179" i="34"/>
  <c r="R179" i="34" s="1"/>
  <c r="P159" i="34"/>
  <c r="R159" i="34" s="1"/>
  <c r="P142" i="34"/>
  <c r="R142" i="34" s="1"/>
  <c r="P107" i="34"/>
  <c r="R107" i="34" s="1"/>
  <c r="P88" i="34"/>
  <c r="R88" i="34" s="1"/>
  <c r="P70" i="34"/>
  <c r="R70" i="34" s="1"/>
  <c r="W133" i="10"/>
  <c r="AA133" i="10" s="1"/>
  <c r="V83" i="10"/>
  <c r="W83" i="10" s="1"/>
  <c r="V70" i="10"/>
  <c r="W70" i="10" s="1"/>
  <c r="V266" i="10"/>
  <c r="W266" i="10" s="1"/>
  <c r="AA266" i="10" s="1"/>
  <c r="V262" i="10"/>
  <c r="W262" i="10" s="1"/>
  <c r="V206" i="10"/>
  <c r="V65" i="10"/>
  <c r="W65" i="10" s="1"/>
  <c r="X65" i="10" s="1"/>
  <c r="V60" i="10"/>
  <c r="W60" i="10" s="1"/>
  <c r="X60" i="10" s="1"/>
  <c r="V240" i="10"/>
  <c r="V125" i="10"/>
  <c r="W125" i="10" s="1"/>
  <c r="AA125" i="10" s="1"/>
  <c r="V139" i="10"/>
  <c r="W139" i="10" s="1"/>
  <c r="V107" i="10"/>
  <c r="W107" i="10" s="1"/>
  <c r="X107" i="10" s="1"/>
  <c r="V38" i="10"/>
  <c r="W38" i="10" s="1"/>
  <c r="AA38" i="10" s="1"/>
  <c r="V200" i="10"/>
  <c r="W200" i="10" s="1"/>
  <c r="AA200" i="10" s="1"/>
  <c r="V223" i="10"/>
  <c r="W223" i="10" s="1"/>
  <c r="W16" i="10"/>
  <c r="AA16" i="10" s="1"/>
  <c r="W103" i="10"/>
  <c r="W119" i="10"/>
  <c r="P50" i="34"/>
  <c r="P190" i="34"/>
  <c r="R190" i="34" s="1"/>
  <c r="P66" i="34"/>
  <c r="R66" i="34" s="1"/>
  <c r="P150" i="34"/>
  <c r="R150" i="34" s="1"/>
  <c r="P12" i="34"/>
  <c r="Q12" i="34" s="1"/>
  <c r="P82" i="34"/>
  <c r="AC1055" i="20"/>
  <c r="AC1199" i="20"/>
  <c r="AC674" i="20"/>
  <c r="AC1684" i="20"/>
  <c r="AC2362" i="20"/>
  <c r="AC2300" i="20"/>
  <c r="AC758" i="20"/>
  <c r="AC572" i="20"/>
  <c r="AC1606" i="20"/>
  <c r="AC2379" i="20"/>
  <c r="AC2011" i="20"/>
  <c r="AC527" i="20"/>
  <c r="AC1358" i="20"/>
  <c r="AC762" i="20"/>
  <c r="AC1840" i="20"/>
  <c r="AC521" i="20"/>
  <c r="AC847" i="20"/>
  <c r="AC1072" i="20"/>
  <c r="AC666" i="20"/>
  <c r="AC1193" i="20"/>
  <c r="AC1937" i="20"/>
  <c r="AC1786" i="20"/>
  <c r="AC1438" i="20"/>
  <c r="AC2355" i="20"/>
  <c r="AC2041" i="20"/>
  <c r="AC749" i="20"/>
  <c r="AC429" i="20"/>
  <c r="AC1011" i="20"/>
  <c r="AC625" i="20"/>
  <c r="AC1335" i="20"/>
  <c r="AC1024" i="20"/>
  <c r="AC1406" i="20"/>
  <c r="AC1879" i="20"/>
  <c r="AC2122" i="20"/>
  <c r="AC1379" i="20"/>
  <c r="AC1732" i="20"/>
  <c r="AC2237" i="20"/>
  <c r="AC2211" i="20"/>
  <c r="AC1663" i="20"/>
  <c r="AC2101" i="20"/>
  <c r="AC2270" i="20"/>
  <c r="AC2399" i="20"/>
  <c r="AC1675" i="20"/>
  <c r="AC886" i="20"/>
  <c r="AC329" i="20"/>
  <c r="AC1833" i="20"/>
  <c r="AC982" i="20"/>
  <c r="AC2383" i="20"/>
  <c r="AC271" i="20"/>
  <c r="AC1161" i="20"/>
  <c r="AC684" i="20"/>
  <c r="AC1270" i="20"/>
  <c r="AC1554" i="20"/>
  <c r="AC1050" i="20"/>
  <c r="AC714" i="20"/>
  <c r="AC1219" i="20"/>
  <c r="AC1708" i="20"/>
  <c r="AC1640" i="20"/>
  <c r="AC1812" i="20"/>
  <c r="AC1910" i="20"/>
  <c r="AC1720" i="20"/>
  <c r="AC2106" i="20"/>
  <c r="AC2304" i="20"/>
  <c r="AC225" i="20"/>
  <c r="AC228" i="20"/>
  <c r="AC1188" i="20"/>
  <c r="AC1479" i="20"/>
  <c r="AC1608" i="20"/>
  <c r="AC2167" i="20"/>
  <c r="AC1827" i="20"/>
  <c r="AC140" i="20"/>
  <c r="AC787" i="20"/>
  <c r="AC368" i="20"/>
  <c r="AC396" i="20"/>
  <c r="AC410" i="20"/>
  <c r="AC760" i="20"/>
  <c r="AC831" i="20"/>
  <c r="AC234" i="20"/>
  <c r="AC456" i="20"/>
  <c r="AC286" i="20"/>
  <c r="AC622" i="20"/>
  <c r="AC433" i="20"/>
  <c r="AC342" i="20"/>
  <c r="AC461" i="20"/>
  <c r="AC973" i="20"/>
  <c r="AC990" i="20"/>
  <c r="AC571" i="20"/>
  <c r="AC1837" i="20"/>
  <c r="AC1172" i="20"/>
  <c r="AC1726" i="20"/>
  <c r="AC1145" i="20"/>
  <c r="AC980" i="20"/>
  <c r="AC1614" i="20"/>
  <c r="AC1283" i="20"/>
  <c r="AC1508" i="20"/>
  <c r="AC989" i="20"/>
  <c r="AC748" i="20"/>
  <c r="AC2022" i="20"/>
  <c r="AC1766" i="20"/>
  <c r="AC1864" i="20"/>
  <c r="AC2434" i="20"/>
  <c r="AC1626" i="20"/>
  <c r="AC2332" i="20"/>
  <c r="AC120" i="20"/>
  <c r="AC176" i="20"/>
  <c r="AC154" i="20"/>
  <c r="AC220" i="20"/>
  <c r="AC199" i="20"/>
  <c r="AC92" i="20"/>
  <c r="AC366" i="20"/>
  <c r="AC581" i="20"/>
  <c r="AC503" i="20"/>
  <c r="AC1137" i="20"/>
  <c r="AC1650" i="20"/>
  <c r="AC1382" i="20"/>
  <c r="AC1036" i="20"/>
  <c r="AC570" i="20"/>
  <c r="AC1836" i="20"/>
  <c r="AC2390" i="20"/>
  <c r="AC2282" i="20"/>
  <c r="AC2410" i="20"/>
  <c r="AC1307" i="20"/>
  <c r="AC258" i="20"/>
  <c r="AC279" i="20"/>
  <c r="AC69" i="20"/>
  <c r="AC862" i="20"/>
  <c r="AC1375" i="20"/>
  <c r="AC1407" i="20"/>
  <c r="AC1518" i="20"/>
  <c r="AC1839" i="20"/>
  <c r="AC1976" i="20"/>
  <c r="AC2155" i="20"/>
  <c r="AC2310" i="20"/>
  <c r="AC2370" i="20"/>
  <c r="AC50" i="20"/>
  <c r="AC105" i="20"/>
  <c r="AC36" i="20"/>
  <c r="AC450" i="20"/>
  <c r="AC591" i="20"/>
  <c r="AC256" i="20"/>
  <c r="AC761" i="20"/>
  <c r="AC1357" i="20"/>
  <c r="AC1119" i="20"/>
  <c r="AC956" i="20"/>
  <c r="AC866" i="20"/>
  <c r="AC1478" i="20"/>
  <c r="AC526" i="20"/>
  <c r="AC2099" i="20"/>
  <c r="AC800" i="20"/>
  <c r="AC1573" i="20"/>
  <c r="AC1324" i="20"/>
  <c r="AC2007" i="20"/>
  <c r="AC1370" i="20"/>
  <c r="AC1598" i="20"/>
  <c r="AC1182" i="20"/>
  <c r="AC1454" i="20"/>
  <c r="AC1235" i="20"/>
  <c r="AC1310" i="20"/>
  <c r="AC1420" i="20"/>
  <c r="AC2391" i="20"/>
  <c r="AC1841" i="20"/>
  <c r="AC1691" i="20"/>
  <c r="AC2212" i="20"/>
  <c r="AC2226" i="20"/>
  <c r="AC2228" i="20"/>
  <c r="AC2124" i="20"/>
  <c r="AC1877" i="20"/>
  <c r="AC1701" i="20"/>
  <c r="AC2344" i="20"/>
  <c r="AC22" i="20"/>
  <c r="AC240" i="20"/>
  <c r="AC196" i="20"/>
  <c r="AC564" i="20"/>
  <c r="AC551" i="20"/>
  <c r="AC1153" i="20"/>
  <c r="AC599" i="20"/>
  <c r="AC1329" i="20"/>
  <c r="AC314" i="20"/>
  <c r="AC336" i="20"/>
  <c r="AC798" i="20"/>
  <c r="AC443" i="20"/>
  <c r="AC629" i="20"/>
  <c r="AC723" i="20"/>
  <c r="AC1566" i="20"/>
  <c r="AC1805" i="20"/>
  <c r="AC1652" i="20"/>
  <c r="AC765" i="20"/>
  <c r="AC1342" i="20"/>
  <c r="AC2117" i="20"/>
  <c r="AC2034" i="20"/>
  <c r="AC1699" i="20"/>
  <c r="AC1394" i="20"/>
  <c r="AC740" i="20"/>
  <c r="AC1259" i="20"/>
  <c r="AC1417" i="20"/>
  <c r="AC783" i="20"/>
  <c r="AC1459" i="20"/>
  <c r="AC1858" i="20"/>
  <c r="AC1997" i="20"/>
  <c r="AC2194" i="20"/>
  <c r="AC2004" i="20"/>
  <c r="AC1988" i="20"/>
  <c r="AC1635" i="20"/>
  <c r="AC2247" i="20"/>
  <c r="AC2290" i="20"/>
  <c r="AC5" i="20"/>
  <c r="AC59" i="20"/>
  <c r="AC87" i="20"/>
  <c r="AC121" i="20"/>
  <c r="AC221" i="20"/>
  <c r="AC589" i="20"/>
  <c r="AC178" i="20"/>
  <c r="AC326" i="20"/>
  <c r="AC166" i="20"/>
  <c r="AC728" i="20"/>
  <c r="AC983" i="20"/>
  <c r="AC776" i="20"/>
  <c r="AC1134" i="20"/>
  <c r="AC2057" i="20"/>
  <c r="AC1482" i="20"/>
  <c r="AC1632" i="20"/>
  <c r="AC1291" i="20"/>
  <c r="AC1885" i="20"/>
  <c r="AC2186" i="20"/>
  <c r="AC2272" i="20"/>
  <c r="P212" i="34"/>
  <c r="P177" i="34"/>
  <c r="R177" i="34" s="1"/>
  <c r="P158" i="34"/>
  <c r="R158" i="34" s="1"/>
  <c r="P141" i="34"/>
  <c r="R141" i="34" s="1"/>
  <c r="P105" i="34"/>
  <c r="R105" i="34" s="1"/>
  <c r="P87" i="34"/>
  <c r="R87" i="34" s="1"/>
  <c r="P67" i="34"/>
  <c r="R67" i="34" s="1"/>
  <c r="P23" i="34"/>
  <c r="R23" i="34" s="1"/>
  <c r="P2" i="34"/>
  <c r="J138" i="34"/>
  <c r="L138" i="34" s="1"/>
  <c r="J91" i="34"/>
  <c r="L91" i="34" s="1"/>
  <c r="V272" i="10"/>
  <c r="W272" i="10" s="1"/>
  <c r="V234" i="10"/>
  <c r="V265" i="10"/>
  <c r="W265" i="10" s="1"/>
  <c r="X265" i="10" s="1"/>
  <c r="V212" i="10"/>
  <c r="V261" i="10"/>
  <c r="W261" i="10" s="1"/>
  <c r="V205" i="10"/>
  <c r="W205" i="10" s="1"/>
  <c r="V106" i="10"/>
  <c r="W106" i="10" s="1"/>
  <c r="X106" i="10" s="1"/>
  <c r="V59" i="10"/>
  <c r="V113" i="10"/>
  <c r="V214" i="10"/>
  <c r="P62" i="34"/>
  <c r="R62" i="34" s="1"/>
  <c r="P146" i="34"/>
  <c r="P36" i="34"/>
  <c r="Q36" i="34" s="1"/>
  <c r="P78" i="34"/>
  <c r="R78" i="34" s="1"/>
  <c r="P94" i="34"/>
  <c r="R94" i="34" s="1"/>
  <c r="P206" i="34"/>
  <c r="R206" i="34" s="1"/>
  <c r="P26" i="34"/>
  <c r="R26" i="34" s="1"/>
  <c r="AC520" i="20"/>
  <c r="AC1195" i="20"/>
  <c r="AC861" i="20"/>
  <c r="AC1074" i="20"/>
  <c r="AC668" i="20"/>
  <c r="AC1440" i="20"/>
  <c r="AC2043" i="20"/>
  <c r="AC1939" i="20"/>
  <c r="AC1798" i="20"/>
  <c r="AC2357" i="20"/>
  <c r="AC522" i="20"/>
  <c r="AC667" i="20"/>
  <c r="AC1194" i="20"/>
  <c r="AC848" i="20"/>
  <c r="AC1073" i="20"/>
  <c r="AC1439" i="20"/>
  <c r="AC1787" i="20"/>
  <c r="AC1938" i="20"/>
  <c r="AC2356" i="20"/>
  <c r="AC2042" i="20"/>
  <c r="AC582" i="20"/>
  <c r="AC434" i="20"/>
  <c r="AC428" i="20"/>
  <c r="AC725" i="20"/>
  <c r="AC639" i="20"/>
  <c r="AC2389" i="20"/>
  <c r="AC1953" i="20"/>
  <c r="AC311" i="20"/>
  <c r="AC535" i="20"/>
  <c r="AC605" i="20"/>
  <c r="AC1527" i="20"/>
  <c r="AC318" i="20"/>
  <c r="AC808" i="20"/>
  <c r="AC1847" i="20"/>
  <c r="AC632" i="20"/>
  <c r="AC893" i="20"/>
  <c r="AC1177" i="20"/>
  <c r="AC1507" i="20"/>
  <c r="AC2207" i="20"/>
  <c r="AC2119" i="20"/>
  <c r="AC1771" i="20"/>
  <c r="AC2325" i="20"/>
  <c r="AC1969" i="20"/>
  <c r="AC211" i="20"/>
  <c r="AC537" i="20"/>
  <c r="AC1282" i="20"/>
  <c r="AC906" i="20"/>
  <c r="AC722" i="20"/>
  <c r="AC1112" i="20"/>
  <c r="AC1725" i="20"/>
  <c r="AC1368" i="20"/>
  <c r="AC1577" i="20"/>
  <c r="AC1012" i="20"/>
  <c r="AC2419" i="20"/>
  <c r="AC2267" i="20"/>
  <c r="AC1546" i="20"/>
  <c r="AC1776" i="20"/>
  <c r="AC2013" i="20"/>
  <c r="AC2190" i="20"/>
  <c r="AC2318" i="20"/>
  <c r="AC118" i="20"/>
  <c r="AC648" i="20"/>
  <c r="AC775" i="20"/>
  <c r="AC235" i="20"/>
  <c r="AC600" i="20"/>
  <c r="AC1303" i="20"/>
  <c r="AC1189" i="20"/>
  <c r="AC1486" i="20"/>
  <c r="AC1754" i="20"/>
  <c r="AC932" i="20"/>
  <c r="AC1887" i="20"/>
  <c r="AC2195" i="20"/>
  <c r="AC2377" i="20"/>
  <c r="AC1715" i="20"/>
  <c r="AC2196" i="20"/>
  <c r="AC2058" i="20"/>
  <c r="AC2456" i="20"/>
  <c r="AC90" i="20"/>
  <c r="AC207" i="20"/>
  <c r="AC407" i="20"/>
  <c r="AC435" i="20"/>
  <c r="AC324" i="20"/>
  <c r="AC465" i="20"/>
  <c r="AC180" i="20"/>
  <c r="AC312" i="20"/>
  <c r="AC494" i="20"/>
  <c r="AC774" i="20"/>
  <c r="AC142" i="20"/>
  <c r="AC369" i="20"/>
  <c r="AC901" i="20"/>
  <c r="AC205" i="20"/>
  <c r="AC99" i="20"/>
  <c r="AC173" i="20"/>
  <c r="AC359" i="20"/>
  <c r="AC601" i="20"/>
  <c r="AC294" i="20"/>
  <c r="AC202" i="20"/>
  <c r="AC1390" i="20"/>
  <c r="AC1487" i="20"/>
  <c r="AC1727" i="20"/>
  <c r="AC1264" i="20"/>
  <c r="AC1765" i="20"/>
  <c r="AC1888" i="20"/>
  <c r="AC2032" i="20"/>
  <c r="AC2455" i="20"/>
  <c r="AC2276" i="20"/>
  <c r="AC743" i="20"/>
  <c r="AC453" i="20"/>
  <c r="AC49" i="20"/>
  <c r="AC476" i="20"/>
  <c r="AC794" i="20"/>
  <c r="AC940" i="20"/>
  <c r="AC1179" i="20"/>
  <c r="AC1240" i="20"/>
  <c r="AC896" i="20"/>
  <c r="AC1256" i="20"/>
  <c r="AC1415" i="20"/>
  <c r="AC1625" i="20"/>
  <c r="AC560" i="20"/>
  <c r="AC417" i="20"/>
  <c r="AC884" i="20"/>
  <c r="AC1185" i="20"/>
  <c r="AC1158" i="20"/>
  <c r="AC347" i="20"/>
  <c r="AC1110" i="20"/>
  <c r="AC1655" i="20"/>
  <c r="AC1823" i="20"/>
  <c r="AC1007" i="20"/>
  <c r="AC1392" i="20"/>
  <c r="AC2104" i="20"/>
  <c r="AC1117" i="20"/>
  <c r="AC129" i="20"/>
  <c r="AC1328" i="20"/>
  <c r="AC1154" i="20"/>
  <c r="AC1493" i="20"/>
  <c r="AC2239" i="20"/>
  <c r="AC2227" i="20"/>
  <c r="AC2339" i="20"/>
  <c r="AC1695" i="20"/>
  <c r="AC1775" i="20"/>
  <c r="AC2123" i="20"/>
  <c r="AC1874" i="20"/>
  <c r="AC2174" i="20"/>
  <c r="AC2259" i="20"/>
  <c r="AC2086" i="20"/>
  <c r="AC1904" i="20"/>
  <c r="AC2401" i="20"/>
  <c r="AC130" i="20"/>
  <c r="AC309" i="20"/>
  <c r="AC449" i="20"/>
  <c r="AC799" i="20"/>
  <c r="AC592" i="20"/>
  <c r="AC957" i="20"/>
  <c r="AC1181" i="20"/>
  <c r="AC528" i="20"/>
  <c r="AC1118" i="20"/>
  <c r="AC1595" i="20"/>
  <c r="AC1693" i="20"/>
  <c r="AC35" i="20"/>
  <c r="AC917" i="20"/>
  <c r="AC1502" i="20"/>
  <c r="AC1574" i="20"/>
  <c r="AC2103" i="20"/>
  <c r="AC1229" i="20"/>
  <c r="AC1473" i="20"/>
  <c r="AC1730" i="20"/>
  <c r="AC1842" i="20"/>
  <c r="AC1052" i="20"/>
  <c r="AC2334" i="20"/>
  <c r="AC2025" i="20"/>
  <c r="AC2225" i="20"/>
  <c r="AC2213" i="20"/>
  <c r="AC2229" i="20"/>
  <c r="AC1878" i="20"/>
  <c r="AC1808" i="20"/>
  <c r="AC2402" i="20"/>
  <c r="AC20" i="20"/>
  <c r="AC371" i="20"/>
  <c r="AC455" i="20"/>
  <c r="AC358" i="20"/>
  <c r="AC1611" i="20"/>
  <c r="AC610" i="20"/>
  <c r="AC836" i="20"/>
  <c r="AC566" i="20"/>
  <c r="AC1129" i="20"/>
  <c r="AC2284" i="20"/>
  <c r="AC1757" i="20"/>
  <c r="AC4" i="20"/>
  <c r="AC165" i="20"/>
  <c r="AC323" i="20"/>
  <c r="AC177" i="20"/>
  <c r="AC57" i="20"/>
  <c r="AC507" i="20"/>
  <c r="AC63" i="20"/>
  <c r="AC91" i="20"/>
  <c r="AC119" i="20"/>
  <c r="AC236" i="20"/>
  <c r="AC292" i="20"/>
  <c r="AC1132" i="20"/>
  <c r="AC223" i="20"/>
  <c r="AC250" i="20"/>
  <c r="P227" i="34"/>
  <c r="R227" i="34" s="1"/>
  <c r="P157" i="34"/>
  <c r="R157" i="34" s="1"/>
  <c r="P123" i="34"/>
  <c r="R123" i="34" s="1"/>
  <c r="P21" i="34"/>
  <c r="R21" i="34" s="1"/>
  <c r="Q32" i="34"/>
  <c r="P234" i="34"/>
  <c r="R234" i="34" s="1"/>
  <c r="P69" i="34"/>
  <c r="R69" i="34" s="1"/>
  <c r="AC1236" i="20"/>
  <c r="AC670" i="20"/>
  <c r="AC1102" i="20"/>
  <c r="AC1409" i="20"/>
  <c r="AC951" i="20"/>
  <c r="AC1543" i="20"/>
  <c r="AC1017" i="20"/>
  <c r="AC2223" i="20"/>
  <c r="AC1661" i="20"/>
  <c r="AC2157" i="20"/>
  <c r="AC2084" i="20"/>
  <c r="AC562" i="20"/>
  <c r="AC731" i="20"/>
  <c r="AC2001" i="20"/>
  <c r="AC1900" i="20"/>
  <c r="AC1217" i="20"/>
  <c r="AC2166" i="20"/>
  <c r="AC2275" i="20"/>
  <c r="AC1688" i="20"/>
  <c r="AC2070" i="20"/>
  <c r="AC2269" i="20"/>
  <c r="AC855" i="20"/>
  <c r="AC676" i="20"/>
  <c r="AC1441" i="20"/>
  <c r="AC1053" i="20"/>
  <c r="AC1197" i="20"/>
  <c r="AC1687" i="20"/>
  <c r="AC2037" i="20"/>
  <c r="AC2359" i="20"/>
  <c r="AC690" i="20"/>
  <c r="AC517" i="20"/>
  <c r="AC721" i="20"/>
  <c r="AC1286" i="20"/>
  <c r="AC2029" i="20"/>
  <c r="AC757" i="20"/>
  <c r="AC423" i="20"/>
  <c r="AC609" i="20"/>
  <c r="AC490" i="20"/>
  <c r="AC720" i="20"/>
  <c r="AC2089" i="20"/>
  <c r="AC1304" i="20"/>
  <c r="AC310" i="20"/>
  <c r="AC943" i="20"/>
  <c r="AC595" i="20"/>
  <c r="AC750" i="20"/>
  <c r="AC1413" i="20"/>
  <c r="AC1497" i="20"/>
  <c r="AC1015" i="20"/>
  <c r="AC898" i="20"/>
  <c r="AC742" i="20"/>
  <c r="AC1463" i="20"/>
  <c r="AC1480" i="20"/>
  <c r="AC1736" i="20"/>
  <c r="AC807" i="20"/>
  <c r="AC1323" i="20"/>
  <c r="AC474" i="20"/>
  <c r="AC2077" i="20"/>
  <c r="AC1327" i="20"/>
  <c r="AC1700" i="20"/>
  <c r="AC1590" i="20"/>
  <c r="AC2322" i="20"/>
  <c r="AC2240" i="20"/>
  <c r="AC2121" i="20"/>
  <c r="AC1919" i="20"/>
  <c r="AC2173" i="20"/>
  <c r="AC1623" i="20"/>
  <c r="AC2398" i="20"/>
  <c r="AC2148" i="20"/>
  <c r="AC269" i="20"/>
  <c r="AC689" i="20"/>
  <c r="AC1223" i="20"/>
  <c r="AC273" i="20"/>
  <c r="AC709" i="20"/>
  <c r="AC1166" i="20"/>
  <c r="AC1274" i="20"/>
  <c r="AC1559" i="20"/>
  <c r="AC1713" i="20"/>
  <c r="AC1645" i="20"/>
  <c r="AC1051" i="20"/>
  <c r="AC1817" i="20"/>
  <c r="AC1915" i="20"/>
  <c r="AC2309" i="20"/>
  <c r="AC1724" i="20"/>
  <c r="AC2110" i="20"/>
  <c r="AC194" i="20"/>
  <c r="AC561" i="20"/>
  <c r="AC1485" i="20"/>
  <c r="AC1828" i="20"/>
  <c r="AC1187" i="20"/>
  <c r="AC2153" i="20"/>
  <c r="AC1607" i="20"/>
  <c r="AC138" i="20"/>
  <c r="AC497" i="20"/>
  <c r="AC894" i="20"/>
  <c r="AC185" i="20"/>
  <c r="AC2005" i="20"/>
  <c r="AC1257" i="20"/>
  <c r="AC1452" i="20"/>
  <c r="AC1616" i="20"/>
  <c r="AC1674" i="20"/>
  <c r="AC2136" i="20"/>
  <c r="AC419" i="20"/>
  <c r="AC2027" i="20"/>
  <c r="AC2311" i="20"/>
  <c r="AC1848" i="20"/>
  <c r="AC2369" i="20"/>
  <c r="AC1563" i="20"/>
  <c r="AC116" i="20"/>
  <c r="AC463" i="20"/>
  <c r="AC552" i="20"/>
  <c r="AC793" i="20"/>
  <c r="AC107" i="20"/>
  <c r="AC149" i="20"/>
  <c r="AC81" i="20"/>
  <c r="AC338" i="20"/>
  <c r="AC540" i="20"/>
  <c r="AC418" i="20"/>
  <c r="AC277" i="20"/>
  <c r="AC968" i="20"/>
  <c r="AC1587" i="20"/>
  <c r="AC2445" i="20"/>
  <c r="AC1999" i="20"/>
  <c r="AC2292" i="20"/>
  <c r="AC1859" i="20"/>
  <c r="AC67" i="20"/>
  <c r="AC305" i="20"/>
  <c r="AC48" i="20"/>
  <c r="AC634" i="20"/>
  <c r="AC705" i="20"/>
  <c r="AC1512" i="20"/>
  <c r="AC1582" i="20"/>
  <c r="AC1637" i="20"/>
  <c r="AC658" i="20"/>
  <c r="AC1809" i="20"/>
  <c r="AC2075" i="20"/>
  <c r="AC2306" i="20"/>
  <c r="AC2138" i="20"/>
  <c r="AC34" i="20"/>
  <c r="AC673" i="20"/>
  <c r="AC1443" i="20"/>
  <c r="AC840" i="20"/>
  <c r="AC1685" i="20"/>
  <c r="AC2361" i="20"/>
  <c r="AC2299" i="20"/>
  <c r="AC19" i="20"/>
  <c r="AC565" i="20"/>
  <c r="AC357" i="20"/>
  <c r="AC454" i="20"/>
  <c r="AC835" i="20"/>
  <c r="AC1168" i="20"/>
  <c r="AC319" i="20"/>
  <c r="AC372" i="20"/>
  <c r="AC1130" i="20"/>
  <c r="AC1338" i="20"/>
  <c r="AC611" i="20"/>
  <c r="AC1302" i="20"/>
  <c r="AC2066" i="20"/>
  <c r="AC1601" i="20"/>
  <c r="AC2283" i="20"/>
  <c r="AC1756" i="20"/>
  <c r="AC2414" i="20"/>
  <c r="AC3" i="20"/>
  <c r="AC18" i="20"/>
  <c r="AC104" i="20"/>
  <c r="AC84" i="20"/>
  <c r="AC313" i="20"/>
  <c r="AC183" i="20"/>
  <c r="AC147" i="20"/>
  <c r="AC555" i="20"/>
  <c r="AC1315" i="20"/>
  <c r="AC217" i="20"/>
  <c r="AC1569" i="20"/>
  <c r="AC248" i="20"/>
  <c r="AC1034" i="20"/>
  <c r="AC1893" i="20"/>
  <c r="AC927" i="20"/>
  <c r="AC400" i="20"/>
  <c r="AC2442" i="20"/>
  <c r="R86" i="34"/>
  <c r="P242" i="34"/>
  <c r="R242" i="34" s="1"/>
  <c r="P210" i="34"/>
  <c r="R210" i="34" s="1"/>
  <c r="P193" i="34"/>
  <c r="R193" i="34" s="1"/>
  <c r="P173" i="34"/>
  <c r="R173" i="34" s="1"/>
  <c r="P139" i="34"/>
  <c r="R139" i="34" s="1"/>
  <c r="P121" i="34"/>
  <c r="R121" i="34" s="1"/>
  <c r="P102" i="34"/>
  <c r="R102" i="34" s="1"/>
  <c r="P85" i="34"/>
  <c r="R85" i="34" s="1"/>
  <c r="P43" i="34"/>
  <c r="Q43" i="34" s="1"/>
  <c r="P19" i="34"/>
  <c r="R19" i="34" s="1"/>
  <c r="N189" i="34"/>
  <c r="O189" i="34" s="1"/>
  <c r="AC2444" i="20"/>
  <c r="AC2443" i="20"/>
  <c r="AC1994" i="20"/>
  <c r="AC2372" i="20"/>
  <c r="AC1967" i="20"/>
  <c r="AC1831" i="20"/>
  <c r="AC1731" i="20"/>
  <c r="Q179" i="34"/>
  <c r="Q123" i="34"/>
  <c r="Q53" i="34"/>
  <c r="Q39" i="34"/>
  <c r="AC1876" i="20"/>
  <c r="AC1850" i="20"/>
  <c r="AC1803" i="20"/>
  <c r="AC2257" i="20"/>
  <c r="AC2201" i="20"/>
  <c r="AC1986" i="20"/>
  <c r="Q44" i="34"/>
  <c r="N245" i="34"/>
  <c r="O245" i="34" s="1"/>
  <c r="Q245" i="34" s="1"/>
  <c r="N231" i="34"/>
  <c r="O231" i="34" s="1"/>
  <c r="Q231" i="34" s="1"/>
  <c r="N217" i="34"/>
  <c r="O217" i="34" s="1"/>
  <c r="Q217" i="34" s="1"/>
  <c r="N203" i="34"/>
  <c r="O203" i="34" s="1"/>
  <c r="L189" i="34"/>
  <c r="N175" i="34"/>
  <c r="O175" i="34" s="1"/>
  <c r="Q175" i="34" s="1"/>
  <c r="N133" i="34"/>
  <c r="O133" i="34" s="1"/>
  <c r="Q133" i="34" s="1"/>
  <c r="L105" i="34"/>
  <c r="L77" i="34"/>
  <c r="N63" i="34"/>
  <c r="O63" i="34" s="1"/>
  <c r="N49" i="34"/>
  <c r="O49" i="34" s="1"/>
  <c r="Q49" i="34" s="1"/>
  <c r="L21" i="34"/>
  <c r="AC2424" i="20"/>
  <c r="AC1943" i="20"/>
  <c r="Q200" i="34"/>
  <c r="Q144" i="34"/>
  <c r="Q258" i="34"/>
  <c r="L230" i="34"/>
  <c r="AC2394" i="20"/>
  <c r="AC13" i="20"/>
  <c r="AC239" i="20"/>
  <c r="AC2154" i="20"/>
  <c r="AC2097" i="20"/>
  <c r="Q130" i="34"/>
  <c r="Q83" i="34"/>
  <c r="AC2433" i="20"/>
  <c r="AC726" i="20"/>
  <c r="AC792" i="20"/>
  <c r="AC370" i="20"/>
  <c r="AC542" i="20"/>
  <c r="AC337" i="20"/>
  <c r="AC791" i="20"/>
  <c r="AC278" i="20"/>
  <c r="AC421" i="20"/>
  <c r="AC394" i="20"/>
  <c r="AC257" i="20"/>
  <c r="AC803" i="20"/>
  <c r="AC384" i="20"/>
  <c r="AC641" i="20"/>
  <c r="AC1044" i="20"/>
  <c r="AC532" i="20"/>
  <c r="AC739" i="20"/>
  <c r="AC1495" i="20"/>
  <c r="AC1991" i="20"/>
  <c r="AC1768" i="20"/>
  <c r="AC1475" i="20"/>
  <c r="AC1460" i="20"/>
  <c r="AC159" i="20"/>
  <c r="AC549" i="20"/>
  <c r="AC733" i="20"/>
  <c r="AC216" i="20"/>
  <c r="AC525" i="20"/>
  <c r="AC457" i="20"/>
  <c r="AC642" i="20"/>
  <c r="AC1484" i="20"/>
  <c r="AC486" i="20"/>
  <c r="AC244" i="20"/>
  <c r="AC468" i="20"/>
  <c r="AC881" i="20"/>
  <c r="AC1296" i="20"/>
  <c r="AC448" i="20"/>
  <c r="AC1388" i="20"/>
  <c r="AC1593" i="20"/>
  <c r="AC958" i="20"/>
  <c r="AC1856" i="20"/>
  <c r="AC1238" i="20"/>
  <c r="AC751" i="20"/>
  <c r="AC198" i="20"/>
  <c r="AC288" i="20"/>
  <c r="AC215" i="20"/>
  <c r="AC361" i="20"/>
  <c r="AC459" i="20"/>
  <c r="AC838" i="20"/>
  <c r="AC646" i="20"/>
  <c r="AC545" i="20"/>
  <c r="AC934" i="20"/>
  <c r="AC1295" i="20"/>
  <c r="AC97" i="20"/>
  <c r="AC962" i="20"/>
  <c r="AC1476" i="20"/>
  <c r="AC103" i="20"/>
  <c r="AC85" i="20"/>
  <c r="AC409" i="20"/>
  <c r="AC479" i="20"/>
  <c r="AC327" i="20"/>
  <c r="AC145" i="20"/>
  <c r="AC260" i="20"/>
  <c r="AC54" i="20"/>
  <c r="AC1284" i="20"/>
  <c r="AC1266" i="20"/>
  <c r="AC1317" i="20"/>
  <c r="AC2062" i="20"/>
  <c r="AC935" i="20"/>
  <c r="AC819" i="20"/>
  <c r="AC280" i="20"/>
  <c r="AC1109" i="20"/>
  <c r="AC304" i="20"/>
  <c r="AC1620" i="20"/>
  <c r="AC40" i="20"/>
  <c r="AC1351" i="20"/>
  <c r="AC1560" i="20"/>
  <c r="AC106" i="20"/>
  <c r="AC148" i="20"/>
  <c r="AC9" i="20"/>
  <c r="AC83" i="20"/>
  <c r="AC175" i="20"/>
  <c r="AC1133" i="20"/>
  <c r="AC348" i="20"/>
  <c r="AC1037" i="20"/>
  <c r="AC1870" i="20"/>
  <c r="AC168" i="20"/>
  <c r="AC1380" i="20"/>
  <c r="N244" i="34"/>
  <c r="O244" i="34" s="1"/>
  <c r="Q244" i="34" s="1"/>
  <c r="Q172" i="34"/>
  <c r="Q74" i="34"/>
  <c r="L140" i="34"/>
  <c r="L28" i="34"/>
  <c r="AC2112" i="20"/>
  <c r="AC1835" i="20"/>
  <c r="Q225" i="34"/>
  <c r="Q155" i="34"/>
  <c r="Q99" i="34"/>
  <c r="Q57" i="34"/>
  <c r="Q169" i="34"/>
  <c r="J165" i="34"/>
  <c r="L165" i="34" s="1"/>
  <c r="J95" i="34"/>
  <c r="L95" i="34" s="1"/>
  <c r="R133" i="34"/>
  <c r="N249" i="34"/>
  <c r="O249" i="34" s="1"/>
  <c r="N218" i="34"/>
  <c r="O218" i="34" s="1"/>
  <c r="N190" i="34"/>
  <c r="O190" i="34" s="1"/>
  <c r="Q190" i="34" s="1"/>
  <c r="N166" i="34"/>
  <c r="O166" i="34" s="1"/>
  <c r="Q166" i="34" s="1"/>
  <c r="N92" i="34"/>
  <c r="O92" i="34" s="1"/>
  <c r="Q92" i="34" s="1"/>
  <c r="N71" i="34"/>
  <c r="O71" i="34" s="1"/>
  <c r="Q71" i="34" s="1"/>
  <c r="M85" i="34"/>
  <c r="M64" i="34"/>
  <c r="M43" i="34"/>
  <c r="L127" i="34"/>
  <c r="L96" i="34"/>
  <c r="L68" i="34"/>
  <c r="L43" i="34"/>
  <c r="L252" i="34"/>
  <c r="L196" i="34"/>
  <c r="L126" i="34"/>
  <c r="J207" i="34"/>
  <c r="L207" i="34" s="1"/>
  <c r="L5" i="34"/>
  <c r="N221" i="34"/>
  <c r="O221" i="34" s="1"/>
  <c r="Q221" i="34" s="1"/>
  <c r="R189" i="34"/>
  <c r="Q197" i="34"/>
  <c r="N246" i="34"/>
  <c r="O246" i="34" s="1"/>
  <c r="N141" i="34"/>
  <c r="O141" i="34" s="1"/>
  <c r="N68" i="34"/>
  <c r="O68" i="34" s="1"/>
  <c r="M82" i="34"/>
  <c r="M40" i="34"/>
  <c r="L152" i="34"/>
  <c r="L124" i="34"/>
  <c r="L40" i="34"/>
  <c r="L15" i="34"/>
  <c r="Q251" i="34"/>
  <c r="Q209" i="34"/>
  <c r="Q195" i="34"/>
  <c r="L125" i="34"/>
  <c r="L111" i="34"/>
  <c r="L55" i="34"/>
  <c r="L41" i="34"/>
  <c r="J204" i="34"/>
  <c r="L204" i="34" s="1"/>
  <c r="J109" i="34"/>
  <c r="L109" i="34" s="1"/>
  <c r="J39" i="34"/>
  <c r="L39" i="34" s="1"/>
  <c r="R253" i="34"/>
  <c r="N193" i="34"/>
  <c r="O193" i="34" s="1"/>
  <c r="Q250" i="34"/>
  <c r="Q180" i="34"/>
  <c r="N67" i="34"/>
  <c r="O67" i="34" s="1"/>
  <c r="Q67" i="34" s="1"/>
  <c r="R245" i="34"/>
  <c r="R169" i="34"/>
  <c r="N242" i="34"/>
  <c r="O242" i="34" s="1"/>
  <c r="N161" i="34"/>
  <c r="O161" i="34" s="1"/>
  <c r="Q161" i="34" s="1"/>
  <c r="N137" i="34"/>
  <c r="O137" i="34" s="1"/>
  <c r="Q137" i="34" s="1"/>
  <c r="N113" i="34"/>
  <c r="O113" i="34" s="1"/>
  <c r="Q113" i="34" s="1"/>
  <c r="N41" i="34"/>
  <c r="O41" i="34" s="1"/>
  <c r="Q41" i="34" s="1"/>
  <c r="M225" i="34"/>
  <c r="M180" i="34"/>
  <c r="M99" i="34"/>
  <c r="L147" i="34"/>
  <c r="L63" i="34"/>
  <c r="L235" i="34"/>
  <c r="L221" i="34"/>
  <c r="L193" i="34"/>
  <c r="L151" i="34"/>
  <c r="L137" i="34"/>
  <c r="L245" i="34"/>
  <c r="L231" i="34"/>
  <c r="Q68" i="34"/>
  <c r="M183" i="34"/>
  <c r="J106" i="34"/>
  <c r="L106" i="34" s="1"/>
  <c r="R113" i="34"/>
  <c r="R15" i="34"/>
  <c r="Q17" i="34"/>
  <c r="N211" i="34"/>
  <c r="O211" i="34" s="1"/>
  <c r="Q211" i="34" s="1"/>
  <c r="N134" i="34"/>
  <c r="O134" i="34" s="1"/>
  <c r="N110" i="34"/>
  <c r="O110" i="34" s="1"/>
  <c r="M222" i="34"/>
  <c r="M97" i="34"/>
  <c r="M78" i="34"/>
  <c r="L35" i="34"/>
  <c r="L8" i="34"/>
  <c r="J179" i="34"/>
  <c r="L179" i="34" s="1"/>
  <c r="J123" i="34"/>
  <c r="L123" i="34" s="1"/>
  <c r="J53" i="34"/>
  <c r="L53" i="34" s="1"/>
  <c r="L258" i="34"/>
  <c r="L244" i="34"/>
  <c r="R99" i="34"/>
  <c r="M141" i="34"/>
  <c r="R225" i="34"/>
  <c r="Q183" i="34"/>
  <c r="N236" i="34"/>
  <c r="O236" i="34" s="1"/>
  <c r="Q236" i="34" s="1"/>
  <c r="N208" i="34"/>
  <c r="O208" i="34" s="1"/>
  <c r="N85" i="34"/>
  <c r="O85" i="34" s="1"/>
  <c r="N15" i="34"/>
  <c r="O15" i="34" s="1"/>
  <c r="Q15" i="34" s="1"/>
  <c r="M96" i="34"/>
  <c r="M77" i="34"/>
  <c r="M57" i="34"/>
  <c r="J176" i="34"/>
  <c r="L176" i="34" s="1"/>
  <c r="J120" i="34"/>
  <c r="L120" i="34" s="1"/>
  <c r="N257" i="34"/>
  <c r="O257" i="34" s="1"/>
  <c r="N243" i="34"/>
  <c r="O243" i="34" s="1"/>
  <c r="N229" i="34"/>
  <c r="O229" i="34" s="1"/>
  <c r="N215" i="34"/>
  <c r="O215" i="34" s="1"/>
  <c r="Q215" i="34" s="1"/>
  <c r="N201" i="34"/>
  <c r="O201" i="34" s="1"/>
  <c r="Q201" i="34" s="1"/>
  <c r="N187" i="34"/>
  <c r="O187" i="34" s="1"/>
  <c r="N173" i="34"/>
  <c r="O173" i="34" s="1"/>
  <c r="N159" i="34"/>
  <c r="O159" i="34" s="1"/>
  <c r="Q159" i="34" s="1"/>
  <c r="N145" i="34"/>
  <c r="O145" i="34" s="1"/>
  <c r="N131" i="34"/>
  <c r="O131" i="34" s="1"/>
  <c r="Q131" i="34" s="1"/>
  <c r="N117" i="34"/>
  <c r="O117" i="34" s="1"/>
  <c r="Q117" i="34" s="1"/>
  <c r="N103" i="34"/>
  <c r="O103" i="34" s="1"/>
  <c r="N89" i="34"/>
  <c r="O89" i="34" s="1"/>
  <c r="Q89" i="34" s="1"/>
  <c r="N75" i="34"/>
  <c r="O75" i="34" s="1"/>
  <c r="Q75" i="34" s="1"/>
  <c r="N61" i="34"/>
  <c r="O61" i="34" s="1"/>
  <c r="N47" i="34"/>
  <c r="O47" i="34" s="1"/>
  <c r="N33" i="34"/>
  <c r="O33" i="34" s="1"/>
  <c r="Q33" i="34" s="1"/>
  <c r="N19" i="34"/>
  <c r="O19" i="34" s="1"/>
  <c r="Q19" i="34" s="1"/>
  <c r="N5" i="34"/>
  <c r="O5" i="34" s="1"/>
  <c r="Q5" i="34" s="1"/>
  <c r="Q239" i="34"/>
  <c r="Q29" i="34"/>
  <c r="Q134" i="34"/>
  <c r="Q22" i="34"/>
  <c r="N235" i="34"/>
  <c r="O235" i="34" s="1"/>
  <c r="Q235" i="34" s="1"/>
  <c r="N12" i="34"/>
  <c r="O12" i="34" s="1"/>
  <c r="M245" i="34"/>
  <c r="M217" i="34"/>
  <c r="M197" i="34"/>
  <c r="M54" i="34"/>
  <c r="L113" i="34"/>
  <c r="L57" i="34"/>
  <c r="Q105" i="34"/>
  <c r="N232" i="34"/>
  <c r="O232" i="34" s="1"/>
  <c r="Q232" i="34" s="1"/>
  <c r="N82" i="34"/>
  <c r="O82" i="34" s="1"/>
  <c r="Q82" i="34" s="1"/>
  <c r="N11" i="34"/>
  <c r="O11" i="34" s="1"/>
  <c r="Q11" i="34" s="1"/>
  <c r="M194" i="34"/>
  <c r="M155" i="34"/>
  <c r="L166" i="34"/>
  <c r="L110" i="34"/>
  <c r="R43" i="34"/>
  <c r="Q132" i="34"/>
  <c r="Q90" i="34"/>
  <c r="Q76" i="34"/>
  <c r="N152" i="34"/>
  <c r="O152" i="34" s="1"/>
  <c r="Q152" i="34" s="1"/>
  <c r="N81" i="34"/>
  <c r="O81" i="34" s="1"/>
  <c r="Q81" i="34" s="1"/>
  <c r="Q34" i="34"/>
  <c r="N8" i="34"/>
  <c r="O8" i="34" s="1"/>
  <c r="Q8" i="34" s="1"/>
  <c r="M193" i="34"/>
  <c r="M31" i="34"/>
  <c r="L236" i="34"/>
  <c r="L29" i="34"/>
  <c r="L238" i="34"/>
  <c r="R239" i="34"/>
  <c r="N151" i="34"/>
  <c r="O151" i="34" s="1"/>
  <c r="Q151" i="34" s="1"/>
  <c r="N127" i="34"/>
  <c r="O127" i="34" s="1"/>
  <c r="N78" i="34"/>
  <c r="O78" i="34" s="1"/>
  <c r="N54" i="34"/>
  <c r="O54" i="34" s="1"/>
  <c r="N7" i="34"/>
  <c r="O7" i="34" s="1"/>
  <c r="Q7" i="34" s="1"/>
  <c r="M50" i="34"/>
  <c r="L50" i="34"/>
  <c r="L26" i="34"/>
  <c r="N253" i="34"/>
  <c r="O253" i="34" s="1"/>
  <c r="Q253" i="34" s="1"/>
  <c r="N239" i="34"/>
  <c r="O239" i="34" s="1"/>
  <c r="L225" i="34"/>
  <c r="L211" i="34"/>
  <c r="L197" i="34"/>
  <c r="L183" i="34"/>
  <c r="L169" i="34"/>
  <c r="R57" i="34"/>
  <c r="Q256" i="34"/>
  <c r="N148" i="34"/>
  <c r="O148" i="34" s="1"/>
  <c r="N77" i="34"/>
  <c r="O77" i="34" s="1"/>
  <c r="M49" i="34"/>
  <c r="M29" i="34"/>
  <c r="L194" i="34"/>
  <c r="L98" i="34"/>
  <c r="N147" i="34"/>
  <c r="O147" i="34" s="1"/>
  <c r="M26" i="34"/>
  <c r="N255" i="34"/>
  <c r="O255" i="34" s="1"/>
  <c r="Q255" i="34" s="1"/>
  <c r="Q72" i="34"/>
  <c r="N222" i="34"/>
  <c r="O222" i="34" s="1"/>
  <c r="Q222" i="34" s="1"/>
  <c r="M189" i="34"/>
  <c r="L210" i="34"/>
  <c r="N210" i="34"/>
  <c r="O210" i="34" s="1"/>
  <c r="M210" i="34"/>
  <c r="N70" i="34"/>
  <c r="O70" i="34" s="1"/>
  <c r="M70" i="34"/>
  <c r="J206" i="34"/>
  <c r="L206" i="34" s="1"/>
  <c r="N206" i="34"/>
  <c r="O206" i="34" s="1"/>
  <c r="Q206" i="34" s="1"/>
  <c r="J108" i="34"/>
  <c r="L108" i="34" s="1"/>
  <c r="N108" i="34"/>
  <c r="O108" i="34" s="1"/>
  <c r="Q108" i="34" s="1"/>
  <c r="J52" i="34"/>
  <c r="L52" i="34" s="1"/>
  <c r="N52" i="34"/>
  <c r="O52" i="34" s="1"/>
  <c r="Q52" i="34" s="1"/>
  <c r="J135" i="34"/>
  <c r="L135" i="34" s="1"/>
  <c r="N135" i="34"/>
  <c r="O135" i="34" s="1"/>
  <c r="Q135" i="34" s="1"/>
  <c r="J65" i="34"/>
  <c r="L65" i="34" s="1"/>
  <c r="N65" i="34"/>
  <c r="O65" i="34" s="1"/>
  <c r="Q65" i="34" s="1"/>
  <c r="N125" i="34"/>
  <c r="O125" i="34" s="1"/>
  <c r="J187" i="34"/>
  <c r="L187" i="34" s="1"/>
  <c r="J117" i="34"/>
  <c r="L117" i="34" s="1"/>
  <c r="N237" i="34"/>
  <c r="O237" i="34" s="1"/>
  <c r="N167" i="34"/>
  <c r="O167" i="34" s="1"/>
  <c r="M251" i="34"/>
  <c r="M209" i="34"/>
  <c r="M111" i="34"/>
  <c r="M13" i="34"/>
  <c r="N154" i="34"/>
  <c r="O154" i="34" s="1"/>
  <c r="Q154" i="34" s="1"/>
  <c r="M154" i="34"/>
  <c r="J234" i="34"/>
  <c r="L234" i="34" s="1"/>
  <c r="N234" i="34"/>
  <c r="O234" i="34" s="1"/>
  <c r="Q234" i="34" s="1"/>
  <c r="J149" i="34"/>
  <c r="L149" i="34" s="1"/>
  <c r="N149" i="34"/>
  <c r="O149" i="34" s="1"/>
  <c r="Q149" i="34" s="1"/>
  <c r="J79" i="34"/>
  <c r="L79" i="34" s="1"/>
  <c r="N79" i="34"/>
  <c r="O79" i="34" s="1"/>
  <c r="Q124" i="34"/>
  <c r="N13" i="34"/>
  <c r="O13" i="34" s="1"/>
  <c r="Q13" i="34" s="1"/>
  <c r="J131" i="34"/>
  <c r="L131" i="34" s="1"/>
  <c r="J33" i="34"/>
  <c r="L33" i="34" s="1"/>
  <c r="N182" i="34"/>
  <c r="O182" i="34" s="1"/>
  <c r="M182" i="34"/>
  <c r="N42" i="34"/>
  <c r="O42" i="34" s="1"/>
  <c r="M42" i="34"/>
  <c r="J192" i="34"/>
  <c r="L192" i="34" s="1"/>
  <c r="N192" i="34"/>
  <c r="O192" i="34" s="1"/>
  <c r="Q192" i="34" s="1"/>
  <c r="J94" i="34"/>
  <c r="L94" i="34" s="1"/>
  <c r="N94" i="34"/>
  <c r="O94" i="34" s="1"/>
  <c r="J38" i="34"/>
  <c r="L38" i="34" s="1"/>
  <c r="N38" i="34"/>
  <c r="O38" i="34" s="1"/>
  <c r="Q38" i="34" s="1"/>
  <c r="J205" i="34"/>
  <c r="L205" i="34" s="1"/>
  <c r="N205" i="34"/>
  <c r="O205" i="34" s="1"/>
  <c r="J121" i="34"/>
  <c r="L121" i="34" s="1"/>
  <c r="N121" i="34"/>
  <c r="O121" i="34" s="1"/>
  <c r="Q121" i="34" s="1"/>
  <c r="J23" i="34"/>
  <c r="L23" i="34" s="1"/>
  <c r="N23" i="34"/>
  <c r="O23" i="34" s="1"/>
  <c r="R236" i="34"/>
  <c r="Q50" i="34"/>
  <c r="N55" i="34"/>
  <c r="O55" i="34" s="1"/>
  <c r="Q55" i="34" s="1"/>
  <c r="N224" i="34"/>
  <c r="O224" i="34" s="1"/>
  <c r="Q224" i="34" s="1"/>
  <c r="M224" i="34"/>
  <c r="N84" i="34"/>
  <c r="O84" i="34" s="1"/>
  <c r="Q84" i="34" s="1"/>
  <c r="M84" i="34"/>
  <c r="J178" i="34"/>
  <c r="L178" i="34" s="1"/>
  <c r="N178" i="34"/>
  <c r="O178" i="34" s="1"/>
  <c r="Q178" i="34" s="1"/>
  <c r="J247" i="34"/>
  <c r="L247" i="34" s="1"/>
  <c r="N247" i="34"/>
  <c r="O247" i="34" s="1"/>
  <c r="Q247" i="34" s="1"/>
  <c r="R152" i="34"/>
  <c r="R235" i="34"/>
  <c r="R151" i="34"/>
  <c r="Q204" i="34"/>
  <c r="Q138" i="34"/>
  <c r="N97" i="34"/>
  <c r="O97" i="34" s="1"/>
  <c r="Q97" i="34" s="1"/>
  <c r="J201" i="34"/>
  <c r="L201" i="34" s="1"/>
  <c r="J145" i="34"/>
  <c r="L145" i="34" s="1"/>
  <c r="J47" i="34"/>
  <c r="L47" i="34" s="1"/>
  <c r="N238" i="34"/>
  <c r="O238" i="34" s="1"/>
  <c r="Q238" i="34" s="1"/>
  <c r="M238" i="34"/>
  <c r="J66" i="34"/>
  <c r="L66" i="34" s="1"/>
  <c r="N66" i="34"/>
  <c r="O66" i="34" s="1"/>
  <c r="Q66" i="34" s="1"/>
  <c r="J10" i="34"/>
  <c r="L10" i="34" s="1"/>
  <c r="N10" i="34"/>
  <c r="O10" i="34" s="1"/>
  <c r="Q10" i="34" s="1"/>
  <c r="M195" i="34"/>
  <c r="L70" i="34"/>
  <c r="J163" i="34"/>
  <c r="L163" i="34" s="1"/>
  <c r="N163" i="34"/>
  <c r="O163" i="34" s="1"/>
  <c r="J107" i="34"/>
  <c r="L107" i="34" s="1"/>
  <c r="N107" i="34"/>
  <c r="O107" i="34" s="1"/>
  <c r="J9" i="34"/>
  <c r="L9" i="34" s="1"/>
  <c r="N9" i="34"/>
  <c r="O9" i="34" s="1"/>
  <c r="R166" i="34"/>
  <c r="M27" i="34"/>
  <c r="N139" i="34"/>
  <c r="O139" i="34" s="1"/>
  <c r="M223" i="34"/>
  <c r="M139" i="34"/>
  <c r="M41" i="34"/>
  <c r="L42" i="34"/>
  <c r="L255" i="34"/>
  <c r="N126" i="34"/>
  <c r="O126" i="34" s="1"/>
  <c r="M126" i="34"/>
  <c r="N14" i="34"/>
  <c r="O14" i="34" s="1"/>
  <c r="Q14" i="34" s="1"/>
  <c r="M14" i="34"/>
  <c r="J164" i="34"/>
  <c r="L164" i="34" s="1"/>
  <c r="N164" i="34"/>
  <c r="O164" i="34" s="1"/>
  <c r="Q164" i="34" s="1"/>
  <c r="J191" i="34"/>
  <c r="L191" i="34" s="1"/>
  <c r="N191" i="34"/>
  <c r="O191" i="34" s="1"/>
  <c r="Q191" i="34" s="1"/>
  <c r="R250" i="34"/>
  <c r="R82" i="34"/>
  <c r="R12" i="34"/>
  <c r="Q218" i="34"/>
  <c r="Q120" i="34"/>
  <c r="N181" i="34"/>
  <c r="O181" i="34" s="1"/>
  <c r="Q181" i="34" s="1"/>
  <c r="J159" i="34"/>
  <c r="L159" i="34" s="1"/>
  <c r="J61" i="34"/>
  <c r="L61" i="34" s="1"/>
  <c r="N168" i="34"/>
  <c r="O168" i="34" s="1"/>
  <c r="M168" i="34"/>
  <c r="J220" i="34"/>
  <c r="L220" i="34" s="1"/>
  <c r="N220" i="34"/>
  <c r="O220" i="34" s="1"/>
  <c r="Q220" i="34" s="1"/>
  <c r="J233" i="34"/>
  <c r="L233" i="34" s="1"/>
  <c r="N233" i="34"/>
  <c r="O233" i="34" s="1"/>
  <c r="Q233" i="34" s="1"/>
  <c r="R40" i="34"/>
  <c r="R232" i="34"/>
  <c r="R134" i="34"/>
  <c r="R50" i="34"/>
  <c r="R36" i="34"/>
  <c r="R22" i="34"/>
  <c r="R8" i="34"/>
  <c r="N27" i="34"/>
  <c r="O27" i="34" s="1"/>
  <c r="M153" i="34"/>
  <c r="M55" i="34"/>
  <c r="J150" i="34"/>
  <c r="L150" i="34" s="1"/>
  <c r="N150" i="34"/>
  <c r="O150" i="34" s="1"/>
  <c r="R68" i="34"/>
  <c r="M125" i="34"/>
  <c r="L168" i="34"/>
  <c r="L84" i="34"/>
  <c r="N69" i="34"/>
  <c r="O69" i="34" s="1"/>
  <c r="Q69" i="34" s="1"/>
  <c r="J215" i="34"/>
  <c r="L215" i="34" s="1"/>
  <c r="J75" i="34"/>
  <c r="L75" i="34" s="1"/>
  <c r="N140" i="34"/>
  <c r="O140" i="34" s="1"/>
  <c r="M140" i="34"/>
  <c r="N56" i="34"/>
  <c r="O56" i="34" s="1"/>
  <c r="M56" i="34"/>
  <c r="J51" i="34"/>
  <c r="L51" i="34" s="1"/>
  <c r="N51" i="34"/>
  <c r="O51" i="34" s="1"/>
  <c r="Q51" i="34" s="1"/>
  <c r="N111" i="34"/>
  <c r="O111" i="34" s="1"/>
  <c r="M69" i="34"/>
  <c r="L182" i="34"/>
  <c r="N241" i="34"/>
  <c r="O241" i="34" s="1"/>
  <c r="L241" i="34"/>
  <c r="N227" i="34"/>
  <c r="O227" i="34" s="1"/>
  <c r="Q227" i="34" s="1"/>
  <c r="L227" i="34"/>
  <c r="N213" i="34"/>
  <c r="O213" i="34" s="1"/>
  <c r="Q213" i="34" s="1"/>
  <c r="L213" i="34"/>
  <c r="N199" i="34"/>
  <c r="O199" i="34" s="1"/>
  <c r="L199" i="34"/>
  <c r="N185" i="34"/>
  <c r="O185" i="34" s="1"/>
  <c r="L185" i="34"/>
  <c r="N171" i="34"/>
  <c r="O171" i="34" s="1"/>
  <c r="Q171" i="34" s="1"/>
  <c r="L171" i="34"/>
  <c r="N157" i="34"/>
  <c r="O157" i="34" s="1"/>
  <c r="L157" i="34"/>
  <c r="N143" i="34"/>
  <c r="O143" i="34" s="1"/>
  <c r="Q143" i="34" s="1"/>
  <c r="L143" i="34"/>
  <c r="N129" i="34"/>
  <c r="O129" i="34" s="1"/>
  <c r="Q129" i="34" s="1"/>
  <c r="L129" i="34"/>
  <c r="N115" i="34"/>
  <c r="O115" i="34" s="1"/>
  <c r="Q115" i="34" s="1"/>
  <c r="L115" i="34"/>
  <c r="N101" i="34"/>
  <c r="O101" i="34" s="1"/>
  <c r="Q101" i="34" s="1"/>
  <c r="L101" i="34"/>
  <c r="N87" i="34"/>
  <c r="O87" i="34" s="1"/>
  <c r="Q87" i="34" s="1"/>
  <c r="L87" i="34"/>
  <c r="N73" i="34"/>
  <c r="O73" i="34" s="1"/>
  <c r="Q73" i="34" s="1"/>
  <c r="L73" i="34"/>
  <c r="N59" i="34"/>
  <c r="O59" i="34" s="1"/>
  <c r="Q59" i="34" s="1"/>
  <c r="L59" i="34"/>
  <c r="N45" i="34"/>
  <c r="O45" i="34" s="1"/>
  <c r="L45" i="34"/>
  <c r="L251" i="34"/>
  <c r="L237" i="34"/>
  <c r="L223" i="34"/>
  <c r="L209" i="34"/>
  <c r="L195" i="34"/>
  <c r="L181" i="34"/>
  <c r="L167" i="34"/>
  <c r="N252" i="34"/>
  <c r="O252" i="34" s="1"/>
  <c r="Q252" i="34" s="1"/>
  <c r="M252" i="34"/>
  <c r="N98" i="34"/>
  <c r="O98" i="34" s="1"/>
  <c r="Q98" i="34" s="1"/>
  <c r="M98" i="34"/>
  <c r="J248" i="34"/>
  <c r="L248" i="34" s="1"/>
  <c r="N248" i="34"/>
  <c r="O248" i="34" s="1"/>
  <c r="J122" i="34"/>
  <c r="L122" i="34" s="1"/>
  <c r="N122" i="34"/>
  <c r="O122" i="34" s="1"/>
  <c r="Q122" i="34" s="1"/>
  <c r="J80" i="34"/>
  <c r="L80" i="34" s="1"/>
  <c r="N80" i="34"/>
  <c r="O80" i="34" s="1"/>
  <c r="J24" i="34"/>
  <c r="L24" i="34" s="1"/>
  <c r="N24" i="34"/>
  <c r="O24" i="34" s="1"/>
  <c r="Q24" i="34" s="1"/>
  <c r="L224" i="34"/>
  <c r="J177" i="34"/>
  <c r="L177" i="34" s="1"/>
  <c r="N177" i="34"/>
  <c r="O177" i="34" s="1"/>
  <c r="J93" i="34"/>
  <c r="L93" i="34" s="1"/>
  <c r="N93" i="34"/>
  <c r="O93" i="34" s="1"/>
  <c r="J37" i="34"/>
  <c r="L37" i="34" s="1"/>
  <c r="N37" i="34"/>
  <c r="O37" i="34" s="1"/>
  <c r="N153" i="34"/>
  <c r="O153" i="34" s="1"/>
  <c r="Q153" i="34" s="1"/>
  <c r="M199" i="34"/>
  <c r="M101" i="34"/>
  <c r="J173" i="34"/>
  <c r="L173" i="34" s="1"/>
  <c r="J89" i="34"/>
  <c r="L89" i="34" s="1"/>
  <c r="N196" i="34"/>
  <c r="O196" i="34" s="1"/>
  <c r="M196" i="34"/>
  <c r="N112" i="34"/>
  <c r="O112" i="34" s="1"/>
  <c r="M112" i="34"/>
  <c r="N28" i="34"/>
  <c r="O28" i="34" s="1"/>
  <c r="Q28" i="34" s="1"/>
  <c r="M28" i="34"/>
  <c r="J136" i="34"/>
  <c r="L136" i="34" s="1"/>
  <c r="N136" i="34"/>
  <c r="O136" i="34" s="1"/>
  <c r="J219" i="34"/>
  <c r="L219" i="34" s="1"/>
  <c r="N219" i="34"/>
  <c r="O219" i="34" s="1"/>
  <c r="Q219" i="34" s="1"/>
  <c r="M83" i="34"/>
  <c r="L112" i="34"/>
  <c r="L14" i="34"/>
  <c r="J257" i="34"/>
  <c r="L257" i="34" s="1"/>
  <c r="J253" i="34"/>
  <c r="L253" i="34" s="1"/>
  <c r="J239" i="34"/>
  <c r="L239" i="34" s="1"/>
  <c r="L31" i="34"/>
  <c r="L17" i="34"/>
  <c r="L3" i="34"/>
  <c r="AA272" i="10"/>
  <c r="Y212" i="10"/>
  <c r="Y209" i="10"/>
  <c r="Z209" i="10" s="1"/>
  <c r="Y66" i="10"/>
  <c r="Z66" i="10" s="1"/>
  <c r="Y158" i="10"/>
  <c r="Z158" i="10" s="1"/>
  <c r="W89" i="10"/>
  <c r="X89" i="10" s="1"/>
  <c r="W52" i="10"/>
  <c r="X52" i="10" s="1"/>
  <c r="V48" i="10"/>
  <c r="W191" i="10"/>
  <c r="AA191" i="10" s="1"/>
  <c r="W233" i="10"/>
  <c r="X233" i="10" s="1"/>
  <c r="W213" i="10"/>
  <c r="W99" i="10"/>
  <c r="W90" i="10"/>
  <c r="AA90" i="10" s="1"/>
  <c r="W120" i="10"/>
  <c r="X120" i="10" s="1"/>
  <c r="W193" i="10"/>
  <c r="X193" i="10" s="1"/>
  <c r="W101" i="10"/>
  <c r="AA101" i="10" s="1"/>
  <c r="W147" i="10"/>
  <c r="AA147" i="10" s="1"/>
  <c r="W26" i="10"/>
  <c r="AA26" i="10" s="1"/>
  <c r="W5" i="10"/>
  <c r="X5" i="10" s="1"/>
  <c r="W93" i="10"/>
  <c r="X93" i="10" s="1"/>
  <c r="S159" i="10"/>
  <c r="T159" i="10" s="1"/>
  <c r="S116" i="10"/>
  <c r="T116" i="10" s="1"/>
  <c r="S131" i="10"/>
  <c r="T131" i="10" s="1"/>
  <c r="P160" i="10"/>
  <c r="P226" i="10"/>
  <c r="Y102" i="10"/>
  <c r="Z272" i="10"/>
  <c r="Y76" i="10"/>
  <c r="Z76" i="10" s="1"/>
  <c r="Y128" i="10"/>
  <c r="Z128" i="10" s="1"/>
  <c r="Y194" i="10"/>
  <c r="Z194" i="10" s="1"/>
  <c r="V164" i="10"/>
  <c r="V131" i="10"/>
  <c r="W131" i="10" s="1"/>
  <c r="V194" i="10"/>
  <c r="W73" i="10"/>
  <c r="X73" i="10" s="1"/>
  <c r="W264" i="10"/>
  <c r="X264" i="10" s="1"/>
  <c r="W175" i="10"/>
  <c r="X175" i="10" s="1"/>
  <c r="W225" i="10"/>
  <c r="X225" i="10" s="1"/>
  <c r="W195" i="10"/>
  <c r="W18" i="10"/>
  <c r="W181" i="10"/>
  <c r="T134" i="10"/>
  <c r="P74" i="10"/>
  <c r="P243" i="10"/>
  <c r="P221" i="10"/>
  <c r="P12" i="10"/>
  <c r="M239" i="10"/>
  <c r="N239" i="10" s="1"/>
  <c r="O239" i="10" s="1"/>
  <c r="Y114" i="10"/>
  <c r="Z114" i="10" s="1"/>
  <c r="Y48" i="10"/>
  <c r="Z48" i="10" s="1"/>
  <c r="V252" i="10"/>
  <c r="W252" i="10" s="1"/>
  <c r="X252" i="10" s="1"/>
  <c r="V165" i="10"/>
  <c r="W165" i="10" s="1"/>
  <c r="S28" i="10"/>
  <c r="T28" i="10" s="1"/>
  <c r="P72" i="10"/>
  <c r="P99" i="10"/>
  <c r="P143" i="10"/>
  <c r="M249" i="10"/>
  <c r="N249" i="10" s="1"/>
  <c r="O249" i="10" s="1"/>
  <c r="W176" i="10"/>
  <c r="AA176" i="10" s="1"/>
  <c r="W135" i="10"/>
  <c r="X135" i="10" s="1"/>
  <c r="Y131" i="10"/>
  <c r="Z131" i="10" s="1"/>
  <c r="Y141" i="10"/>
  <c r="Z141" i="10" s="1"/>
  <c r="V153" i="10"/>
  <c r="W153" i="10" s="1"/>
  <c r="V158" i="10"/>
  <c r="W158" i="10" s="1"/>
  <c r="V71" i="10"/>
  <c r="S166" i="10"/>
  <c r="T166" i="10" s="1"/>
  <c r="S12" i="10"/>
  <c r="T12" i="10" s="1"/>
  <c r="S2" i="10"/>
  <c r="T2" i="10" s="1"/>
  <c r="S84" i="10"/>
  <c r="T84" i="10" s="1"/>
  <c r="S154" i="10"/>
  <c r="T154" i="10" s="1"/>
  <c r="S96" i="10"/>
  <c r="T96" i="10" s="1"/>
  <c r="S215" i="10"/>
  <c r="T215" i="10" s="1"/>
  <c r="S259" i="10"/>
  <c r="T259" i="10" s="1"/>
  <c r="S255" i="10"/>
  <c r="T255" i="10" s="1"/>
  <c r="S231" i="10"/>
  <c r="T231" i="10" s="1"/>
  <c r="S109" i="10"/>
  <c r="T109" i="10" s="1"/>
  <c r="P71" i="10"/>
  <c r="P260" i="10"/>
  <c r="P60" i="10"/>
  <c r="P166" i="10"/>
  <c r="P41" i="10"/>
  <c r="P200" i="10"/>
  <c r="P24" i="10"/>
  <c r="P201" i="10"/>
  <c r="M262" i="10"/>
  <c r="N262" i="10" s="1"/>
  <c r="O262" i="10" s="1"/>
  <c r="X262" i="10" s="1"/>
  <c r="M240" i="10"/>
  <c r="N240" i="10" s="1"/>
  <c r="O240" i="10" s="1"/>
  <c r="Y71" i="10"/>
  <c r="V226" i="10"/>
  <c r="V159" i="10"/>
  <c r="W234" i="10"/>
  <c r="X234" i="10" s="1"/>
  <c r="S252" i="10"/>
  <c r="T252" i="10" s="1"/>
  <c r="S9" i="10"/>
  <c r="T9" i="10" s="1"/>
  <c r="P209" i="10"/>
  <c r="P189" i="10"/>
  <c r="P241" i="10"/>
  <c r="M258" i="10"/>
  <c r="N258" i="10" s="1"/>
  <c r="O258" i="10" s="1"/>
  <c r="M190" i="10"/>
  <c r="N190" i="10" s="1"/>
  <c r="O190" i="10" s="1"/>
  <c r="Y246" i="10"/>
  <c r="Z246" i="10" s="1"/>
  <c r="Y12" i="10"/>
  <c r="Z12" i="10" s="1"/>
  <c r="Y62" i="10"/>
  <c r="Z62" i="10" s="1"/>
  <c r="W161" i="10"/>
  <c r="X161" i="10" s="1"/>
  <c r="Y177" i="10"/>
  <c r="Z177" i="10" s="1"/>
  <c r="Y85" i="10"/>
  <c r="Z85" i="10" s="1"/>
  <c r="Y4" i="10"/>
  <c r="Z4" i="10" s="1"/>
  <c r="V66" i="10"/>
  <c r="S141" i="10"/>
  <c r="T141" i="10" s="1"/>
  <c r="S209" i="10"/>
  <c r="T209" i="10" s="1"/>
  <c r="P254" i="10"/>
  <c r="P54" i="10"/>
  <c r="P85" i="10"/>
  <c r="Y188" i="10"/>
  <c r="Z188" i="10" s="1"/>
  <c r="Y159" i="10"/>
  <c r="Z159" i="10" s="1"/>
  <c r="Y241" i="10"/>
  <c r="Z241" i="10" s="1"/>
  <c r="V98" i="10"/>
  <c r="V221" i="10"/>
  <c r="W221" i="10" s="1"/>
  <c r="AA221" i="10" s="1"/>
  <c r="S128" i="10"/>
  <c r="T128" i="10" s="1"/>
  <c r="V182" i="10"/>
  <c r="W182" i="10" s="1"/>
  <c r="V163" i="10"/>
  <c r="W163" i="10" s="1"/>
  <c r="X163" i="10" s="1"/>
  <c r="Z37" i="10"/>
  <c r="V25" i="10"/>
  <c r="V100" i="10"/>
  <c r="P235" i="10"/>
  <c r="P2" i="10"/>
  <c r="M272" i="10"/>
  <c r="N272" i="10" s="1"/>
  <c r="O272" i="10" s="1"/>
  <c r="Y273" i="10"/>
  <c r="Z273" i="10" s="1"/>
  <c r="Y98" i="10"/>
  <c r="Z98" i="10" s="1"/>
  <c r="Y249" i="10"/>
  <c r="Z249" i="10" s="1"/>
  <c r="V177" i="10"/>
  <c r="W177" i="10" s="1"/>
  <c r="W201" i="10"/>
  <c r="AA201" i="10" s="1"/>
  <c r="S153" i="10"/>
  <c r="T153" i="10" s="1"/>
  <c r="T143" i="10"/>
  <c r="S81" i="10"/>
  <c r="T81" i="10" s="1"/>
  <c r="V68" i="10"/>
  <c r="W68" i="10" s="1"/>
  <c r="AA68" i="10" s="1"/>
  <c r="Y160" i="10"/>
  <c r="Z160" i="10" s="1"/>
  <c r="S132" i="10"/>
  <c r="T132" i="10" s="1"/>
  <c r="Y260" i="10"/>
  <c r="Z260" i="10" s="1"/>
  <c r="S204" i="10"/>
  <c r="T204" i="10" s="1"/>
  <c r="Y258" i="10"/>
  <c r="Z258" i="10" s="1"/>
  <c r="S243" i="10"/>
  <c r="T243" i="10" s="1"/>
  <c r="V87" i="10"/>
  <c r="S54" i="10"/>
  <c r="T54" i="10" s="1"/>
  <c r="S239" i="10"/>
  <c r="T239" i="10" s="1"/>
  <c r="S169" i="10"/>
  <c r="T169" i="10" s="1"/>
  <c r="S85" i="10"/>
  <c r="T85" i="10" s="1"/>
  <c r="Y24" i="10"/>
  <c r="Z24" i="10" s="1"/>
  <c r="Y134" i="10"/>
  <c r="Z134" i="10" s="1"/>
  <c r="Y190" i="10"/>
  <c r="Z190" i="10" s="1"/>
  <c r="Y217" i="10"/>
  <c r="Z217" i="10" s="1"/>
  <c r="Y143" i="10"/>
  <c r="Z143" i="10" s="1"/>
  <c r="P114" i="10"/>
  <c r="P177" i="10"/>
  <c r="P28" i="10"/>
  <c r="W45" i="10"/>
  <c r="AA45" i="10" s="1"/>
  <c r="Y9" i="10"/>
  <c r="Z9" i="10" s="1"/>
  <c r="W171" i="10"/>
  <c r="X171" i="10" s="1"/>
  <c r="V62" i="10"/>
  <c r="V116" i="10"/>
  <c r="V39" i="10"/>
  <c r="P191" i="10"/>
  <c r="W49" i="10"/>
  <c r="AA49" i="10" s="1"/>
  <c r="Y226" i="10"/>
  <c r="Z226" i="10" s="1"/>
  <c r="Y61" i="10"/>
  <c r="Z61" i="10" s="1"/>
  <c r="Y164" i="10"/>
  <c r="Z164" i="10" s="1"/>
  <c r="Y116" i="10"/>
  <c r="Z116" i="10" s="1"/>
  <c r="Y28" i="10"/>
  <c r="Z28" i="10" s="1"/>
  <c r="W186" i="10"/>
  <c r="X186" i="10" s="1"/>
  <c r="W56" i="10"/>
  <c r="AA56" i="10" s="1"/>
  <c r="P246" i="10"/>
  <c r="Y81" i="10"/>
  <c r="Z81" i="10" s="1"/>
  <c r="Y235" i="10"/>
  <c r="Z235" i="10" s="1"/>
  <c r="W244" i="10"/>
  <c r="X244" i="10" s="1"/>
  <c r="W180" i="10"/>
  <c r="X180" i="10" s="1"/>
  <c r="T254" i="10"/>
  <c r="S273" i="10"/>
  <c r="T273" i="10" s="1"/>
  <c r="S176" i="10"/>
  <c r="T176" i="10" s="1"/>
  <c r="P62" i="10"/>
  <c r="P194" i="10"/>
  <c r="Y219" i="10"/>
  <c r="Z219" i="10" s="1"/>
  <c r="Y2" i="10"/>
  <c r="Z2" i="10" s="1"/>
  <c r="V235" i="10"/>
  <c r="V188" i="10"/>
  <c r="V246" i="10"/>
  <c r="V209" i="10"/>
  <c r="P213" i="10"/>
  <c r="P164" i="10"/>
  <c r="P219" i="10"/>
  <c r="X213" i="10"/>
  <c r="AA213" i="10"/>
  <c r="AA99" i="10"/>
  <c r="X99" i="10"/>
  <c r="W121" i="10"/>
  <c r="X121" i="10" s="1"/>
  <c r="W151" i="10"/>
  <c r="X151" i="10" s="1"/>
  <c r="W64" i="10"/>
  <c r="AA64" i="10" s="1"/>
  <c r="AA37" i="10"/>
  <c r="X37" i="10"/>
  <c r="AA52" i="10"/>
  <c r="Z45" i="10"/>
  <c r="Z89" i="10"/>
  <c r="Z137" i="10"/>
  <c r="Y255" i="10"/>
  <c r="Z255" i="10" s="1"/>
  <c r="Y144" i="10"/>
  <c r="W144" i="10" s="1"/>
  <c r="Y169" i="10"/>
  <c r="Z169" i="10" s="1"/>
  <c r="W30" i="10"/>
  <c r="AA30" i="10" s="1"/>
  <c r="X125" i="10"/>
  <c r="W10" i="10"/>
  <c r="X10" i="10" s="1"/>
  <c r="V137" i="10"/>
  <c r="W137" i="10" s="1"/>
  <c r="V84" i="10"/>
  <c r="V259" i="10"/>
  <c r="V109" i="10"/>
  <c r="W109" i="10" s="1"/>
  <c r="Y163" i="10"/>
  <c r="Z163" i="10" s="1"/>
  <c r="W22" i="10"/>
  <c r="X22" i="10" s="1"/>
  <c r="Z162" i="10"/>
  <c r="Z110" i="10"/>
  <c r="Y259" i="10"/>
  <c r="Z259" i="10" s="1"/>
  <c r="Y182" i="10"/>
  <c r="Z182" i="10" s="1"/>
  <c r="Y239" i="10"/>
  <c r="W239" i="10" s="1"/>
  <c r="AA239" i="10" s="1"/>
  <c r="X170" i="10"/>
  <c r="W150" i="10"/>
  <c r="V160" i="10"/>
  <c r="W202" i="10"/>
  <c r="X202" i="10" s="1"/>
  <c r="W59" i="10"/>
  <c r="W55" i="10"/>
  <c r="V218" i="10"/>
  <c r="W218" i="10" s="1"/>
  <c r="AA218" i="10" s="1"/>
  <c r="W19" i="10"/>
  <c r="X19" i="10" s="1"/>
  <c r="V217" i="10"/>
  <c r="S68" i="10"/>
  <c r="T68" i="10" s="1"/>
  <c r="P207" i="10"/>
  <c r="M68" i="10"/>
  <c r="N68" i="10" s="1"/>
  <c r="O68" i="10" s="1"/>
  <c r="Z199" i="10"/>
  <c r="Z218" i="10"/>
  <c r="W178" i="10"/>
  <c r="X178" i="10" s="1"/>
  <c r="Y215" i="10"/>
  <c r="Z215" i="10" s="1"/>
  <c r="Y92" i="10"/>
  <c r="W92" i="10" s="1"/>
  <c r="Y54" i="10"/>
  <c r="Z54" i="10" s="1"/>
  <c r="W42" i="10"/>
  <c r="AA42" i="10" s="1"/>
  <c r="W75" i="10"/>
  <c r="X75" i="10" s="1"/>
  <c r="V260" i="10"/>
  <c r="V254" i="10"/>
  <c r="S260" i="10"/>
  <c r="T260" i="10" s="1"/>
  <c r="S249" i="10"/>
  <c r="T249" i="10" s="1"/>
  <c r="S217" i="10"/>
  <c r="T217" i="10" s="1"/>
  <c r="P273" i="10"/>
  <c r="P188" i="10"/>
  <c r="P206" i="10"/>
  <c r="P131" i="10"/>
  <c r="M269" i="10"/>
  <c r="N269" i="10" s="1"/>
  <c r="O269" i="10" s="1"/>
  <c r="Y96" i="10"/>
  <c r="Z96" i="10" s="1"/>
  <c r="Y87" i="10"/>
  <c r="Z87" i="10" s="1"/>
  <c r="W11" i="10"/>
  <c r="X11" i="10" s="1"/>
  <c r="W250" i="10"/>
  <c r="V54" i="10"/>
  <c r="P83" i="10"/>
  <c r="P68" i="10"/>
  <c r="P250" i="10"/>
  <c r="W94" i="10"/>
  <c r="X94" i="10" s="1"/>
  <c r="Z82" i="10"/>
  <c r="Z105" i="10"/>
  <c r="Y243" i="10"/>
  <c r="Z243" i="10" s="1"/>
  <c r="X187" i="10"/>
  <c r="V72" i="10"/>
  <c r="W72" i="10" s="1"/>
  <c r="V154" i="10"/>
  <c r="W154" i="10" s="1"/>
  <c r="V227" i="10"/>
  <c r="W227" i="10" s="1"/>
  <c r="W138" i="10"/>
  <c r="X138" i="10" s="1"/>
  <c r="V82" i="10"/>
  <c r="W82" i="10" s="1"/>
  <c r="X82" i="10" s="1"/>
  <c r="V69" i="10"/>
  <c r="V105" i="10"/>
  <c r="W105" i="10" s="1"/>
  <c r="X105" i="10" s="1"/>
  <c r="V199" i="10"/>
  <c r="W199" i="10" s="1"/>
  <c r="X199" i="10" s="1"/>
  <c r="V156" i="10"/>
  <c r="W156" i="10" s="1"/>
  <c r="AA156" i="10" s="1"/>
  <c r="S238" i="10"/>
  <c r="T238" i="10" s="1"/>
  <c r="S197" i="10"/>
  <c r="T197" i="10" s="1"/>
  <c r="S24" i="10"/>
  <c r="T24" i="10" s="1"/>
  <c r="S235" i="10"/>
  <c r="T235" i="10" s="1"/>
  <c r="S188" i="10"/>
  <c r="T188" i="10" s="1"/>
  <c r="P233" i="10"/>
  <c r="P98" i="10"/>
  <c r="P4" i="10"/>
  <c r="Z151" i="10"/>
  <c r="Y254" i="10"/>
  <c r="Z254" i="10" s="1"/>
  <c r="W183" i="10"/>
  <c r="W136" i="10"/>
  <c r="AA136" i="10" s="1"/>
  <c r="V81" i="10"/>
  <c r="V258" i="10"/>
  <c r="W258" i="10" s="1"/>
  <c r="V243" i="10"/>
  <c r="W243" i="10" s="1"/>
  <c r="V85" i="10"/>
  <c r="W85" i="10" s="1"/>
  <c r="V134" i="10"/>
  <c r="V190" i="10"/>
  <c r="S258" i="10"/>
  <c r="T258" i="10" s="1"/>
  <c r="S82" i="10"/>
  <c r="T82" i="10" s="1"/>
  <c r="S69" i="10"/>
  <c r="T69" i="10" s="1"/>
  <c r="S105" i="10"/>
  <c r="T105" i="10" s="1"/>
  <c r="S67" i="10"/>
  <c r="T67" i="10" s="1"/>
  <c r="S199" i="10"/>
  <c r="T199" i="10" s="1"/>
  <c r="S245" i="10"/>
  <c r="T245" i="10" s="1"/>
  <c r="S64" i="10"/>
  <c r="T64" i="10" s="1"/>
  <c r="S156" i="10"/>
  <c r="T156" i="10" s="1"/>
  <c r="S162" i="10"/>
  <c r="T162" i="10" s="1"/>
  <c r="S92" i="10"/>
  <c r="T92" i="10" s="1"/>
  <c r="S182" i="10"/>
  <c r="T182" i="10" s="1"/>
  <c r="S144" i="10"/>
  <c r="T144" i="10" s="1"/>
  <c r="S163" i="10"/>
  <c r="T163" i="10" s="1"/>
  <c r="S37" i="10"/>
  <c r="T37" i="10" s="1"/>
  <c r="S218" i="10"/>
  <c r="T218" i="10" s="1"/>
  <c r="S25" i="10"/>
  <c r="T25" i="10" s="1"/>
  <c r="S110" i="10"/>
  <c r="T110" i="10" s="1"/>
  <c r="S227" i="10"/>
  <c r="T227" i="10" s="1"/>
  <c r="S137" i="10"/>
  <c r="T137" i="10" s="1"/>
  <c r="S100" i="10"/>
  <c r="T100" i="10" s="1"/>
  <c r="S267" i="10"/>
  <c r="T267" i="10" s="1"/>
  <c r="S187" i="10"/>
  <c r="T187" i="10" s="1"/>
  <c r="S140" i="10"/>
  <c r="T140" i="10" s="1"/>
  <c r="S244" i="10"/>
  <c r="T244" i="10" s="1"/>
  <c r="S257" i="10"/>
  <c r="T257" i="10" s="1"/>
  <c r="S136" i="10"/>
  <c r="T136" i="10" s="1"/>
  <c r="Z11" i="10"/>
  <c r="W115" i="10"/>
  <c r="X115" i="10" s="1"/>
  <c r="Y100" i="10"/>
  <c r="Z100" i="10" s="1"/>
  <c r="W242" i="10"/>
  <c r="V249" i="10"/>
  <c r="S160" i="10"/>
  <c r="T160" i="10" s="1"/>
  <c r="P81" i="10"/>
  <c r="P159" i="10"/>
  <c r="M266" i="10"/>
  <c r="N266" i="10" s="1"/>
  <c r="O266" i="10" s="1"/>
  <c r="X266" i="10" s="1"/>
  <c r="Y84" i="10"/>
  <c r="Z84" i="10" s="1"/>
  <c r="Y204" i="10"/>
  <c r="Z204" i="10" s="1"/>
  <c r="W91" i="10"/>
  <c r="X91" i="10" s="1"/>
  <c r="W129" i="10"/>
  <c r="X129" i="10" s="1"/>
  <c r="W6" i="10"/>
  <c r="W108" i="10"/>
  <c r="W79" i="10"/>
  <c r="AA79" i="10" s="1"/>
  <c r="W270" i="10"/>
  <c r="X270" i="10" s="1"/>
  <c r="W185" i="10"/>
  <c r="AA185" i="10" s="1"/>
  <c r="W228" i="10"/>
  <c r="W58" i="10"/>
  <c r="X58" i="10" s="1"/>
  <c r="W97" i="10"/>
  <c r="AA97" i="10" s="1"/>
  <c r="W35" i="10"/>
  <c r="X35" i="10" s="1"/>
  <c r="W31" i="10"/>
  <c r="X31" i="10" s="1"/>
  <c r="S190" i="10"/>
  <c r="T190" i="10" s="1"/>
  <c r="T211" i="10"/>
  <c r="T220" i="10"/>
  <c r="S274" i="10"/>
  <c r="T274" i="10" s="1"/>
  <c r="S264" i="10"/>
  <c r="T264" i="10" s="1"/>
  <c r="S178" i="10"/>
  <c r="T178" i="10" s="1"/>
  <c r="S232" i="10"/>
  <c r="T232" i="10" s="1"/>
  <c r="S86" i="10"/>
  <c r="T86" i="10" s="1"/>
  <c r="S47" i="10"/>
  <c r="T47" i="10" s="1"/>
  <c r="S40" i="10"/>
  <c r="T40" i="10" s="1"/>
  <c r="P153" i="10"/>
  <c r="P9" i="10"/>
  <c r="W245" i="10"/>
  <c r="AA245" i="10" s="1"/>
  <c r="W197" i="10"/>
  <c r="AA197" i="10" s="1"/>
  <c r="W24" i="10"/>
  <c r="X24" i="10" s="1"/>
  <c r="Y67" i="10"/>
  <c r="Z67" i="10" s="1"/>
  <c r="W47" i="10"/>
  <c r="V67" i="10"/>
  <c r="V110" i="10"/>
  <c r="W110" i="10" s="1"/>
  <c r="X110" i="10" s="1"/>
  <c r="S135" i="10"/>
  <c r="T135" i="10" s="1"/>
  <c r="S104" i="10"/>
  <c r="T104" i="10" s="1"/>
  <c r="S10" i="10"/>
  <c r="T10" i="10" s="1"/>
  <c r="S248" i="10"/>
  <c r="T248" i="10" s="1"/>
  <c r="Y132" i="10"/>
  <c r="Z132" i="10" s="1"/>
  <c r="X14" i="10"/>
  <c r="V132" i="10"/>
  <c r="V169" i="10"/>
  <c r="W77" i="10"/>
  <c r="AA77" i="10" s="1"/>
  <c r="W268" i="10"/>
  <c r="AA268" i="10" s="1"/>
  <c r="W174" i="10"/>
  <c r="AA174" i="10" s="1"/>
  <c r="W263" i="10"/>
  <c r="AA263" i="10" s="1"/>
  <c r="W184" i="10"/>
  <c r="AA184" i="10" s="1"/>
  <c r="W216" i="10"/>
  <c r="AA216" i="10" s="1"/>
  <c r="W63" i="10"/>
  <c r="W145" i="10"/>
  <c r="AA145" i="10" s="1"/>
  <c r="W126" i="10"/>
  <c r="AA126" i="10" s="1"/>
  <c r="W157" i="10"/>
  <c r="AA157" i="10" s="1"/>
  <c r="W51" i="10"/>
  <c r="AA51" i="10" s="1"/>
  <c r="W149" i="10"/>
  <c r="AA149" i="10" s="1"/>
  <c r="W122" i="10"/>
  <c r="AA122" i="10" s="1"/>
  <c r="W33" i="10"/>
  <c r="AA33" i="10" s="1"/>
  <c r="W29" i="10"/>
  <c r="AA29" i="10" s="1"/>
  <c r="W20" i="10"/>
  <c r="AA20" i="10" s="1"/>
  <c r="W251" i="10"/>
  <c r="AA251" i="10" s="1"/>
  <c r="W95" i="10"/>
  <c r="AA95" i="10" s="1"/>
  <c r="W230" i="10"/>
  <c r="AA230" i="10" s="1"/>
  <c r="W162" i="10"/>
  <c r="X162" i="10" s="1"/>
  <c r="Z244" i="10"/>
  <c r="Y69" i="10"/>
  <c r="Z69" i="10" s="1"/>
  <c r="W117" i="10"/>
  <c r="AA117" i="10" s="1"/>
  <c r="Y25" i="10"/>
  <c r="Z25" i="10" s="1"/>
  <c r="W3" i="10"/>
  <c r="W206" i="10"/>
  <c r="X206" i="10" s="1"/>
  <c r="W257" i="10"/>
  <c r="X257" i="10" s="1"/>
  <c r="W240" i="10"/>
  <c r="AA240" i="10" s="1"/>
  <c r="W248" i="10"/>
  <c r="X248" i="10" s="1"/>
  <c r="W235" i="10"/>
  <c r="X235" i="10" s="1"/>
  <c r="S83" i="10"/>
  <c r="T83" i="10" s="1"/>
  <c r="S266" i="10"/>
  <c r="T266" i="10" s="1"/>
  <c r="S206" i="10"/>
  <c r="T206" i="10" s="1"/>
  <c r="S125" i="10"/>
  <c r="T125" i="10" s="1"/>
  <c r="S196" i="10"/>
  <c r="T196" i="10" s="1"/>
  <c r="S38" i="10"/>
  <c r="T38" i="10" s="1"/>
  <c r="S200" i="10"/>
  <c r="T200" i="10" s="1"/>
  <c r="P176" i="10"/>
  <c r="W86" i="10"/>
  <c r="X86" i="10" s="1"/>
  <c r="W113" i="10"/>
  <c r="AA113" i="10" s="1"/>
  <c r="W43" i="10"/>
  <c r="W104" i="10"/>
  <c r="AA104" i="10" s="1"/>
  <c r="W224" i="10"/>
  <c r="X224" i="10" s="1"/>
  <c r="W4" i="10"/>
  <c r="W267" i="10"/>
  <c r="AA267" i="10" s="1"/>
  <c r="W140" i="10"/>
  <c r="AA140" i="10" s="1"/>
  <c r="W148" i="10"/>
  <c r="AA148" i="10" s="1"/>
  <c r="W50" i="10"/>
  <c r="AA50" i="10" s="1"/>
  <c r="W192" i="10"/>
  <c r="W124" i="10"/>
  <c r="X124" i="10" s="1"/>
  <c r="P116" i="10"/>
  <c r="AA166" i="10"/>
  <c r="X166" i="10"/>
  <c r="AA146" i="10"/>
  <c r="X146" i="10"/>
  <c r="AA73" i="10"/>
  <c r="Z102" i="10"/>
  <c r="W102" i="10"/>
  <c r="X30" i="10"/>
  <c r="X103" i="10"/>
  <c r="AA103" i="10"/>
  <c r="X83" i="10"/>
  <c r="AA83" i="10"/>
  <c r="X18" i="10"/>
  <c r="AA18" i="10"/>
  <c r="AA210" i="10"/>
  <c r="X210" i="10"/>
  <c r="AA180" i="10"/>
  <c r="AA199" i="10"/>
  <c r="X136" i="10"/>
  <c r="X70" i="10"/>
  <c r="AA70" i="10"/>
  <c r="AA242" i="10"/>
  <c r="X242" i="10"/>
  <c r="AA108" i="10"/>
  <c r="X108" i="10"/>
  <c r="AA270" i="10"/>
  <c r="AA228" i="10"/>
  <c r="X228" i="10"/>
  <c r="AA35" i="10"/>
  <c r="AA135" i="10"/>
  <c r="X172" i="10"/>
  <c r="AA172" i="10"/>
  <c r="X195" i="10"/>
  <c r="AA195" i="10"/>
  <c r="X198" i="10"/>
  <c r="AA198" i="10"/>
  <c r="X56" i="10"/>
  <c r="AA189" i="10"/>
  <c r="X189" i="10"/>
  <c r="X191" i="10"/>
  <c r="X181" i="10"/>
  <c r="AA181" i="10"/>
  <c r="AA63" i="10"/>
  <c r="X3" i="10"/>
  <c r="AA3" i="10"/>
  <c r="AA86" i="10"/>
  <c r="AA238" i="10"/>
  <c r="X238" i="10"/>
  <c r="X43" i="10"/>
  <c r="AA43" i="10"/>
  <c r="AA224" i="10"/>
  <c r="X201" i="10"/>
  <c r="AA119" i="10"/>
  <c r="X119" i="10"/>
  <c r="M111" i="10"/>
  <c r="N111" i="10" s="1"/>
  <c r="O111" i="10" s="1"/>
  <c r="P111" i="10"/>
  <c r="M211" i="10"/>
  <c r="N211" i="10" s="1"/>
  <c r="O211" i="10" s="1"/>
  <c r="P211" i="10"/>
  <c r="M203" i="10"/>
  <c r="N203" i="10" s="1"/>
  <c r="O203" i="10" s="1"/>
  <c r="P203" i="10"/>
  <c r="M173" i="10"/>
  <c r="N173" i="10" s="1"/>
  <c r="O173" i="10" s="1"/>
  <c r="P173" i="10"/>
  <c r="M220" i="10"/>
  <c r="N220" i="10" s="1"/>
  <c r="O220" i="10" s="1"/>
  <c r="P220" i="10"/>
  <c r="M152" i="10"/>
  <c r="N152" i="10" s="1"/>
  <c r="O152" i="10" s="1"/>
  <c r="P152" i="10"/>
  <c r="M57" i="10"/>
  <c r="N57" i="10" s="1"/>
  <c r="O57" i="10" s="1"/>
  <c r="P57" i="10"/>
  <c r="M53" i="10"/>
  <c r="N53" i="10" s="1"/>
  <c r="O53" i="10" s="1"/>
  <c r="P53" i="10"/>
  <c r="M229" i="10"/>
  <c r="N229" i="10" s="1"/>
  <c r="O229" i="10" s="1"/>
  <c r="P229" i="10"/>
  <c r="M44" i="10"/>
  <c r="N44" i="10" s="1"/>
  <c r="O44" i="10" s="1"/>
  <c r="P44" i="10"/>
  <c r="M36" i="10"/>
  <c r="N36" i="10" s="1"/>
  <c r="O36" i="10" s="1"/>
  <c r="P36" i="10"/>
  <c r="M32" i="10"/>
  <c r="N32" i="10" s="1"/>
  <c r="O32" i="10" s="1"/>
  <c r="P32" i="10"/>
  <c r="M23" i="10"/>
  <c r="N23" i="10" s="1"/>
  <c r="O23" i="10" s="1"/>
  <c r="P23" i="10"/>
  <c r="M15" i="10"/>
  <c r="N15" i="10" s="1"/>
  <c r="O15" i="10" s="1"/>
  <c r="P15" i="10"/>
  <c r="M167" i="10"/>
  <c r="N167" i="10" s="1"/>
  <c r="O167" i="10" s="1"/>
  <c r="P167" i="10"/>
  <c r="M112" i="10"/>
  <c r="N112" i="10" s="1"/>
  <c r="O112" i="10" s="1"/>
  <c r="P112" i="10"/>
  <c r="AA46" i="10"/>
  <c r="Z117" i="10"/>
  <c r="W274" i="10"/>
  <c r="W232" i="10"/>
  <c r="Z30" i="10"/>
  <c r="X155" i="10"/>
  <c r="W34" i="10"/>
  <c r="X8" i="10"/>
  <c r="M80" i="10"/>
  <c r="N80" i="10" s="1"/>
  <c r="O80" i="10" s="1"/>
  <c r="P80" i="10"/>
  <c r="Z178" i="10"/>
  <c r="Z91" i="10"/>
  <c r="X168" i="10"/>
  <c r="W253" i="10"/>
  <c r="W123" i="10"/>
  <c r="W208" i="10"/>
  <c r="AA262" i="10"/>
  <c r="AA120" i="10"/>
  <c r="Z86" i="10"/>
  <c r="W66" i="10"/>
  <c r="W116" i="10"/>
  <c r="AA27" i="10"/>
  <c r="Z109" i="10"/>
  <c r="Z3" i="10"/>
  <c r="W9" i="10"/>
  <c r="M271" i="10"/>
  <c r="N271" i="10" s="1"/>
  <c r="O271" i="10" s="1"/>
  <c r="P271" i="10"/>
  <c r="Z42" i="10"/>
  <c r="W78" i="10"/>
  <c r="T80" i="10"/>
  <c r="T271" i="10"/>
  <c r="T102" i="10"/>
  <c r="T203" i="10"/>
  <c r="T53" i="10"/>
  <c r="T229" i="10"/>
  <c r="T36" i="10"/>
  <c r="T15" i="10"/>
  <c r="Y80" i="10"/>
  <c r="Z80" i="10" s="1"/>
  <c r="Y271" i="10"/>
  <c r="Y111" i="10"/>
  <c r="Z111" i="10" s="1"/>
  <c r="Y211" i="10"/>
  <c r="Z211" i="10" s="1"/>
  <c r="Y203" i="10"/>
  <c r="Y173" i="10"/>
  <c r="Z173" i="10" s="1"/>
  <c r="Y220" i="10"/>
  <c r="Z220" i="10" s="1"/>
  <c r="Y152" i="10"/>
  <c r="Z152" i="10" s="1"/>
  <c r="Y57" i="10"/>
  <c r="Z57" i="10" s="1"/>
  <c r="Y53" i="10"/>
  <c r="Y229" i="10"/>
  <c r="Z229" i="10" s="1"/>
  <c r="Y44" i="10"/>
  <c r="Z44" i="10" s="1"/>
  <c r="Y36" i="10"/>
  <c r="Z36" i="10" s="1"/>
  <c r="Y32" i="10"/>
  <c r="Z32" i="10" s="1"/>
  <c r="Y23" i="10"/>
  <c r="Z23" i="10" s="1"/>
  <c r="Y15" i="10"/>
  <c r="Z15" i="10" s="1"/>
  <c r="Y167" i="10"/>
  <c r="Y112" i="10"/>
  <c r="Z112" i="10" s="1"/>
  <c r="X90" i="10"/>
  <c r="X17" i="10"/>
  <c r="W222" i="10"/>
  <c r="W179" i="10"/>
  <c r="W130" i="10"/>
  <c r="T167" i="10"/>
  <c r="W256" i="10"/>
  <c r="M102" i="10"/>
  <c r="N102" i="10" s="1"/>
  <c r="O102" i="10" s="1"/>
  <c r="P102" i="10"/>
  <c r="T23" i="10"/>
  <c r="X16" i="10"/>
  <c r="X88" i="10"/>
  <c r="AA88" i="10"/>
  <c r="T44" i="10"/>
  <c r="Z135" i="10"/>
  <c r="X45" i="10"/>
  <c r="W127" i="10"/>
  <c r="W41" i="10"/>
  <c r="Z47" i="10"/>
  <c r="W237" i="10"/>
  <c r="W142" i="10"/>
  <c r="AA186" i="10"/>
  <c r="X118" i="10"/>
  <c r="W231" i="10"/>
  <c r="W40" i="10"/>
  <c r="W39" i="10"/>
  <c r="W269" i="10"/>
  <c r="W21" i="10"/>
  <c r="W13" i="10"/>
  <c r="W7" i="10"/>
  <c r="W207" i="10"/>
  <c r="W98" i="10"/>
  <c r="T112" i="10"/>
  <c r="S262" i="10"/>
  <c r="T262" i="10" s="1"/>
  <c r="M77" i="10"/>
  <c r="N77" i="10" s="1"/>
  <c r="O77" i="10" s="1"/>
  <c r="X77" i="10" s="1"/>
  <c r="P77" i="10"/>
  <c r="M268" i="10"/>
  <c r="N268" i="10" s="1"/>
  <c r="O268" i="10" s="1"/>
  <c r="P268" i="10"/>
  <c r="M174" i="10"/>
  <c r="N174" i="10" s="1"/>
  <c r="O174" i="10" s="1"/>
  <c r="P174" i="10"/>
  <c r="M263" i="10"/>
  <c r="N263" i="10" s="1"/>
  <c r="O263" i="10" s="1"/>
  <c r="P263" i="10"/>
  <c r="M184" i="10"/>
  <c r="N184" i="10" s="1"/>
  <c r="O184" i="10" s="1"/>
  <c r="P184" i="10"/>
  <c r="M216" i="10"/>
  <c r="N216" i="10" s="1"/>
  <c r="O216" i="10" s="1"/>
  <c r="P216" i="10"/>
  <c r="M63" i="10"/>
  <c r="N63" i="10" s="1"/>
  <c r="O63" i="10" s="1"/>
  <c r="X63" i="10" s="1"/>
  <c r="P63" i="10"/>
  <c r="M145" i="10"/>
  <c r="N145" i="10" s="1"/>
  <c r="O145" i="10" s="1"/>
  <c r="P145" i="10"/>
  <c r="M126" i="10"/>
  <c r="N126" i="10" s="1"/>
  <c r="O126" i="10" s="1"/>
  <c r="X126" i="10" s="1"/>
  <c r="P126" i="10"/>
  <c r="M157" i="10"/>
  <c r="N157" i="10" s="1"/>
  <c r="O157" i="10" s="1"/>
  <c r="P157" i="10"/>
  <c r="M51" i="10"/>
  <c r="N51" i="10" s="1"/>
  <c r="O51" i="10" s="1"/>
  <c r="P51" i="10"/>
  <c r="M149" i="10"/>
  <c r="N149" i="10" s="1"/>
  <c r="O149" i="10" s="1"/>
  <c r="P149" i="10"/>
  <c r="M122" i="10"/>
  <c r="N122" i="10" s="1"/>
  <c r="O122" i="10" s="1"/>
  <c r="P122" i="10"/>
  <c r="M33" i="10"/>
  <c r="N33" i="10" s="1"/>
  <c r="O33" i="10" s="1"/>
  <c r="P33" i="10"/>
  <c r="M29" i="10"/>
  <c r="N29" i="10" s="1"/>
  <c r="O29" i="10" s="1"/>
  <c r="X29" i="10" s="1"/>
  <c r="P29" i="10"/>
  <c r="M20" i="10"/>
  <c r="N20" i="10" s="1"/>
  <c r="O20" i="10" s="1"/>
  <c r="P20" i="10"/>
  <c r="M251" i="10"/>
  <c r="N251" i="10" s="1"/>
  <c r="O251" i="10" s="1"/>
  <c r="P251" i="10"/>
  <c r="M95" i="10"/>
  <c r="N95" i="10" s="1"/>
  <c r="O95" i="10" s="1"/>
  <c r="P95" i="10"/>
  <c r="M230" i="10"/>
  <c r="N230" i="10" s="1"/>
  <c r="O230" i="10" s="1"/>
  <c r="P230" i="10"/>
  <c r="T32" i="10"/>
  <c r="P79" i="10"/>
  <c r="P270" i="10"/>
  <c r="P185" i="10"/>
  <c r="P228" i="10"/>
  <c r="P210" i="10"/>
  <c r="P202" i="10"/>
  <c r="P172" i="10"/>
  <c r="P168" i="10"/>
  <c r="P58" i="10"/>
  <c r="P97" i="10"/>
  <c r="P170" i="10"/>
  <c r="P49" i="10"/>
  <c r="P43" i="10"/>
  <c r="P35" i="10"/>
  <c r="P31" i="10"/>
  <c r="P22" i="10"/>
  <c r="P14" i="10"/>
  <c r="P8" i="10"/>
  <c r="P118" i="10"/>
  <c r="X245" i="10" l="1"/>
  <c r="W76" i="10"/>
  <c r="X76" i="10" s="1"/>
  <c r="Q126" i="34"/>
  <c r="Q106" i="34"/>
  <c r="Q186" i="34"/>
  <c r="X74" i="10"/>
  <c r="Q199" i="34"/>
  <c r="Q163" i="34"/>
  <c r="X122" i="10"/>
  <c r="X216" i="10"/>
  <c r="AA94" i="10"/>
  <c r="W190" i="10"/>
  <c r="X190" i="10" s="1"/>
  <c r="Q214" i="34"/>
  <c r="P56" i="34"/>
  <c r="R56" i="34" s="1"/>
  <c r="P140" i="34"/>
  <c r="P241" i="34"/>
  <c r="R241" i="34" s="1"/>
  <c r="X267" i="10"/>
  <c r="AA107" i="10"/>
  <c r="P199" i="34"/>
  <c r="R199" i="34" s="1"/>
  <c r="P103" i="34"/>
  <c r="R103" i="34" s="1"/>
  <c r="P119" i="34"/>
  <c r="R119" i="34" s="1"/>
  <c r="P16" i="34"/>
  <c r="Q119" i="34"/>
  <c r="Q162" i="34"/>
  <c r="AA89" i="10"/>
  <c r="W12" i="10"/>
  <c r="X12" i="10" s="1"/>
  <c r="Q114" i="34"/>
  <c r="AA22" i="10"/>
  <c r="P182" i="34"/>
  <c r="P58" i="34"/>
  <c r="P243" i="34"/>
  <c r="R243" i="34" s="1"/>
  <c r="P223" i="34"/>
  <c r="P42" i="34"/>
  <c r="R42" i="34" s="1"/>
  <c r="W212" i="10"/>
  <c r="X212" i="10" s="1"/>
  <c r="W143" i="10"/>
  <c r="X68" i="10"/>
  <c r="Z247" i="10"/>
  <c r="X145" i="10"/>
  <c r="AA234" i="10"/>
  <c r="X218" i="10"/>
  <c r="AA24" i="10"/>
  <c r="AA151" i="10"/>
  <c r="AA5" i="10"/>
  <c r="AA91" i="10"/>
  <c r="W249" i="10"/>
  <c r="Q177" i="34"/>
  <c r="Q94" i="34"/>
  <c r="Q210" i="34"/>
  <c r="P240" i="34"/>
  <c r="Q203" i="34"/>
  <c r="AA138" i="10"/>
  <c r="X49" i="10"/>
  <c r="AA162" i="10"/>
  <c r="Q107" i="34"/>
  <c r="Q110" i="34"/>
  <c r="Q198" i="34"/>
  <c r="X272" i="10"/>
  <c r="Q56" i="34"/>
  <c r="Q54" i="34"/>
  <c r="W196" i="10"/>
  <c r="AA177" i="10"/>
  <c r="X177" i="10"/>
  <c r="X247" i="10"/>
  <c r="AA247" i="10"/>
  <c r="X109" i="10"/>
  <c r="AA109" i="10"/>
  <c r="AA223" i="10"/>
  <c r="X223" i="10"/>
  <c r="X205" i="10"/>
  <c r="AA205" i="10"/>
  <c r="X261" i="10"/>
  <c r="AA261" i="10"/>
  <c r="Q91" i="34"/>
  <c r="Q184" i="34"/>
  <c r="R184" i="34"/>
  <c r="Q85" i="34"/>
  <c r="X133" i="10"/>
  <c r="AA58" i="10"/>
  <c r="X156" i="10"/>
  <c r="AA233" i="10"/>
  <c r="Q142" i="34"/>
  <c r="Q202" i="34"/>
  <c r="R202" i="34"/>
  <c r="Q185" i="34"/>
  <c r="Q141" i="34"/>
  <c r="R146" i="34"/>
  <c r="Q146" i="34"/>
  <c r="Q2" i="34"/>
  <c r="R2" i="34"/>
  <c r="Q3" i="34"/>
  <c r="R3" i="34"/>
  <c r="P216" i="34"/>
  <c r="P176" i="34"/>
  <c r="P136" i="34"/>
  <c r="R136" i="34" s="1"/>
  <c r="P156" i="34"/>
  <c r="P196" i="34"/>
  <c r="P237" i="34"/>
  <c r="R237" i="34" s="1"/>
  <c r="P257" i="34"/>
  <c r="R257" i="34" s="1"/>
  <c r="P48" i="34"/>
  <c r="P188" i="34"/>
  <c r="P64" i="34"/>
  <c r="P148" i="34"/>
  <c r="R148" i="34" s="1"/>
  <c r="P80" i="34"/>
  <c r="R80" i="34" s="1"/>
  <c r="P229" i="34"/>
  <c r="R229" i="34" s="1"/>
  <c r="P249" i="34"/>
  <c r="R249" i="34" s="1"/>
  <c r="P128" i="34"/>
  <c r="P112" i="34"/>
  <c r="R112" i="34" s="1"/>
  <c r="P96" i="34"/>
  <c r="P168" i="34"/>
  <c r="R168" i="34" s="1"/>
  <c r="P208" i="34"/>
  <c r="W71" i="10"/>
  <c r="X71" i="10" s="1"/>
  <c r="X38" i="10"/>
  <c r="X240" i="10"/>
  <c r="W114" i="10"/>
  <c r="Q30" i="34"/>
  <c r="R30" i="34"/>
  <c r="Q31" i="34"/>
  <c r="AA225" i="10"/>
  <c r="AA129" i="10"/>
  <c r="X185" i="10"/>
  <c r="W61" i="10"/>
  <c r="X61" i="10" s="1"/>
  <c r="AA12" i="10"/>
  <c r="X64" i="10"/>
  <c r="X200" i="10"/>
  <c r="W214" i="10"/>
  <c r="P6" i="34"/>
  <c r="P226" i="34"/>
  <c r="P45" i="34"/>
  <c r="R45" i="34" s="1"/>
  <c r="P25" i="34"/>
  <c r="P125" i="34"/>
  <c r="R125" i="34" s="1"/>
  <c r="P246" i="34"/>
  <c r="P109" i="34"/>
  <c r="P93" i="34"/>
  <c r="R93" i="34" s="1"/>
  <c r="P145" i="34"/>
  <c r="R145" i="34" s="1"/>
  <c r="P165" i="34"/>
  <c r="P77" i="34"/>
  <c r="R77" i="34" s="1"/>
  <c r="P185" i="34"/>
  <c r="R185" i="34" s="1"/>
  <c r="P35" i="34"/>
  <c r="P205" i="34"/>
  <c r="R205" i="34" s="1"/>
  <c r="P61" i="34"/>
  <c r="R61" i="34" s="1"/>
  <c r="R118" i="34"/>
  <c r="Q118" i="34"/>
  <c r="Q20" i="34"/>
  <c r="X263" i="10"/>
  <c r="Z239" i="10"/>
  <c r="AA105" i="10"/>
  <c r="AA93" i="10"/>
  <c r="AA124" i="10"/>
  <c r="AA175" i="10"/>
  <c r="AA264" i="10"/>
  <c r="AA106" i="10"/>
  <c r="X26" i="10"/>
  <c r="Q157" i="34"/>
  <c r="Q23" i="34"/>
  <c r="Q26" i="34"/>
  <c r="Q242" i="34"/>
  <c r="Q88" i="34"/>
  <c r="Q62" i="34"/>
  <c r="Q100" i="34"/>
  <c r="R100" i="34"/>
  <c r="W36" i="10"/>
  <c r="AA36" i="10" s="1"/>
  <c r="AA265" i="10"/>
  <c r="AA161" i="10"/>
  <c r="X95" i="10"/>
  <c r="AA244" i="10"/>
  <c r="W217" i="10"/>
  <c r="X217" i="10" s="1"/>
  <c r="Q70" i="34"/>
  <c r="W141" i="10"/>
  <c r="X141" i="10" s="1"/>
  <c r="W241" i="10"/>
  <c r="X241" i="10" s="1"/>
  <c r="AA171" i="10"/>
  <c r="AA257" i="10"/>
  <c r="Q150" i="34"/>
  <c r="Q139" i="34"/>
  <c r="Q158" i="34"/>
  <c r="Q102" i="34"/>
  <c r="Q160" i="34"/>
  <c r="R160" i="34"/>
  <c r="Q104" i="34"/>
  <c r="R104" i="34"/>
  <c r="X42" i="10"/>
  <c r="W160" i="10"/>
  <c r="AA160" i="10" s="1"/>
  <c r="R212" i="34"/>
  <c r="Q212" i="34"/>
  <c r="R254" i="34"/>
  <c r="Q254" i="34"/>
  <c r="Q189" i="34"/>
  <c r="AA75" i="10"/>
  <c r="AA202" i="10"/>
  <c r="X221" i="10"/>
  <c r="X239" i="10"/>
  <c r="W81" i="10"/>
  <c r="X81" i="10" s="1"/>
  <c r="Q173" i="34"/>
  <c r="Q21" i="34"/>
  <c r="W236" i="10"/>
  <c r="W134" i="10"/>
  <c r="X113" i="10"/>
  <c r="Q78" i="34"/>
  <c r="AA121" i="10"/>
  <c r="X79" i="10"/>
  <c r="W132" i="10"/>
  <c r="AA132" i="10" s="1"/>
  <c r="W62" i="10"/>
  <c r="AA62" i="10" s="1"/>
  <c r="P248" i="34"/>
  <c r="R248" i="34" s="1"/>
  <c r="P27" i="34"/>
  <c r="R27" i="34" s="1"/>
  <c r="P63" i="34"/>
  <c r="P228" i="34"/>
  <c r="P47" i="34"/>
  <c r="R47" i="34" s="1"/>
  <c r="P37" i="34"/>
  <c r="R37" i="34" s="1"/>
  <c r="P127" i="34"/>
  <c r="R127" i="34" s="1"/>
  <c r="P111" i="34"/>
  <c r="R111" i="34" s="1"/>
  <c r="P187" i="34"/>
  <c r="R187" i="34" s="1"/>
  <c r="P9" i="34"/>
  <c r="R9" i="34" s="1"/>
  <c r="P95" i="34"/>
  <c r="P147" i="34"/>
  <c r="R147" i="34" s="1"/>
  <c r="P167" i="34"/>
  <c r="R167" i="34" s="1"/>
  <c r="P207" i="34"/>
  <c r="P79" i="34"/>
  <c r="R79" i="34" s="1"/>
  <c r="Q193" i="34"/>
  <c r="Q174" i="34"/>
  <c r="R174" i="34"/>
  <c r="AA212" i="10"/>
  <c r="Z71" i="10"/>
  <c r="W25" i="10"/>
  <c r="AA25" i="10" s="1"/>
  <c r="W219" i="10"/>
  <c r="W159" i="10"/>
  <c r="AA159" i="10" s="1"/>
  <c r="AA178" i="10"/>
  <c r="X117" i="10"/>
  <c r="W28" i="10"/>
  <c r="W194" i="10"/>
  <c r="X194" i="10" s="1"/>
  <c r="W215" i="10"/>
  <c r="X215" i="10" s="1"/>
  <c r="X176" i="10"/>
  <c r="X50" i="10"/>
  <c r="X148" i="10"/>
  <c r="W209" i="10"/>
  <c r="Z212" i="10"/>
  <c r="X147" i="10"/>
  <c r="AA163" i="10"/>
  <c r="W246" i="10"/>
  <c r="AA246" i="10" s="1"/>
  <c r="W128" i="10"/>
  <c r="AA128" i="10" s="1"/>
  <c r="W23" i="10"/>
  <c r="AA23" i="10" s="1"/>
  <c r="AA252" i="10"/>
  <c r="X140" i="10"/>
  <c r="W188" i="10"/>
  <c r="AA188" i="10" s="1"/>
  <c r="W67" i="10"/>
  <c r="W254" i="10"/>
  <c r="X254" i="10" s="1"/>
  <c r="AA10" i="10"/>
  <c r="W260" i="10"/>
  <c r="X260" i="10" s="1"/>
  <c r="W48" i="10"/>
  <c r="W204" i="10"/>
  <c r="W273" i="10"/>
  <c r="X51" i="10"/>
  <c r="AA76" i="10"/>
  <c r="X101" i="10"/>
  <c r="W2" i="10"/>
  <c r="AA2" i="10" s="1"/>
  <c r="AA193" i="10"/>
  <c r="X33" i="10"/>
  <c r="X157" i="10"/>
  <c r="W259" i="10"/>
  <c r="W226" i="10"/>
  <c r="W164" i="10"/>
  <c r="AA217" i="10"/>
  <c r="X144" i="10"/>
  <c r="AA144" i="10"/>
  <c r="X92" i="10"/>
  <c r="AA92" i="10"/>
  <c r="AA235" i="10"/>
  <c r="W100" i="10"/>
  <c r="AA6" i="10"/>
  <c r="X6" i="10"/>
  <c r="AA227" i="10"/>
  <c r="X227" i="10"/>
  <c r="X250" i="10"/>
  <c r="AA250" i="10"/>
  <c r="AA110" i="10"/>
  <c r="X47" i="10"/>
  <c r="AA47" i="10"/>
  <c r="X197" i="10"/>
  <c r="AA248" i="10"/>
  <c r="AA82" i="10"/>
  <c r="X55" i="10"/>
  <c r="AA55" i="10"/>
  <c r="Z144" i="10"/>
  <c r="X230" i="10"/>
  <c r="X149" i="10"/>
  <c r="X184" i="10"/>
  <c r="X132" i="10"/>
  <c r="AA31" i="10"/>
  <c r="AA19" i="10"/>
  <c r="AA59" i="10"/>
  <c r="X59" i="10"/>
  <c r="W255" i="10"/>
  <c r="X182" i="10"/>
  <c r="AA182" i="10"/>
  <c r="W169" i="10"/>
  <c r="AA169" i="10" s="1"/>
  <c r="AA115" i="10"/>
  <c r="W54" i="10"/>
  <c r="Z92" i="10"/>
  <c r="X192" i="10"/>
  <c r="AA192" i="10"/>
  <c r="X160" i="10"/>
  <c r="X97" i="10"/>
  <c r="AA11" i="10"/>
  <c r="AA260" i="10"/>
  <c r="X251" i="10"/>
  <c r="X174" i="10"/>
  <c r="X20" i="10"/>
  <c r="AA150" i="10"/>
  <c r="X150" i="10"/>
  <c r="X268" i="10"/>
  <c r="AA60" i="10"/>
  <c r="W111" i="10"/>
  <c r="X111" i="10" s="1"/>
  <c r="W84" i="10"/>
  <c r="X183" i="10"/>
  <c r="AA183" i="10"/>
  <c r="X137" i="10"/>
  <c r="AA137" i="10"/>
  <c r="X104" i="10"/>
  <c r="AA206" i="10"/>
  <c r="AA65" i="10"/>
  <c r="X4" i="10"/>
  <c r="AA4" i="10"/>
  <c r="W87" i="10"/>
  <c r="W15" i="10"/>
  <c r="X15" i="10" s="1"/>
  <c r="W80" i="10"/>
  <c r="AA80" i="10" s="1"/>
  <c r="W69" i="10"/>
  <c r="X139" i="10"/>
  <c r="AA139" i="10"/>
  <c r="W96" i="10"/>
  <c r="AA15" i="10"/>
  <c r="X256" i="10"/>
  <c r="AA256" i="10"/>
  <c r="X78" i="10"/>
  <c r="AA78" i="10"/>
  <c r="X102" i="10"/>
  <c r="AA102" i="10"/>
  <c r="X40" i="10"/>
  <c r="AA40" i="10"/>
  <c r="W229" i="10"/>
  <c r="AA231" i="10"/>
  <c r="X231" i="10"/>
  <c r="X130" i="10"/>
  <c r="AA130" i="10"/>
  <c r="W53" i="10"/>
  <c r="Z53" i="10"/>
  <c r="W152" i="10"/>
  <c r="X131" i="10"/>
  <c r="AA131" i="10"/>
  <c r="X243" i="10"/>
  <c r="AA243" i="10"/>
  <c r="X179" i="10"/>
  <c r="AA179" i="10"/>
  <c r="AA232" i="10"/>
  <c r="X232" i="10"/>
  <c r="W220" i="10"/>
  <c r="AA158" i="10"/>
  <c r="X158" i="10"/>
  <c r="X98" i="10"/>
  <c r="AA98" i="10"/>
  <c r="X72" i="10"/>
  <c r="AA72" i="10"/>
  <c r="AA222" i="10"/>
  <c r="X222" i="10"/>
  <c r="X274" i="10"/>
  <c r="AA274" i="10"/>
  <c r="W173" i="10"/>
  <c r="AA208" i="10"/>
  <c r="X208" i="10"/>
  <c r="X80" i="10"/>
  <c r="X207" i="10"/>
  <c r="AA207" i="10"/>
  <c r="X165" i="10"/>
  <c r="AA165" i="10"/>
  <c r="AA9" i="10"/>
  <c r="X9" i="10"/>
  <c r="AA123" i="10"/>
  <c r="X123" i="10"/>
  <c r="X7" i="10"/>
  <c r="AA7" i="10"/>
  <c r="AA85" i="10"/>
  <c r="X85" i="10"/>
  <c r="Z203" i="10"/>
  <c r="W203" i="10"/>
  <c r="X169" i="10"/>
  <c r="X116" i="10"/>
  <c r="AA116" i="10"/>
  <c r="AA253" i="10"/>
  <c r="X253" i="10"/>
  <c r="X13" i="10"/>
  <c r="AA13" i="10"/>
  <c r="X142" i="10"/>
  <c r="AA142" i="10"/>
  <c r="AA41" i="10"/>
  <c r="X41" i="10"/>
  <c r="AA254" i="10"/>
  <c r="X66" i="10"/>
  <c r="AA66" i="10"/>
  <c r="X21" i="10"/>
  <c r="AA21" i="10"/>
  <c r="X153" i="10"/>
  <c r="AA153" i="10"/>
  <c r="X127" i="10"/>
  <c r="AA127" i="10"/>
  <c r="Z167" i="10"/>
  <c r="W167" i="10"/>
  <c r="AA215" i="10"/>
  <c r="X134" i="10"/>
  <c r="AA134" i="10"/>
  <c r="W44" i="10"/>
  <c r="W112" i="10"/>
  <c r="AA269" i="10"/>
  <c r="X269" i="10"/>
  <c r="X258" i="10"/>
  <c r="AA258" i="10"/>
  <c r="Z271" i="10"/>
  <c r="W271" i="10"/>
  <c r="X154" i="10"/>
  <c r="AA154" i="10"/>
  <c r="W211" i="10"/>
  <c r="AA141" i="10"/>
  <c r="X237" i="10"/>
  <c r="AA237" i="10"/>
  <c r="AA143" i="10"/>
  <c r="X143" i="10"/>
  <c r="X34" i="10"/>
  <c r="AA34" i="10"/>
  <c r="AA39" i="10"/>
  <c r="X39" i="10"/>
  <c r="W57" i="10"/>
  <c r="W32" i="10"/>
  <c r="Q240" i="34" l="1"/>
  <c r="R240" i="34"/>
  <c r="R16" i="34"/>
  <c r="Q16" i="34"/>
  <c r="X25" i="10"/>
  <c r="X62" i="10"/>
  <c r="R223" i="34"/>
  <c r="Q223" i="34"/>
  <c r="AA190" i="10"/>
  <c r="X249" i="10"/>
  <c r="AA249" i="10"/>
  <c r="Q103" i="34"/>
  <c r="AA196" i="10"/>
  <c r="X196" i="10"/>
  <c r="Q9" i="34"/>
  <c r="Q77" i="34"/>
  <c r="X159" i="10"/>
  <c r="Q112" i="34"/>
  <c r="Q58" i="34"/>
  <c r="R58" i="34"/>
  <c r="AA61" i="10"/>
  <c r="X246" i="10"/>
  <c r="Q187" i="34"/>
  <c r="R182" i="34"/>
  <c r="Q182" i="34"/>
  <c r="Q243" i="34"/>
  <c r="X36" i="10"/>
  <c r="Q167" i="34"/>
  <c r="Q241" i="34"/>
  <c r="R140" i="34"/>
  <c r="Q140" i="34"/>
  <c r="Q80" i="34"/>
  <c r="Q42" i="34"/>
  <c r="Q127" i="34"/>
  <c r="Q125" i="34"/>
  <c r="Q136" i="34"/>
  <c r="Q93" i="34"/>
  <c r="Q165" i="34"/>
  <c r="R165" i="34"/>
  <c r="R48" i="34"/>
  <c r="Q48" i="34"/>
  <c r="R228" i="34"/>
  <c r="Q228" i="34"/>
  <c r="Q27" i="34"/>
  <c r="Q237" i="34"/>
  <c r="Q109" i="34"/>
  <c r="R109" i="34"/>
  <c r="R208" i="34"/>
  <c r="Q208" i="34"/>
  <c r="R196" i="34"/>
  <c r="Q196" i="34"/>
  <c r="Q248" i="34"/>
  <c r="Q246" i="34"/>
  <c r="R246" i="34"/>
  <c r="Q156" i="34"/>
  <c r="R156" i="34"/>
  <c r="X128" i="10"/>
  <c r="R207" i="34"/>
  <c r="Q207" i="34"/>
  <c r="Q257" i="34"/>
  <c r="Q148" i="34"/>
  <c r="Q229" i="34"/>
  <c r="R96" i="34"/>
  <c r="Q96" i="34"/>
  <c r="Q63" i="34"/>
  <c r="R63" i="34"/>
  <c r="AA194" i="10"/>
  <c r="R25" i="34"/>
  <c r="Q25" i="34"/>
  <c r="R176" i="34"/>
  <c r="Q176" i="34"/>
  <c r="Q79" i="34"/>
  <c r="R226" i="34"/>
  <c r="Q226" i="34"/>
  <c r="AA241" i="10"/>
  <c r="Q6" i="34"/>
  <c r="R6" i="34"/>
  <c r="R95" i="34"/>
  <c r="Q95" i="34"/>
  <c r="X2" i="10"/>
  <c r="AA71" i="10"/>
  <c r="X214" i="10"/>
  <c r="AA214" i="10"/>
  <c r="R216" i="34"/>
  <c r="Q216" i="34"/>
  <c r="X23" i="10"/>
  <c r="Q35" i="34"/>
  <c r="R35" i="34"/>
  <c r="Q61" i="34"/>
  <c r="Q47" i="34"/>
  <c r="AA81" i="10"/>
  <c r="Q249" i="34"/>
  <c r="Q168" i="34"/>
  <c r="Q145" i="34"/>
  <c r="Q147" i="34"/>
  <c r="Q45" i="34"/>
  <c r="R64" i="34"/>
  <c r="Q64" i="34"/>
  <c r="Q205" i="34"/>
  <c r="R128" i="34"/>
  <c r="Q128" i="34"/>
  <c r="AA236" i="10"/>
  <c r="X236" i="10"/>
  <c r="Q111" i="34"/>
  <c r="Q37" i="34"/>
  <c r="AA114" i="10"/>
  <c r="X114" i="10"/>
  <c r="R188" i="34"/>
  <c r="Q188" i="34"/>
  <c r="AA209" i="10"/>
  <c r="X209" i="10"/>
  <c r="X67" i="10"/>
  <c r="AA67" i="10"/>
  <c r="X188" i="10"/>
  <c r="AA273" i="10"/>
  <c r="X273" i="10"/>
  <c r="X204" i="10"/>
  <c r="AA204" i="10"/>
  <c r="X219" i="10"/>
  <c r="AA219" i="10"/>
  <c r="X164" i="10"/>
  <c r="AA164" i="10"/>
  <c r="AA48" i="10"/>
  <c r="X48" i="10"/>
  <c r="AA226" i="10"/>
  <c r="X226" i="10"/>
  <c r="X259" i="10"/>
  <c r="AA259" i="10"/>
  <c r="X28" i="10"/>
  <c r="AA28" i="10"/>
  <c r="AA69" i="10"/>
  <c r="X69" i="10"/>
  <c r="AA111" i="10"/>
  <c r="AA100" i="10"/>
  <c r="X100" i="10"/>
  <c r="AA87" i="10"/>
  <c r="X87" i="10"/>
  <c r="X255" i="10"/>
  <c r="AA255" i="10"/>
  <c r="X84" i="10"/>
  <c r="AA84" i="10"/>
  <c r="X96" i="10"/>
  <c r="AA96" i="10"/>
  <c r="AA54" i="10"/>
  <c r="X54" i="10"/>
  <c r="AA271" i="10"/>
  <c r="X271" i="10"/>
  <c r="X173" i="10"/>
  <c r="AA173" i="10"/>
  <c r="AA32" i="10"/>
  <c r="X32" i="10"/>
  <c r="X167" i="10"/>
  <c r="AA167" i="10"/>
  <c r="AA220" i="10"/>
  <c r="X220" i="10"/>
  <c r="X57" i="10"/>
  <c r="AA57" i="10"/>
  <c r="AA229" i="10"/>
  <c r="X229" i="10"/>
  <c r="X203" i="10"/>
  <c r="AA203" i="10"/>
  <c r="AA211" i="10"/>
  <c r="X211" i="10"/>
  <c r="X112" i="10"/>
  <c r="AA112" i="10"/>
  <c r="X44" i="10"/>
  <c r="AA44" i="10"/>
  <c r="X152" i="10"/>
  <c r="AA152" i="10"/>
  <c r="X53" i="10"/>
  <c r="AA53" i="10"/>
  <c r="K469" i="23" l="1"/>
  <c r="AH139" i="41"/>
  <c r="F14" i="23"/>
  <c r="J456" i="23"/>
  <c r="J470" i="23" l="1"/>
  <c r="AH142" i="41"/>
  <c r="H67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F67" i="41"/>
  <c r="K81" i="41"/>
  <c r="G75" i="41"/>
  <c r="K90" i="41"/>
  <c r="K82" i="41"/>
  <c r="C84" i="41"/>
  <c r="K83" i="41"/>
  <c r="K86" i="41"/>
  <c r="D67" i="41"/>
  <c r="C81" i="41"/>
  <c r="G67" i="41"/>
  <c r="C67" i="41"/>
  <c r="C75" i="41"/>
  <c r="F75" i="41"/>
  <c r="E75" i="41"/>
  <c r="K85" i="41"/>
  <c r="D75" i="41"/>
  <c r="K84" i="41"/>
  <c r="K88" i="41"/>
  <c r="AG516" i="38"/>
  <c r="K92" i="41"/>
  <c r="C82" i="41"/>
  <c r="K89" i="41"/>
  <c r="H75" i="41"/>
  <c r="C83" i="41"/>
  <c r="K91" i="41"/>
  <c r="E67" i="41"/>
  <c r="K87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263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D588" i="23"/>
  <c r="D587" i="23"/>
  <c r="E586" i="23"/>
  <c r="C588" i="23"/>
  <c r="AI472" i="23" l="1"/>
  <c r="J454" i="23"/>
  <c r="E587" i="23"/>
  <c r="J455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<sst xmlns="http://schemas.openxmlformats.org/spreadsheetml/2006/main" count="20920" uniqueCount="2127">
  <si>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</si>
  <si>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</si>
  <si>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</si>
  <si>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</si>
  <si>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</si>
  <si>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</si>
  <si>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</si>
  <si>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</si>
  <si>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</si>
  <si>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</si>
  <si>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</si>
  <si>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</si>
  <si>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</si>
  <si>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</si>
  <si>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</si>
  <si>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</si>
  <si>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</si>
  <si>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</si>
  <si>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</si>
  <si>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</si>
  <si>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</si>
  <si>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</si>
  <si>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</si>
  <si>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</si>
  <si>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</si>
  <si>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</si>
  <si>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</si>
  <si>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</si>
  <si>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</si>
  <si>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</si>
  <si>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</si>
  <si>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</si>
  <si>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</si>
  <si>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</si>
  <si>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</si>
  <si>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</si>
  <si>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</si>
  <si>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</si>
  <si>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</si>
  <si>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</si>
  <si>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</si>
  <si>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</si>
  <si>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</si>
  <si>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</si>
  <si>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</si>
  <si>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</si>
  <si>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</si>
  <si>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</si>
  <si>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</si>
  <si>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</si>
  <si>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</si>
  <si>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</si>
  <si>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</si>
  <si>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</si>
  <si>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</si>
  <si>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</si>
  <si>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</si>
  <si>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</si>
  <si>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</si>
  <si>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</si>
  <si>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</si>
  <si>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</si>
  <si>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</si>
  <si>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</si>
  <si>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</si>
  <si>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</si>
  <si>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</si>
  <si>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</si>
  <si>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</si>
  <si>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</si>
  <si>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</si>
  <si>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</si>
  <si>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</si>
  <si>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</si>
  <si>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</si>
  <si>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</si>
  <si>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</si>
  <si>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</si>
  <si>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</si>
  <si>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</si>
  <si>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</si>
  <si>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</si>
  <si>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</si>
  <si>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</si>
  <si>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</si>
  <si>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</si>
  <si>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</si>
  <si>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</si>
  <si>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</si>
  <si>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</si>
  <si>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</si>
  <si>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</si>
  <si>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</si>
  <si>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</si>
  <si>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</si>
  <si>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</si>
  <si>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</si>
  <si>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</si>
  <si>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</si>
  <si>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</si>
  <si>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</si>
  <si>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</si>
  <si>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</si>
  <si>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</si>
  <si>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</si>
  <si>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</si>
  <si>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</si>
  <si>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</si>
  <si>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</si>
  <si>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</si>
  <si>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</si>
  <si>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</si>
  <si>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</si>
  <si>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</si>
  <si>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</si>
  <si>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</si>
  <si>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</si>
  <si>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</si>
  <si>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</si>
  <si>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</si>
  <si>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</si>
  <si>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</si>
  <si>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</si>
  <si>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</si>
  <si>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</si>
  <si>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</si>
  <si>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</si>
  <si>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</si>
  <si>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</si>
  <si>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</si>
  <si>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</si>
  <si>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</si>
  <si>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</si>
  <si>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</si>
  <si>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</si>
  <si>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</si>
  <si>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</si>
  <si>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</si>
  <si>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</si>
  <si>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</si>
  <si>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</si>
  <si>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</si>
  <si>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</si>
  <si>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</si>
  <si>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</si>
  <si>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</si>
  <si>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</si>
  <si>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</si>
  <si>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</si>
  <si>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</si>
  <si>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</si>
  <si>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</si>
  <si>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</si>
  <si>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</si>
  <si>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</si>
  <si>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</si>
  <si>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</si>
  <si>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</si>
  <si>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</si>
  <si>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</si>
  <si>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</si>
  <si>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</si>
  <si>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</si>
  <si>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</si>
  <si>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</si>
  <si>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</si>
  <si>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</si>
  <si>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</si>
  <si>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</si>
  <si>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</si>
  <si>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</si>
  <si>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</si>
  <si>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</si>
  <si>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</si>
  <si>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</si>
  <si>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</si>
  <si>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</si>
  <si>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</si>
  <si>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</si>
  <si>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</si>
  <si>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</si>
  <si>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</si>
  <si>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</si>
  <si>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</si>
  <si>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</si>
  <si>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</si>
  <si>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</si>
  <si>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</si>
  <si>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</si>
  <si>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</si>
  <si>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</si>
  <si>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</si>
  <si>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</si>
  <si>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</si>
  <si>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</si>
  <si>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</si>
  <si>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</si>
  <si>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</si>
  <si>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</si>
  <si>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</si>
  <si>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</si>
  <si>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</si>
  <si>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</si>
  <si>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</si>
  <si>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</si>
  <si>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</si>
  <si>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</si>
  <si>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</si>
  <si>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</si>
  <si>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</si>
  <si>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</si>
  <si>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</si>
  <si>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</si>
  <si>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</si>
  <si>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</si>
  <si>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</si>
  <si>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</si>
  <si>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</si>
  <si>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</si>
  <si>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</si>
  <si>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</si>
  <si>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</si>
  <si>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</si>
  <si>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</si>
  <si>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</si>
  <si>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</si>
  <si>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</si>
  <si>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</si>
  <si>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</si>
  <si>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</si>
  <si>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</si>
  <si>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</si>
  <si>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</si>
  <si>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</si>
  <si>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</si>
  <si>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</si>
  <si>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</si>
  <si>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</si>
  <si>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</si>
  <si>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</si>
  <si>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</si>
  <si>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</si>
  <si>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</si>
  <si>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</si>
  <si>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</si>
  <si>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</si>
  <si>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</si>
  <si>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</si>
  <si>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</si>
  <si>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</si>
  <si>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</si>
  <si>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</si>
  <si>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</si>
  <si>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</si>
  <si>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</si>
  <si>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</si>
  <si>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</si>
  <si>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</si>
  <si>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</si>
  <si>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</si>
  <si>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</si>
  <si>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</si>
  <si>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</si>
  <si>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</si>
  <si>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</si>
  <si>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</si>
  <si>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</si>
  <si>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</si>
  <si>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</si>
  <si>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</si>
  <si>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</si>
  <si>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</si>
  <si>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</si>
  <si>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</si>
  <si>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</si>
  <si>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</si>
  <si>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</si>
  <si>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</si>
  <si>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</si>
  <si>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</si>
  <si>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</si>
  <si>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</si>
  <si>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</si>
  <si>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</si>
  <si>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</si>
  <si>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</si>
  <si>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</si>
  <si>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</si>
  <si>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</si>
  <si>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</si>
  <si>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</si>
  <si>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</si>
  <si>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</si>
  <si>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</si>
  <si>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</si>
  <si>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</si>
  <si>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</si>
  <si>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</si>
  <si>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</si>
  <si>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</si>
  <si>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</si>
  <si>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</si>
  <si>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</si>
  <si>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</si>
  <si>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</si>
  <si>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</si>
  <si>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</si>
  <si>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</si>
  <si>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</si>
  <si>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</si>
  <si>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</si>
  <si>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</si>
  <si>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</si>
  <si>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</si>
  <si>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</si>
  <si>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</si>
  <si>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</si>
  <si>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</si>
  <si>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</si>
  <si>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</si>
  <si>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</si>
  <si>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</si>
  <si>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</si>
  <si>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</si>
  <si>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</si>
  <si>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</si>
  <si>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</si>
  <si>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</si>
  <si>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</si>
  <si>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</si>
  <si>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</si>
  <si>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</si>
  <si>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</si>
  <si>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</si>
  <si>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</si>
  <si>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</si>
  <si>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</si>
  <si>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</si>
  <si>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</si>
  <si>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</si>
  <si>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</si>
  <si>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</si>
  <si>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</si>
  <si>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</si>
  <si>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</si>
  <si>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</si>
  <si>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</si>
  <si>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</si>
  <si>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</si>
  <si>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</si>
  <si>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</si>
  <si>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</si>
  <si>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</si>
  <si>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</si>
  <si>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</si>
  <si>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</si>
  <si>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</si>
  <si>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</si>
  <si>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</si>
  <si>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</si>
  <si>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</si>
  <si>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</si>
  <si>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</si>
  <si>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</si>
  <si>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</si>
  <si>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</si>
  <si>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</si>
  <si>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</si>
  <si>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</si>
  <si>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</si>
  <si>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</si>
  <si>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</si>
  <si>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</si>
  <si>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</si>
  <si>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</si>
  <si>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</si>
  <si>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</si>
  <si>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</si>
  <si>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</si>
  <si>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</si>
  <si>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</si>
  <si>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</si>
  <si>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</si>
  <si>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</si>
  <si>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</si>
  <si>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</si>
  <si>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</si>
  <si>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</si>
  <si>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</si>
  <si>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</si>
  <si>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</si>
  <si>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</si>
  <si>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</si>
  <si>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</si>
  <si>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</si>
  <si>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</si>
  <si>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</si>
  <si>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</si>
  <si>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</si>
  <si>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</si>
  <si>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</si>
  <si>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</si>
  <si>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</si>
  <si>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</si>
  <si>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</si>
  <si>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</si>
  <si>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</si>
  <si>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</si>
  <si>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</si>
  <si>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</si>
  <si>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</si>
  <si>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</si>
  <si>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</si>
  <si>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</si>
  <si>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</si>
  <si>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</si>
  <si>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</si>
  <si>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</si>
  <si>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</si>
  <si>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</si>
  <si>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</si>
  <si>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</si>
  <si>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</si>
  <si>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</si>
  <si>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</si>
  <si>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</si>
  <si>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</si>
  <si>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</si>
  <si>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</si>
  <si>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</si>
  <si>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</si>
  <si>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</si>
  <si>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</si>
  <si>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</si>
  <si>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</si>
  <si>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</si>
  <si>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</si>
  <si>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</si>
  <si>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</si>
  <si>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</si>
  <si>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</si>
  <si>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</si>
  <si>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</si>
  <si>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</si>
  <si>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</si>
  <si>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</si>
  <si>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</si>
  <si>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</si>
  <si>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</si>
  <si>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</si>
  <si>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</si>
  <si>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</si>
  <si>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</si>
  <si>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</si>
  <si>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</si>
  <si>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</si>
  <si>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</si>
  <si>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</si>
  <si>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</si>
  <si>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</si>
  <si>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</si>
  <si>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</si>
  <si>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</si>
  <si>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</si>
  <si>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</si>
  <si>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</si>
  <si>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</si>
  <si>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</si>
  <si>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</si>
  <si>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</si>
  <si>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</si>
  <si>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</si>
  <si>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</si>
  <si>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</si>
  <si>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</si>
  <si>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</si>
  <si>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</si>
  <si>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</si>
  <si>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</si>
  <si>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</si>
  <si>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</si>
  <si>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</si>
  <si>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</si>
  <si>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</si>
  <si>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</si>
  <si>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</si>
  <si>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</si>
  <si>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</si>
  <si>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</si>
  <si>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</si>
  <si>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</si>
  <si>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</si>
  <si>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</si>
  <si>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</si>
  <si>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</si>
  <si>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</si>
  <si>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</si>
  <si>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</si>
  <si>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</si>
  <si>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</si>
  <si>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</si>
  <si>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</si>
  <si>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</si>
  <si>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</si>
  <si>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</si>
  <si>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</si>
  <si>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</si>
  <si>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</si>
  <si>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</si>
  <si>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</si>
  <si>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</si>
  <si>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</si>
  <si>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</si>
  <si>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</si>
  <si>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</si>
  <si>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</si>
  <si>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</si>
  <si>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</si>
  <si>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</si>
  <si>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</si>
  <si>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</si>
  <si>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</si>
  <si>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</si>
  <si>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</si>
  <si>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</si>
  <si>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</si>
  <si>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</si>
  <si>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</si>
  <si>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</si>
  <si>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</si>
  <si>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</si>
  <si>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</si>
  <si>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</si>
  <si>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</si>
  <si>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</si>
  <si>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</si>
  <si>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</si>
  <si>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</si>
  <si>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</si>
  <si>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</si>
  <si>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</si>
  <si>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</si>
  <si>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</si>
  <si>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</si>
  <si>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</si>
  <si>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</si>
  <si>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</si>
  <si>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</si>
  <si>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</si>
  <si>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</si>
  <si>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</si>
  <si>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</si>
  <si>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</si>
  <si>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</si>
  <si>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</si>
  <si>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</si>
  <si>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</si>
  <si>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</si>
  <si>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</si>
  <si>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</si>
  <si>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</si>
  <si>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</si>
  <si>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</si>
  <si>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</si>
  <si>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</si>
  <si>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</si>
  <si>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</si>
  <si>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</si>
  <si>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</si>
  <si>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</si>
  <si>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</si>
  <si>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</si>
  <si>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</si>
  <si>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</si>
  <si>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</si>
  <si>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</si>
  <si>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</si>
  <si>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</si>
  <si>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</si>
  <si>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</si>
  <si>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</si>
  <si>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</si>
  <si>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</si>
  <si>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</si>
  <si>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</si>
  <si>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</si>
  <si>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</si>
  <si>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</si>
  <si>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</si>
  <si>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</si>
  <si>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</si>
  <si>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</si>
  <si>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</si>
  <si>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</si>
  <si>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</si>
  <si>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</si>
  <si>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</si>
  <si>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</si>
  <si>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</si>
  <si>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</si>
  <si>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</si>
  <si>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</si>
  <si>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</si>
  <si>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</si>
  <si>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</si>
  <si>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</si>
  <si>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</si>
  <si>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</si>
  <si>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</si>
  <si>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</si>
  <si>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</si>
  <si>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</si>
  <si>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</si>
  <si>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</si>
  <si>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</si>
  <si>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</si>
  <si>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</si>
  <si>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</si>
  <si>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</si>
  <si>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</si>
  <si>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</si>
  <si>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</si>
  <si>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</si>
  <si>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</si>
  <si>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</si>
  <si>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</si>
  <si>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</si>
  <si>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</si>
  <si>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</si>
  <si>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</si>
  <si>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</si>
  <si>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</si>
  <si>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</si>
  <si>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</si>
  <si>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</si>
  <si>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</si>
  <si>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</si>
  <si>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</si>
  <si>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</si>
  <si>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</si>
  <si>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</si>
  <si>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</si>
  <si>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</si>
  <si>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</si>
  <si>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</si>
  <si>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</si>
  <si>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</si>
  <si>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</si>
  <si>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</si>
  <si>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</si>
  <si>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</si>
  <si>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</si>
  <si>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</si>
  <si>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</si>
  <si>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</si>
  <si>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</si>
  <si>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</si>
  <si>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</si>
  <si>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</si>
  <si>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</si>
  <si>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</si>
  <si>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</si>
  <si>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</si>
  <si>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</si>
  <si>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</si>
  <si>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</si>
  <si>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</si>
  <si>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</si>
  <si>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</si>
  <si>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</si>
  <si>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</si>
  <si>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</si>
  <si>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</si>
  <si>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</si>
  <si>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</si>
  <si>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</si>
  <si>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</si>
  <si>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</si>
  <si>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</si>
  <si>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</si>
  <si>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</si>
  <si>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</si>
  <si>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</si>
  <si>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</si>
  <si>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</si>
  <si>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</si>
  <si>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</si>
  <si>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</si>
  <si>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</si>
  <si>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</si>
  <si>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</si>
  <si>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</si>
  <si>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</si>
  <si>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</si>
  <si>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</si>
  <si>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</si>
  <si>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</si>
  <si>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</si>
  <si>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</si>
  <si>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</si>
  <si>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</si>
  <si>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</si>
  <si>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</si>
  <si>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</si>
  <si>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</si>
  <si>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</si>
  <si>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</si>
  <si>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</si>
  <si>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</si>
  <si>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</si>
  <si>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</si>
  <si>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</si>
  <si>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</si>
  <si>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</si>
  <si>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</si>
  <si>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</si>
  <si>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</si>
  <si>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</si>
  <si>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</si>
  <si>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</si>
  <si>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</si>
  <si>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</si>
  <si>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</si>
  <si>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</si>
  <si>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</si>
  <si>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</si>
  <si>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</si>
  <si>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</si>
  <si>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</si>
  <si>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</si>
  <si>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</si>
  <si>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</si>
  <si>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</si>
  <si>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</si>
  <si>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</si>
  <si>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</si>
  <si>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</si>
  <si>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</si>
  <si>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</si>
  <si>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</si>
  <si>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</si>
  <si>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</si>
  <si>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</si>
  <si>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</si>
  <si>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</si>
  <si>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</si>
  <si>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</si>
  <si>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</si>
  <si>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</si>
  <si>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</si>
  <si>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</si>
  <si>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</si>
  <si>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</si>
  <si>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</si>
  <si>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</si>
  <si>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</si>
  <si>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</si>
  <si>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</si>
  <si>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</si>
  <si>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</si>
  <si>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</si>
  <si>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</si>
  <si>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</si>
  <si>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</si>
  <si>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</si>
  <si>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</si>
  <si>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</si>
  <si>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</si>
  <si>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</si>
  <si>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</si>
  <si>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</si>
  <si>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</si>
  <si>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</si>
  <si>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</si>
  <si>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</si>
  <si>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</si>
  <si>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</si>
  <si>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</si>
  <si>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</si>
  <si>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</si>
  <si>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</si>
  <si>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</si>
  <si>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</si>
  <si>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</si>
  <si>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</si>
  <si>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</si>
  <si>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</si>
  <si>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</si>
  <si>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</si>
  <si>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</si>
  <si>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</si>
  <si>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</si>
  <si>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</si>
  <si>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</si>
  <si>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</si>
  <si>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</si>
  <si>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</si>
  <si>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</si>
  <si>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</si>
  <si>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</si>
  <si>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</si>
  <si>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</si>
  <si>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</si>
  <si>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</si>
  <si>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</si>
  <si>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</si>
  <si>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</si>
  <si>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</si>
  <si>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</si>
  <si>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</si>
  <si>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</si>
  <si>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</si>
  <si>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</si>
  <si>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</si>
  <si>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</si>
  <si>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</si>
  <si>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</si>
  <si>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</si>
  <si>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</si>
  <si>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</si>
  <si>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</si>
  <si>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</si>
  <si>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</si>
  <si>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</si>
  <si>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</si>
  <si>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</si>
  <si>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</si>
  <si>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</si>
  <si>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</si>
  <si>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</si>
  <si>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</si>
  <si>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</si>
  <si>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</si>
  <si>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</si>
  <si>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</si>
  <si>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</si>
  <si>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</si>
  <si>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</si>
  <si>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</si>
  <si>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</si>
  <si>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</si>
  <si>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</si>
  <si>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</si>
  <si>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</si>
  <si>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</si>
  <si>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</si>
  <si>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</si>
  <si>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</si>
  <si>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</si>
  <si>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</si>
  <si>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</si>
  <si>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</si>
  <si>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</si>
  <si>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</si>
  <si>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</si>
  <si>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</si>
  <si>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</si>
  <si>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</si>
  <si>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</si>
  <si>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</si>
  <si>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</si>
  <si>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</si>
  <si>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</si>
  <si>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</si>
  <si>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</si>
  <si>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</si>
  <si>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</si>
  <si>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</si>
  <si>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</si>
  <si>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</si>
  <si>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</si>
  <si>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</si>
  <si>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</si>
  <si>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</si>
  <si>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</si>
  <si>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</si>
  <si>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</si>
  <si>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</si>
  <si>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</si>
  <si>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</si>
  <si>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</si>
  <si>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</si>
  <si>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</si>
  <si>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</si>
  <si>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</si>
  <si>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</si>
  <si>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</si>
  <si>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</si>
  <si>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</si>
  <si>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</si>
  <si>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</si>
  <si>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</si>
  <si>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</si>
  <si>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</si>
  <si>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</si>
  <si>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</si>
  <si>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</si>
  <si>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</si>
  <si>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</si>
  <si>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</si>
  <si>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</si>
  <si>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</si>
  <si>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</si>
  <si>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</si>
  <si>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</si>
  <si>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</si>
  <si>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</si>
  <si>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</si>
  <si>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</si>
  <si>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</si>
  <si>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</si>
  <si>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</si>
  <si>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</si>
  <si>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</si>
  <si>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</si>
  <si>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</si>
  <si>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</si>
  <si>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</si>
  <si>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</si>
  <si>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</si>
  <si>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</si>
  <si>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</si>
  <si>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</si>
  <si>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</si>
  <si>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</si>
  <si>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</si>
  <si>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</si>
  <si>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</si>
  <si>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</si>
  <si>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</si>
  <si>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</si>
  <si>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</si>
  <si>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</si>
  <si>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</si>
  <si>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</si>
  <si>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</si>
  <si>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</si>
  <si>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</si>
  <si>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</si>
  <si>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</si>
  <si>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</si>
  <si>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</si>
  <si>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</si>
  <si>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</si>
  <si>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</si>
  <si>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</si>
  <si>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</si>
  <si>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</si>
  <si>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</si>
  <si>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</si>
  <si>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</si>
  <si>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</si>
  <si>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</si>
  <si>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</si>
  <si>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</si>
  <si>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</si>
  <si>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</si>
  <si>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</si>
  <si>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</si>
  <si>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</si>
  <si>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</si>
  <si>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</si>
  <si>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</si>
  <si>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</si>
  <si>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</si>
  <si>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</si>
  <si>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</si>
  <si>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</si>
  <si>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</si>
  <si>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</si>
  <si>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</si>
  <si>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</si>
  <si>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</si>
  <si>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</si>
  <si>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</si>
  <si>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</si>
  <si>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</si>
  <si>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</si>
  <si>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</si>
  <si>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</si>
  <si>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</si>
  <si>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</si>
  <si>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</si>
  <si>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</si>
  <si>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</si>
  <si>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</si>
  <si>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</si>
  <si>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</si>
  <si>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</si>
  <si>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</si>
  <si>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</si>
  <si>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</si>
  <si>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</si>
  <si>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</si>
  <si>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</si>
  <si>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</si>
  <si>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</si>
  <si>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</si>
  <si>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</si>
  <si>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</si>
  <si>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</si>
  <si>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</si>
  <si>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</si>
  <si>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</si>
  <si>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</si>
  <si>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</si>
  <si>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</si>
  <si>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</si>
  <si>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</si>
  <si>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</si>
  <si>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</si>
  <si>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</si>
  <si>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</si>
  <si>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</si>
  <si>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</si>
  <si>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</si>
  <si>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</si>
  <si>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</si>
  <si>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</si>
  <si>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</si>
  <si>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</si>
  <si>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</si>
  <si>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</si>
  <si>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</si>
  <si>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</si>
  <si>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</si>
  <si>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</si>
  <si>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</si>
  <si>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</si>
  <si>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</si>
  <si>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</si>
  <si>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</si>
  <si>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</si>
  <si>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</si>
  <si>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</si>
  <si>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</si>
  <si>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</si>
  <si>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</si>
  <si>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</si>
  <si>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</si>
  <si>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</si>
  <si>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</si>
  <si>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</si>
  <si>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</si>
  <si>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</si>
  <si>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</si>
  <si>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</si>
  <si>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</si>
  <si>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</si>
  <si>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</si>
  <si>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</si>
  <si>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</si>
  <si>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</si>
  <si>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</si>
  <si>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</si>
  <si>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</si>
  <si>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</si>
  <si>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</si>
  <si>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</si>
  <si>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</si>
  <si>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</si>
  <si>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</si>
  <si>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</si>
  <si>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</si>
  <si>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</si>
  <si>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</si>
  <si>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</si>
  <si>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</si>
  <si>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</si>
  <si>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</si>
  <si>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</si>
  <si>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</si>
  <si>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</si>
  <si>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</si>
  <si>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</si>
  <si>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</si>
  <si>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</si>
  <si>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</si>
  <si>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</si>
  <si>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</si>
  <si>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</si>
  <si>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</si>
  <si>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</si>
  <si>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</si>
  <si>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</si>
  <si>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</si>
  <si>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</si>
  <si>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</si>
  <si>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</si>
  <si>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</si>
  <si>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</si>
  <si>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</si>
  <si>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</si>
  <si>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</si>
  <si>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</si>
  <si>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</si>
  <si>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</si>
  <si>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</si>
  <si>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</si>
  <si>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</si>
  <si>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</si>
  <si>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</si>
  <si>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</si>
  <si>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</si>
  <si>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</si>
  <si>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</si>
  <si>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</si>
  <si>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</si>
  <si>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</si>
  <si>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</si>
  <si>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</si>
  <si>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</si>
  <si>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</si>
  <si>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</si>
  <si>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</si>
  <si>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</si>
  <si>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</si>
  <si>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</si>
  <si>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</si>
  <si>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</si>
  <si>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</si>
  <si>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</si>
  <si>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</si>
  <si>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</si>
  <si>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</si>
  <si>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</si>
  <si>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</si>
  <si>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</si>
  <si>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</si>
  <si>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</si>
  <si>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</si>
  <si>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</si>
  <si>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</si>
  <si>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</si>
  <si>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</si>
  <si>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</si>
  <si>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</si>
  <si>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</si>
  <si>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</si>
  <si>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</si>
  <si>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</si>
  <si>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</si>
  <si>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</si>
  <si>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</si>
  <si>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</si>
  <si>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</si>
  <si>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</si>
  <si>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</si>
  <si>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</si>
  <si>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</si>
  <si>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</si>
  <si>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</si>
  <si>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</si>
  <si>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</si>
  <si>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</si>
  <si>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</si>
  <si>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</si>
  <si>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</si>
  <si>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</si>
  <si>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</si>
  <si>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</si>
  <si>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</si>
  <si>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</si>
  <si>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</si>
  <si>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</si>
  <si>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</si>
  <si>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</si>
  <si>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</si>
  <si>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</si>
  <si>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</si>
  <si>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</si>
  <si>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</si>
  <si>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</si>
  <si>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</si>
  <si>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</si>
  <si>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</si>
  <si>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</si>
  <si>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</si>
  <si>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</si>
  <si>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</si>
  <si>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</si>
  <si>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</si>
  <si>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</si>
  <si>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</si>
  <si>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</si>
  <si>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</si>
  <si>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</si>
  <si>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</si>
  <si>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</si>
  <si>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</si>
  <si>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</si>
  <si>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</si>
  <si>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</si>
  <si>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</si>
  <si>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</si>
  <si>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</si>
  <si>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</si>
  <si>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</si>
  <si>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</si>
  <si>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</si>
  <si>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</si>
  <si>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</si>
  <si>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</si>
  <si>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</si>
  <si>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</si>
  <si>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</si>
  <si>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</si>
  <si>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</si>
  <si>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</si>
  <si>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</si>
  <si>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</si>
  <si>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</si>
  <si>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</si>
  <si>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</si>
  <si>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</si>
  <si>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</si>
  <si>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</si>
  <si>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</si>
  <si>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</si>
  <si>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</si>
  <si>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</si>
  <si>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</si>
  <si>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</si>
  <si>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</si>
  <si>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</si>
  <si>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</si>
  <si>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</si>
  <si>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</si>
  <si>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</si>
  <si>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</si>
  <si>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</si>
  <si>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</si>
  <si>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</si>
  <si>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</si>
  <si>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</si>
  <si>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</si>
  <si>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</si>
  <si>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</si>
  <si>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</si>
  <si>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</si>
  <si>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</si>
  <si>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</si>
  <si>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</si>
  <si>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</si>
  <si>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</si>
  <si>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</si>
  <si>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</si>
  <si>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</si>
  <si>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</si>
  <si>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</si>
  <si>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</si>
  <si>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</si>
  <si>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</si>
  <si>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</si>
  <si>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</si>
  <si>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</si>
  <si>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</si>
  <si>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</si>
  <si>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</si>
  <si>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</si>
  <si>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</si>
  <si>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</si>
  <si>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</si>
  <si>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</si>
  <si>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</si>
  <si>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</si>
  <si>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</si>
  <si>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</si>
  <si>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</si>
  <si>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</si>
  <si>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</si>
  <si>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</si>
  <si>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</si>
  <si>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</si>
  <si>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</si>
  <si>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</si>
  <si>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</si>
  <si>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</si>
  <si>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</si>
  <si>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</si>
  <si>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</si>
  <si>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</si>
  <si>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</si>
  <si>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</si>
  <si>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</si>
  <si>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</si>
  <si>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</si>
  <si>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</si>
  <si>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</si>
  <si>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</si>
  <si>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</si>
  <si>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</si>
  <si>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</si>
  <si>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</si>
  <si>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</si>
  <si>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</si>
  <si>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</si>
  <si>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</si>
  <si>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</si>
  <si>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</si>
  <si>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</si>
  <si>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</si>
  <si>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</si>
  <si>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</si>
  <si>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</si>
  <si>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</si>
  <si>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</si>
  <si>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</si>
  <si>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</si>
  <si>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</si>
  <si>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</si>
  <si>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</si>
  <si>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</si>
  <si>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</si>
  <si>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</si>
  <si>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</si>
  <si>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</si>
  <si>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</si>
  <si>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</si>
  <si>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</si>
  <si>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</si>
  <si>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</si>
  <si>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</si>
  <si>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</si>
  <si>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</si>
  <si>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</si>
  <si>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</si>
  <si>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</si>
  <si>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</si>
  <si>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</si>
  <si>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</si>
  <si>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</si>
  <si>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</si>
  <si>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</si>
  <si>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</si>
  <si>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</si>
  <si>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</si>
  <si>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</si>
  <si>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</si>
  <si>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</si>
  <si>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</si>
  <si>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</si>
  <si>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</si>
  <si>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</si>
  <si>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</si>
  <si>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</si>
  <si>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</si>
  <si>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</si>
  <si>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</si>
  <si>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</si>
  <si>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</si>
  <si>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</si>
  <si>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</si>
  <si>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</si>
  <si>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</si>
  <si>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</si>
  <si>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</si>
  <si>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</si>
  <si>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</si>
  <si>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</si>
  <si>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</si>
  <si>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</si>
  <si>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</si>
  <si>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</si>
  <si>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</si>
  <si>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</si>
  <si>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</si>
  <si>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</si>
  <si>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</si>
  <si>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</si>
  <si>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</si>
  <si>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</si>
  <si>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</si>
  <si>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</si>
  <si>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</si>
  <si>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</si>
  <si>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</si>
  <si>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</si>
  <si>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</si>
  <si>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</si>
  <si>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</si>
  <si>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</si>
  <si>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</si>
  <si>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</si>
  <si>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</si>
  <si>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</si>
  <si>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</si>
  <si>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</si>
  <si>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</si>
  <si>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</si>
  <si>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</si>
  <si>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</si>
  <si>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</si>
  <si>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</si>
  <si>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</si>
  <si>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</si>
  <si>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</si>
  <si>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</si>
  <si>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</si>
  <si>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</si>
  <si>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</si>
  <si>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</si>
  <si>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</si>
  <si>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</si>
  <si>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</si>
  <si>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</si>
  <si>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</si>
  <si>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</si>
  <si>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</si>
  <si>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</si>
  <si>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</si>
  <si>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</si>
  <si>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</si>
  <si>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</si>
  <si>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</si>
  <si>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</si>
  <si>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</si>
  <si>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</si>
  <si>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</si>
  <si>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</si>
  <si>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</si>
  <si>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</si>
  <si>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</si>
  <si>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</si>
  <si>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</si>
  <si>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</si>
  <si>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</si>
  <si>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</si>
  <si>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</si>
  <si>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</si>
  <si>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</si>
  <si>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</si>
  <si>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</si>
  <si>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</si>
  <si>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</si>
  <si>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</si>
  <si>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</si>
  <si>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</si>
  <si>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</si>
  <si>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</si>
  <si>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</si>
  <si>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</si>
  <si>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</si>
  <si>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</si>
  <si>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</si>
  <si>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</si>
  <si>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</si>
  <si>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</si>
  <si>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</si>
  <si>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</si>
  <si>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</si>
  <si>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</si>
  <si>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</si>
  <si>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</si>
  <si>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</si>
  <si>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</si>
  <si>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</si>
  <si>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</si>
  <si>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</si>
  <si>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</si>
  <si>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</si>
  <si>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</si>
  <si>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</si>
  <si>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</si>
  <si>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</si>
  <si>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</si>
  <si>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</si>
  <si>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</si>
  <si>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</si>
  <si>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</si>
  <si>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</si>
  <si>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</si>
  <si>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</si>
  <si>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</si>
  <si>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</si>
  <si>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</si>
  <si>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</si>
  <si>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</si>
  <si>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</si>
  <si>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</si>
  <si>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</si>
  <si>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</si>
  <si>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</si>
  <si>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</si>
  <si>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</si>
  <si>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</si>
  <si>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</si>
  <si>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</si>
  <si>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</si>
  <si>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</si>
  <si>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</si>
  <si>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</si>
  <si>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</si>
  <si>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</si>
  <si>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</si>
  <si>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</si>
  <si>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</si>
  <si>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</si>
  <si>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</si>
  <si>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</si>
  <si>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</si>
  <si>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</si>
  <si>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</si>
  <si>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</si>
  <si>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</si>
  <si>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</si>
  <si>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</si>
  <si>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</si>
  <si>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</si>
  <si>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</si>
  <si>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</si>
  <si>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</si>
  <si>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</si>
  <si>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</si>
  <si>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</si>
  <si>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</si>
  <si>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</si>
  <si>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</si>
  <si>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</si>
  <si>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</si>
  <si>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</si>
  <si>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</si>
  <si>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</si>
  <si>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</si>
  <si>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</si>
  <si>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</si>
  <si>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</si>
  <si>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</si>
  <si>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</si>
  <si>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</si>
  <si>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</si>
  <si>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</si>
  <si>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</si>
  <si>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</si>
  <si>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</si>
  <si>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</si>
  <si>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</si>
  <si>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</si>
  <si>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</si>
  <si>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</si>
  <si>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</si>
  <si>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</si>
  <si>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</si>
  <si>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</si>
  <si>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</si>
  <si>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</si>
  <si>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</si>
  <si>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</si>
  <si>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</si>
  <si>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</si>
  <si>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</si>
  <si>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</si>
  <si>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</si>
  <si>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</si>
  <si>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</si>
  <si>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</si>
  <si>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</si>
  <si>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</si>
  <si>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</si>
  <si>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</si>
  <si>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</si>
  <si>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</si>
  <si>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</si>
  <si>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</si>
  <si>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</si>
  <si>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</si>
  <si>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</si>
  <si>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</si>
  <si>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</si>
  <si>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</si>
  <si>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</si>
  <si>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</si>
  <si>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</si>
  <si>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</si>
  <si>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</si>
  <si>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</si>
  <si>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</si>
  <si>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</si>
  <si>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</si>
  <si>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</si>
  <si>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</si>
  <si>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</si>
  <si>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</si>
  <si>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</si>
  <si>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</si>
  <si>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</si>
  <si>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</si>
  <si>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</si>
  <si>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</si>
  <si>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</si>
  <si>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</si>
  <si>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</si>
  <si>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</si>
  <si>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</si>
  <si>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</si>
  <si>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</si>
  <si>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</si>
  <si>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</si>
  <si>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</si>
  <si>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</si>
  <si>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</si>
  <si>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</si>
  <si>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</si>
  <si>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</si>
  <si>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</si>
  <si>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</si>
  <si>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</si>
  <si>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</si>
  <si>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</si>
  <si>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</si>
  <si>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</si>
  <si>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</si>
  <si>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</si>
  <si>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</si>
  <si>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</si>
  <si>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</si>
  <si>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</si>
  <si>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</si>
  <si>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</si>
  <si>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</si>
  <si>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</si>
  <si>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</si>
  <si>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</si>
  <si>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</si>
  <si>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</si>
  <si>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</si>
  <si>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</si>
  <si>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</si>
  <si>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</si>
  <si>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</si>
  <si>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</si>
  <si>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</si>
  <si>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</si>
  <si>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</si>
  <si>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</si>
  <si>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</si>
  <si>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</si>
  <si>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</si>
  <si>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</si>
  <si>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</si>
  <si>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</si>
  <si>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</si>
  <si>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</si>
  <si>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</si>
  <si>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</si>
  <si>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</si>
  <si>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</si>
  <si>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</si>
  <si>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</si>
  <si>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</si>
  <si>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</si>
  <si>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</si>
  <si>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</si>
  <si>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</si>
  <si>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</si>
  <si>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</si>
  <si>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</si>
  <si>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</si>
  <si>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</si>
  <si>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</si>
  <si>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</si>
  <si>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</si>
  <si>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</si>
  <si>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</si>
  <si>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</si>
  <si>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</si>
  <si>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</si>
  <si>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</si>
  <si>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</si>
  <si>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</si>
  <si>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</si>
  <si>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</si>
  <si>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</si>
  <si>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</si>
  <si>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</si>
  <si>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</si>
  <si>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</si>
  <si>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</si>
  <si>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</si>
  <si>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</si>
  <si>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</si>
  <si>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</si>
  <si>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</si>
  <si>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</si>
  <si>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</si>
  <si>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</si>
  <si>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</si>
  <si>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</si>
  <si>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</si>
  <si>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</si>
  <si>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</si>
  <si>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</si>
  <si>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</si>
  <si>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</si>
  <si>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</si>
  <si>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</si>
  <si>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</si>
  <si>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</si>
  <si>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</si>
  <si>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</si>
  <si>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</si>
  <si>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</si>
  <si>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</si>
  <si>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</si>
  <si>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</si>
  <si>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</si>
  <si>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</si>
  <si>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</si>
  <si>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</si>
  <si>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</si>
  <si>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</si>
  <si>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</si>
  <si>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</si>
  <si>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</si>
  <si>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</si>
  <si>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</si>
  <si>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</si>
  <si>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</si>
  <si>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</si>
  <si>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</si>
  <si>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</si>
  <si>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</si>
  <si>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</si>
  <si>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</si>
  <si>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</si>
  <si>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</si>
  <si>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</si>
  <si>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</si>
  <si>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</si>
  <si>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</si>
  <si>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</si>
  <si>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</si>
  <si>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</si>
  <si>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</si>
  <si>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</si>
  <si>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</si>
  <si>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</si>
  <si>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</si>
  <si>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</si>
  <si>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</si>
  <si>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</si>
  <si>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</si>
  <si>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</si>
  <si>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</si>
  <si>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</si>
  <si>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</si>
  <si>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</si>
  <si>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</si>
  <si>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</si>
  <si>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</si>
  <si>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</si>
  <si>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</si>
  <si>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</si>
  <si>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</si>
  <si>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</si>
  <si>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</si>
  <si>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</si>
  <si>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</si>
  <si>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</si>
  <si>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</si>
  <si>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</si>
  <si>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</si>
  <si>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</si>
  <si>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</si>
  <si>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</si>
  <si>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</si>
  <si>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</si>
  <si>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</si>
  <si>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</si>
  <si>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</si>
  <si>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</si>
  <si>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</si>
  <si>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</si>
  <si>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</si>
  <si>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</si>
  <si>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</si>
  <si>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</si>
  <si>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</si>
  <si>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</si>
  <si>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</si>
  <si>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</si>
  <si>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</si>
  <si>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</si>
  <si>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</si>
  <si>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</si>
  <si>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</si>
  <si>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</si>
  <si>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</si>
  <si>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</si>
  <si>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</si>
  <si>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</si>
  <si>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</si>
  <si>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</si>
  <si>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</si>
  <si>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</si>
  <si>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</si>
  <si>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</si>
  <si>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</si>
  <si>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</si>
  <si>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</si>
  <si>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</si>
  <si>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</si>
  <si>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</si>
  <si>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</si>
  <si>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</si>
  <si>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</si>
  <si>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</si>
  <si>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</si>
  <si>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</si>
  <si>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</si>
  <si>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</si>
  <si>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</si>
  <si>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</si>
  <si>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</si>
  <si>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</si>
  <si>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</si>
  <si>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</si>
  <si>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</si>
  <si>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</si>
  <si>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</si>
  <si>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</si>
  <si>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</si>
  <si>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</si>
  <si>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</si>
  <si>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</si>
  <si>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</si>
  <si>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</si>
  <si>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</si>
  <si>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</si>
  <si>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</si>
  <si>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</si>
  <si>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</si>
  <si>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</si>
  <si>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</si>
  <si>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</si>
  <si>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</si>
  <si>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</si>
  <si>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</si>
  <si>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</si>
  <si>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</si>
  <si>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</si>
  <si>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</si>
  <si>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</si>
  <si>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</si>
  <si>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</si>
  <si>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</si>
  <si>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</si>
  <si>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</si>
  <si>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</si>
  <si>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</si>
  <si>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</si>
  <si>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</si>
  <si>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</si>
  <si>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</si>
  <si>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</si>
  <si>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</si>
  <si>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</si>
  <si>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</si>
  <si>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</si>
  <si>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</si>
  <si>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</si>
  <si>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</si>
  <si>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</si>
  <si>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</si>
  <si>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</si>
  <si>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</si>
  <si>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</si>
  <si>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</si>
  <si>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</si>
  <si>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</si>
  <si>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</si>
  <si>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</si>
  <si>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</si>
  <si>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</si>
  <si>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</si>
  <si>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</si>
  <si>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</si>
  <si>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</si>
  <si>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</si>
  <si>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</si>
  <si>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</si>
  <si>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</si>
  <si>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</si>
  <si>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</si>
  <si>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</si>
  <si>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</si>
  <si>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</si>
  <si>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</si>
  <si>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</si>
  <si>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</si>
  <si>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</si>
  <si>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</si>
  <si>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</si>
  <si>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</si>
  <si>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</si>
  <si>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</si>
  <si>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</si>
  <si>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</si>
  <si>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</si>
  <si>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</si>
  <si>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</si>
  <si>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</si>
  <si>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</si>
  <si>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</si>
  <si>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</si>
  <si>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</si>
  <si>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</si>
  <si>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</si>
  <si>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</si>
  <si>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</si>
  <si>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</si>
  <si>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</si>
  <si>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</si>
  <si>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</si>
  <si>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</si>
  <si>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</si>
  <si>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</si>
  <si>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</si>
  <si>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</si>
  <si>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</si>
  <si>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</si>
  <si>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</si>
  <si>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</si>
  <si>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</si>
  <si>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</si>
  <si>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</si>
  <si>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</si>
  <si>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</si>
  <si>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</si>
  <si>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</si>
  <si>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</si>
  <si>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</si>
  <si>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</si>
  <si>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</si>
  <si>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</si>
  <si>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</si>
  <si>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</si>
  <si>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</si>
  <si>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</si>
  <si>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</si>
  <si>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</si>
  <si>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</si>
  <si>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</si>
  <si>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</si>
  <si>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</si>
  <si>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</si>
  <si>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</si>
  <si>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</si>
  <si>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</si>
  <si>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</si>
  <si>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</si>
  <si>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</si>
  <si>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</si>
  <si>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</si>
  <si>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</si>
  <si>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</si>
  <si>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</si>
  <si>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</si>
  <si>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</si>
  <si>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</si>
  <si>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</si>
  <si>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</si>
  <si>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</si>
  <si>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</si>
  <si>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</si>
  <si>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</si>
  <si>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</si>
  <si>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</si>
  <si>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</si>
  <si>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</si>
  <si>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</si>
  <si>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</si>
  <si>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</si>
  <si>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</si>
  <si>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</si>
  <si>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</si>
  <si>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</si>
  <si>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</si>
  <si>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</si>
  <si>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</si>
  <si>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</si>
  <si>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</si>
  <si>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</si>
  <si>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</si>
  <si>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</si>
  <si>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</si>
  <si>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</si>
  <si>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</si>
  <si>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</si>
  <si>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</si>
  <si>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</si>
  <si>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</si>
  <si>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</si>
  <si>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</si>
  <si>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</si>
  <si>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</si>
  <si>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</si>
  <si>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</si>
  <si>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</si>
  <si>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</si>
  <si>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</si>
  <si>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</si>
  <si>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</si>
  <si>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</si>
  <si>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</si>
  <si>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</si>
  <si>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</si>
  <si>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</si>
  <si>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BENJAMIN PINO- CONBES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</si>
  <si>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</si>
  <si>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</si>
  <si>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</si>
  <si>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</si>
  <si>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</si>
  <si>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</si>
  <si>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</si>
  <si>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</si>
  <si>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</si>
  <si>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</si>
  <si>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</si>
  <si>
    <t>MARCO ZUÑIGA</t>
  </si>
  <si>
    <t xml:space="preserve">CARLOS AGUILERA </t>
  </si>
  <si>
    <t>VICENTE PINO</t>
  </si>
  <si>
    <t xml:space="preserve">ESMALTE ALQUIDICIO ESTRUC. RAL:3020 ROJO ( GALON) </t>
  </si>
  <si>
    <t xml:space="preserve">ESMALTE ALQUIDICIO ESTRUCTURAL NEGRO GALON </t>
  </si>
  <si>
    <t>OLEO SEMIBRILLO INDUST. GRIS CLARO TFA (TINETA 4 GALONES)</t>
  </si>
  <si>
    <t>CRISTIAN ELGUETA -ICG</t>
  </si>
  <si>
    <t>TIEMPO PROYECTADO</t>
  </si>
  <si>
    <t>TIEMPO REAL</t>
  </si>
  <si>
    <t>N SERIE</t>
  </si>
  <si>
    <t>ESTADO PISO</t>
  </si>
  <si>
    <t>FECHA PISO (INICIO)</t>
  </si>
  <si>
    <t>ESTADO MEMBRANA CIELO</t>
  </si>
  <si>
    <t>FECHA MEMBRANA CIELO (SALIDA GALPON)</t>
  </si>
  <si>
    <t>2026-03-16</t>
  </si>
  <si>
    <t>2026-04-06</t>
  </si>
  <si>
    <t>2026-03-19</t>
  </si>
  <si>
    <t>2026-04-15</t>
  </si>
  <si>
    <t>2026-03-18</t>
  </si>
  <si>
    <t>2026-03-12</t>
  </si>
  <si>
    <t>2026-04-07</t>
  </si>
  <si>
    <t>2026-03-23</t>
  </si>
  <si>
    <t>2026-03-24</t>
  </si>
  <si>
    <t>2026-04-14</t>
  </si>
  <si>
    <t>2026-03-25</t>
  </si>
  <si>
    <t>2026-04-24</t>
  </si>
  <si>
    <t>2026-02-17</t>
  </si>
  <si>
    <t>2026-02-20</t>
  </si>
  <si>
    <t>2026-03-03</t>
  </si>
  <si>
    <t>2026-03-06</t>
  </si>
  <si>
    <t>2026-02-25</t>
  </si>
  <si>
    <t>2026-03-09</t>
  </si>
  <si>
    <t>2026-04-02</t>
  </si>
  <si>
    <t>2026-02-19</t>
  </si>
  <si>
    <t>2026-03-05</t>
  </si>
  <si>
    <t>2026-02-23</t>
  </si>
  <si>
    <t>2026-02-26</t>
  </si>
  <si>
    <t>2026-03-27</t>
  </si>
  <si>
    <t>2026-02-27</t>
  </si>
  <si>
    <t>2026-03-13</t>
  </si>
  <si>
    <t>2026-03-04</t>
  </si>
  <si>
    <t>2026-03-17</t>
  </si>
  <si>
    <t>2026-03-10</t>
  </si>
  <si>
    <t>2026-04-13</t>
  </si>
  <si>
    <t>2026-04-01</t>
  </si>
  <si>
    <t>2026-04-11</t>
  </si>
  <si>
    <t>2026-03-30</t>
  </si>
  <si>
    <t>2026-03-31</t>
  </si>
  <si>
    <t>2026-04-22</t>
  </si>
  <si>
    <t>2026-04-16</t>
  </si>
  <si>
    <t>2026-04-21</t>
  </si>
  <si>
    <t>2026-04-10</t>
  </si>
  <si>
    <t>2026-05-03</t>
  </si>
  <si>
    <t>2026-05-02</t>
  </si>
  <si>
    <t>2026-04-29</t>
  </si>
  <si>
    <t>2026-04-23</t>
  </si>
  <si>
    <t>2026-04-12</t>
  </si>
  <si>
    <t>2026-04-17</t>
  </si>
  <si>
    <t>2026-05-15</t>
  </si>
  <si>
    <t>2026-05-06</t>
  </si>
  <si>
    <t>2026-05-11</t>
  </si>
  <si>
    <t>2026-04-20</t>
  </si>
  <si>
    <t>2026-05-07</t>
  </si>
  <si>
    <t>2026-05-04</t>
  </si>
  <si>
    <t>2026-04-28</t>
  </si>
  <si>
    <t>2026-05-12</t>
  </si>
  <si>
    <t>2026-05-08</t>
  </si>
  <si>
    <t>2026-04-27</t>
  </si>
  <si>
    <t>2026-05-14</t>
  </si>
  <si>
    <t>2026-05-16</t>
  </si>
  <si>
    <t>2026-05-19</t>
  </si>
  <si>
    <t>2026-05-05</t>
  </si>
  <si>
    <t>2026-05-18</t>
  </si>
  <si>
    <t>2026-05-27</t>
  </si>
  <si>
    <t>2026-05-20</t>
  </si>
  <si>
    <t>2026-05-25</t>
  </si>
  <si>
    <t>2026-05-26</t>
  </si>
  <si>
    <t>2026-06-01</t>
  </si>
  <si>
    <t>2026-05-29</t>
  </si>
  <si>
    <t>2026-06-03</t>
  </si>
  <si>
    <t>2026-06-08</t>
  </si>
  <si>
    <t>2026-06-04</t>
  </si>
  <si>
    <t>2026-06-10</t>
  </si>
  <si>
    <t>2026-06-09</t>
  </si>
  <si>
    <t>2026-06-05</t>
  </si>
  <si>
    <t>2026-06-11</t>
  </si>
  <si>
    <t>2026-06-12</t>
  </si>
  <si>
    <t>2026-06-15</t>
  </si>
  <si>
    <t>2026-06-16</t>
  </si>
  <si>
    <t>2026-06-17</t>
  </si>
  <si>
    <t>2026-06-18</t>
  </si>
  <si>
    <t>2026-06-25</t>
  </si>
  <si>
    <t>Pendiente</t>
  </si>
  <si>
    <t>2026-06-22</t>
  </si>
  <si>
    <t>2026-06-24</t>
  </si>
  <si>
    <t>2026-07-02</t>
  </si>
  <si>
    <t>2026-06-19</t>
  </si>
  <si>
    <t>2026-06-30</t>
  </si>
  <si>
    <t>2026-06-26</t>
  </si>
  <si>
    <t>2026-06-23</t>
  </si>
  <si>
    <t>2026-07-03</t>
  </si>
  <si>
    <t>2026-07-01</t>
  </si>
  <si>
    <t>2026-07-07</t>
  </si>
  <si>
    <t>2026-07-08</t>
  </si>
  <si>
    <t>2026-07-06</t>
  </si>
  <si>
    <t>2026-07-10</t>
  </si>
  <si>
    <t>2026-07-09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</si>
</sst>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6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/>
    </xf>
    <xf numFmtId="167" fontId="0" fillId="0" borderId="0" xfId="0" applyNumberFormat="1" applyFill="1"/>
    <xf numFmtId="9" fontId="0" fillId="0" borderId="0" xfId="0" applyNumberFormat="1" applyFill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39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166" formatCode="_-* #,##0.00_-;\-* #,##0.00_-;_-* &quot;-&quot;??_-;_-@_-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7.xml"/><Relationship Id="rId39" Type="http://schemas.openxmlformats.org/officeDocument/2006/relationships/styles" Target="styles.xml"/><Relationship Id="rId21" Type="http://schemas.openxmlformats.org/officeDocument/2006/relationships/pivotCacheDefinition" Target="pivotCache/pivotCacheDefinition2.xml"/><Relationship Id="rId34" Type="http://schemas.microsoft.com/office/2007/relationships/slicerCache" Target="slicerCaches/slicerCache8.xml"/><Relationship Id="rId42" Type="http://schemas.openxmlformats.org/officeDocument/2006/relationships/customXml" Target="../customXml/item1.xml"/><Relationship Id="rId47" Type="http://schemas.openxmlformats.org/officeDocument/2006/relationships/customXml" Target="../customXml/item6.xml"/><Relationship Id="rId50" Type="http://schemas.openxmlformats.org/officeDocument/2006/relationships/customXml" Target="../customXml/item9.xml"/><Relationship Id="rId55" Type="http://schemas.openxmlformats.org/officeDocument/2006/relationships/customXml" Target="../customXml/item14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3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5.xml"/><Relationship Id="rId32" Type="http://schemas.microsoft.com/office/2007/relationships/slicerCache" Target="slicerCaches/slicerCache6.xml"/><Relationship Id="rId37" Type="http://schemas.openxmlformats.org/officeDocument/2006/relationships/theme" Target="theme/theme1.xml"/><Relationship Id="rId40" Type="http://schemas.openxmlformats.org/officeDocument/2006/relationships/sharedStrings" Target="sharedStrings.xml"/><Relationship Id="rId45" Type="http://schemas.openxmlformats.org/officeDocument/2006/relationships/customXml" Target="../customXml/item4.xml"/><Relationship Id="rId53" Type="http://schemas.openxmlformats.org/officeDocument/2006/relationships/customXml" Target="../customXml/item12.xml"/><Relationship Id="rId58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20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microsoft.com/office/2007/relationships/slicerCache" Target="slicerCaches/slicerCache1.xml"/><Relationship Id="rId30" Type="http://schemas.microsoft.com/office/2007/relationships/slicerCache" Target="slicerCaches/slicerCache4.xml"/><Relationship Id="rId35" Type="http://schemas.microsoft.com/office/2007/relationships/slicerCache" Target="slicerCaches/slicerCache9.xml"/><Relationship Id="rId43" Type="http://schemas.openxmlformats.org/officeDocument/2006/relationships/customXml" Target="../customXml/item2.xml"/><Relationship Id="rId48" Type="http://schemas.openxmlformats.org/officeDocument/2006/relationships/customXml" Target="../customXml/item7.xml"/><Relationship Id="rId56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6.xml"/><Relationship Id="rId33" Type="http://schemas.microsoft.com/office/2007/relationships/slicerCache" Target="slicerCaches/slicerCache7.xml"/><Relationship Id="rId38" Type="http://schemas.openxmlformats.org/officeDocument/2006/relationships/connections" Target="connections.xml"/><Relationship Id="rId46" Type="http://schemas.openxmlformats.org/officeDocument/2006/relationships/customXml" Target="../customXml/item5.xml"/><Relationship Id="rId59" Type="http://schemas.openxmlformats.org/officeDocument/2006/relationships/customXml" Target="../customXml/item18.xml"/><Relationship Id="rId20" Type="http://schemas.openxmlformats.org/officeDocument/2006/relationships/pivotCacheDefinition" Target="pivotCache/pivotCacheDefinition1.xml"/><Relationship Id="rId41" Type="http://schemas.openxmlformats.org/officeDocument/2006/relationships/calcChain" Target="calcChain.xml"/><Relationship Id="rId54" Type="http://schemas.openxmlformats.org/officeDocument/2006/relationships/customXml" Target="../customXml/item13.xml"/><Relationship Id="rId62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4.xml"/><Relationship Id="rId28" Type="http://schemas.microsoft.com/office/2007/relationships/slicerCache" Target="slicerCaches/slicerCache2.xml"/><Relationship Id="rId36" Type="http://schemas.microsoft.com/office/2011/relationships/timelineCache" Target="timelineCaches/timelineCache1.xml"/><Relationship Id="rId49" Type="http://schemas.openxmlformats.org/officeDocument/2006/relationships/customXml" Target="../customXml/item8.xml"/><Relationship Id="rId57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5.xml"/><Relationship Id="rId44" Type="http://schemas.openxmlformats.org/officeDocument/2006/relationships/customXml" Target="../customXml/item3.xml"/><Relationship Id="rId52" Type="http://schemas.openxmlformats.org/officeDocument/2006/relationships/customXml" Target="../customXml/item11.xml"/><Relationship Id="rId60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0.20764204545454532</c:v>
                </c:pt>
                <c:pt idx="1">
                  <c:v>0.79235795454545466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COMPRAS'!$C$4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COMPRAS'!$C$5</c:f>
              <c:numCache>
                <c:formatCode>"$"#,##0;\-"$"#,##0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COMPRAS'!$D$4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COMPRAS'!$D$5</c:f>
              <c:numCache>
                <c:formatCode>"$"#,##0;\-"$"#,##0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2.90257587389560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0CF-4CF2-8C67-5620724584E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COMPRAS'!$C$49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COMPRAS'!$C$91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COMPRAS'!$C$91</c:f>
              <c:numCache>
                <c:formatCode>"$"#,##0;\-"$"#,##0</c:formatCode>
                <c:ptCount val="1"/>
                <c:pt idx="0">
                  <c:v>8735605.4357000012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COMPRAS'!$C$275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COMPRAS'!$D$275</c:f>
              <c:numCache>
                <c:formatCode>"$"#,##0;\-"$"#,##0</c:formatCode>
                <c:ptCount val="1"/>
                <c:pt idx="0">
                  <c:v>10231.493994736842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0.20764204545454532</c:v>
                </c:pt>
                <c:pt idx="1">
                  <c:v>0.79235795454545466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FISICO'!$G$4:$G$10</c:f>
              <c:numCache>
                <c:formatCode>General</c:formatCode>
                <c:ptCount val="6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FISICO'!$H$4:$H$10</c:f>
              <c:numCache>
                <c:formatCode>General</c:formatCode>
                <c:ptCount val="6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6</c:v>
                </c:pt>
                <c:pt idx="1">
                  <c:v>8</c:v>
                </c:pt>
                <c:pt idx="2">
                  <c:v>8</c:v>
                </c:pt>
                <c:pt idx="3">
                  <c:v>11</c:v>
                </c:pt>
                <c:pt idx="4">
                  <c:v>11</c:v>
                </c:pt>
                <c:pt idx="5">
                  <c:v>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FISICO'!$C$4:$C$66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704</c:v>
                </c:pt>
                <c:pt idx="32">
                  <c:v>704</c:v>
                </c:pt>
                <c:pt idx="33">
                  <c:v>704</c:v>
                </c:pt>
                <c:pt idx="34">
                  <c:v>704</c:v>
                </c:pt>
                <c:pt idx="35">
                  <c:v>704</c:v>
                </c:pt>
                <c:pt idx="36">
                  <c:v>704</c:v>
                </c:pt>
                <c:pt idx="37">
                  <c:v>704</c:v>
                </c:pt>
                <c:pt idx="38">
                  <c:v>704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FISICO'!$D$4:$D$66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160</c:v>
                </c:pt>
                <c:pt idx="32">
                  <c:v>160</c:v>
                </c:pt>
                <c:pt idx="33">
                  <c:v>160</c:v>
                </c:pt>
                <c:pt idx="34">
                  <c:v>160</c:v>
                </c:pt>
                <c:pt idx="35">
                  <c:v>160</c:v>
                </c:pt>
                <c:pt idx="36">
                  <c:v>160</c:v>
                </c:pt>
                <c:pt idx="37">
                  <c:v>160</c:v>
                </c:pt>
                <c:pt idx="38">
                  <c:v>160</c:v>
                </c:pt>
                <c:pt idx="39">
                  <c:v>160</c:v>
                </c:pt>
                <c:pt idx="40">
                  <c:v>160</c:v>
                </c:pt>
                <c:pt idx="41">
                  <c:v>160</c:v>
                </c:pt>
                <c:pt idx="42">
                  <c:v>160</c:v>
                </c:pt>
                <c:pt idx="43">
                  <c:v>160</c:v>
                </c:pt>
                <c:pt idx="44">
                  <c:v>160</c:v>
                </c:pt>
                <c:pt idx="45">
                  <c:v>160</c:v>
                </c:pt>
                <c:pt idx="46">
                  <c:v>160</c:v>
                </c:pt>
                <c:pt idx="47">
                  <c:v>160</c:v>
                </c:pt>
                <c:pt idx="48">
                  <c:v>160</c:v>
                </c:pt>
                <c:pt idx="49">
                  <c:v>160</c:v>
                </c:pt>
                <c:pt idx="50">
                  <c:v>160</c:v>
                </c:pt>
                <c:pt idx="51">
                  <c:v>160</c:v>
                </c:pt>
                <c:pt idx="52">
                  <c:v>160</c:v>
                </c:pt>
                <c:pt idx="53">
                  <c:v>160</c:v>
                </c:pt>
                <c:pt idx="54">
                  <c:v>160</c:v>
                </c:pt>
                <c:pt idx="55">
                  <c:v>160</c:v>
                </c:pt>
                <c:pt idx="56">
                  <c:v>160</c:v>
                </c:pt>
                <c:pt idx="57">
                  <c:v>160</c:v>
                </c:pt>
                <c:pt idx="58">
                  <c:v>160</c:v>
                </c:pt>
                <c:pt idx="59">
                  <c:v>160</c:v>
                </c:pt>
                <c:pt idx="60">
                  <c:v>160</c:v>
                </c:pt>
                <c:pt idx="61">
                  <c:v>160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FISICO'!$C$504:$C$566</c:f>
              <c:numCache>
                <c:formatCode>General</c:formatCode>
                <c:ptCount val="62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26</c:v>
                </c:pt>
                <c:pt idx="7">
                  <c:v>28</c:v>
                </c:pt>
                <c:pt idx="8">
                  <c:v>29</c:v>
                </c:pt>
                <c:pt idx="9">
                  <c:v>30</c:v>
                </c:pt>
                <c:pt idx="10">
                  <c:v>33</c:v>
                </c:pt>
                <c:pt idx="11">
                  <c:v>35</c:v>
                </c:pt>
                <c:pt idx="12">
                  <c:v>38</c:v>
                </c:pt>
                <c:pt idx="13">
                  <c:v>39</c:v>
                </c:pt>
                <c:pt idx="14">
                  <c:v>39</c:v>
                </c:pt>
                <c:pt idx="15">
                  <c:v>39</c:v>
                </c:pt>
                <c:pt idx="16">
                  <c:v>41</c:v>
                </c:pt>
                <c:pt idx="17">
                  <c:v>41</c:v>
                </c:pt>
                <c:pt idx="18">
                  <c:v>42</c:v>
                </c:pt>
                <c:pt idx="19">
                  <c:v>43</c:v>
                </c:pt>
                <c:pt idx="20">
                  <c:v>47</c:v>
                </c:pt>
                <c:pt idx="21">
                  <c:v>47</c:v>
                </c:pt>
                <c:pt idx="22">
                  <c:v>47</c:v>
                </c:pt>
                <c:pt idx="23">
                  <c:v>48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52</c:v>
                </c:pt>
                <c:pt idx="28">
                  <c:v>52</c:v>
                </c:pt>
                <c:pt idx="29">
                  <c:v>52</c:v>
                </c:pt>
                <c:pt idx="30">
                  <c:v>52</c:v>
                </c:pt>
                <c:pt idx="31">
                  <c:v>693</c:v>
                </c:pt>
                <c:pt idx="32">
                  <c:v>696</c:v>
                </c:pt>
                <c:pt idx="33">
                  <c:v>696</c:v>
                </c:pt>
                <c:pt idx="34">
                  <c:v>696</c:v>
                </c:pt>
                <c:pt idx="35">
                  <c:v>698</c:v>
                </c:pt>
                <c:pt idx="36">
                  <c:v>699</c:v>
                </c:pt>
                <c:pt idx="37">
                  <c:v>700</c:v>
                </c:pt>
                <c:pt idx="38">
                  <c:v>702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FISICO'!$D$504:$D$566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109</c:v>
                </c:pt>
                <c:pt idx="32">
                  <c:v>109</c:v>
                </c:pt>
                <c:pt idx="33">
                  <c:v>109</c:v>
                </c:pt>
                <c:pt idx="34">
                  <c:v>109</c:v>
                </c:pt>
                <c:pt idx="35">
                  <c:v>109</c:v>
                </c:pt>
                <c:pt idx="36">
                  <c:v>109</c:v>
                </c:pt>
                <c:pt idx="37">
                  <c:v>109</c:v>
                </c:pt>
                <c:pt idx="38">
                  <c:v>109</c:v>
                </c:pt>
                <c:pt idx="39">
                  <c:v>109</c:v>
                </c:pt>
                <c:pt idx="40">
                  <c:v>109</c:v>
                </c:pt>
                <c:pt idx="41">
                  <c:v>109</c:v>
                </c:pt>
                <c:pt idx="42">
                  <c:v>109</c:v>
                </c:pt>
                <c:pt idx="43">
                  <c:v>109</c:v>
                </c:pt>
                <c:pt idx="44">
                  <c:v>109</c:v>
                </c:pt>
                <c:pt idx="45">
                  <c:v>109</c:v>
                </c:pt>
                <c:pt idx="46">
                  <c:v>109</c:v>
                </c:pt>
                <c:pt idx="47">
                  <c:v>109</c:v>
                </c:pt>
                <c:pt idx="48">
                  <c:v>109</c:v>
                </c:pt>
                <c:pt idx="49">
                  <c:v>109</c:v>
                </c:pt>
                <c:pt idx="50">
                  <c:v>109</c:v>
                </c:pt>
                <c:pt idx="51">
                  <c:v>109</c:v>
                </c:pt>
                <c:pt idx="52">
                  <c:v>109</c:v>
                </c:pt>
                <c:pt idx="53">
                  <c:v>109</c:v>
                </c:pt>
                <c:pt idx="54">
                  <c:v>109</c:v>
                </c:pt>
                <c:pt idx="55">
                  <c:v>109</c:v>
                </c:pt>
                <c:pt idx="56">
                  <c:v>109</c:v>
                </c:pt>
                <c:pt idx="57">
                  <c:v>109</c:v>
                </c:pt>
                <c:pt idx="58">
                  <c:v>109</c:v>
                </c:pt>
                <c:pt idx="59">
                  <c:v>109</c:v>
                </c:pt>
                <c:pt idx="60">
                  <c:v>109</c:v>
                </c:pt>
                <c:pt idx="61">
                  <c:v>109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0.14460000000000001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3065.9934696487412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1099.3312771464261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0.14120491602596122</c:v>
                </c:pt>
                <c:pt idx="1">
                  <c:v>0.85879508397403881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CONSUMO'!$B$755:$B$767</c:f>
              <c:strCache>
                <c:ptCount val="12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  <c:pt idx="9">
                  <c:v>11-07-2026</c:v>
                </c:pt>
                <c:pt idx="10">
                  <c:v>20-07-2026</c:v>
                </c:pt>
                <c:pt idx="11">
                  <c:v>27-07-2026</c:v>
                </c:pt>
              </c:strCache>
            </c:strRef>
          </c:cat>
          <c:val>
            <c:numRef>
              <c:f>'HOME CONSUMO'!$C$755:$C$767</c:f>
              <c:numCache>
                <c:formatCode>General</c:formatCode>
                <c:ptCount val="12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  <c:pt idx="6">
                  <c:v>558</c:v>
                </c:pt>
                <c:pt idx="7">
                  <c:v>617</c:v>
                </c:pt>
                <c:pt idx="8">
                  <c:v>565</c:v>
                </c:pt>
                <c:pt idx="9">
                  <c:v>617</c:v>
                </c:pt>
                <c:pt idx="10">
                  <c:v>617</c:v>
                </c:pt>
                <c:pt idx="11">
                  <c:v>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CONSUMO'!$B$755:$B$767</c:f>
              <c:strCache>
                <c:ptCount val="12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  <c:pt idx="9">
                  <c:v>11-07-2026</c:v>
                </c:pt>
                <c:pt idx="10">
                  <c:v>20-07-2026</c:v>
                </c:pt>
                <c:pt idx="11">
                  <c:v>27-07-2026</c:v>
                </c:pt>
              </c:strCache>
            </c:strRef>
          </c:cat>
          <c:val>
            <c:numRef>
              <c:f>'HOME CONSUMO'!$D$755:$D$767</c:f>
              <c:numCache>
                <c:formatCode>General</c:formatCode>
                <c:ptCount val="12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  <c:pt idx="6">
                  <c:v>111.92743764172336</c:v>
                </c:pt>
                <c:pt idx="7">
                  <c:v>111.92743764172336</c:v>
                </c:pt>
                <c:pt idx="8">
                  <c:v>111.92743764172336</c:v>
                </c:pt>
                <c:pt idx="9">
                  <c:v>111.92743764172336</c:v>
                </c:pt>
                <c:pt idx="10">
                  <c:v>111.92743764172336</c:v>
                </c:pt>
                <c:pt idx="11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COMPRAS'!$C$4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COMPRAS'!$C$5</c:f>
              <c:numCache>
                <c:formatCode>"$"#,##0;\-"$"#,##0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COMPRAS'!$D$4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COMPRAS'!$D$5</c:f>
              <c:numCache>
                <c:formatCode>"$"#,##0;\-"$"#,##0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COMPRAS'!$C$49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COMPRAS'!$C$91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COMPRAS'!$C$91</c:f>
              <c:numCache>
                <c:formatCode>"$"#,##0;\-"$"#,##0</c:formatCode>
                <c:ptCount val="1"/>
                <c:pt idx="0">
                  <c:v>8735605.4357000012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COMPRAS'!$C$275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COMPRAS'!$D$275</c:f>
              <c:numCache>
                <c:formatCode>"$"#,##0;\-"$"#,##0</c:formatCode>
                <c:ptCount val="1"/>
                <c:pt idx="0">
                  <c:v>10231.493994736842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153759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8388925" y="1259935"/>
          <a:ext cx="3960756" cy="4876887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43146739" y="1287150"/>
          <a:ext cx="3960000" cy="4944923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207817</xdr:colOff>
      <xdr:row>6</xdr:row>
      <xdr:rowOff>90957</xdr:rowOff>
    </xdr:from>
    <xdr:to>
      <xdr:col>53</xdr:col>
      <xdr:colOff>357817</xdr:colOff>
      <xdr:row>80</xdr:row>
      <xdr:rowOff>14844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47790484" y="1233957"/>
          <a:ext cx="3960000" cy="4876887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8363071" y="6457018"/>
          <a:ext cx="3960756" cy="359866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52409802" y="1256224"/>
          <a:ext cx="3960000" cy="4876887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236"/>
            <a:chOff x="16410214" y="1455964"/>
            <a:chExt cx="3924131" cy="3924236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7971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   </a:t>
              </a:r>
              <a:fld id="{CBA62B05-3F9B-4730-9262-463DAB75247F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-0,87%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1436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        </a:t>
              </a:r>
              <a:fld id="{7B23CAA1-F9F4-433C-8F0E-9E0741A2289B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-$9.145.319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43061692" y="6534834"/>
          <a:ext cx="4112875" cy="368073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34996344" y="68967"/>
              <a:ext cx="0" cy="0"/>
              <a:chOff x="34996344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47848007" y="6463406"/>
          <a:ext cx="4105954" cy="3687524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35124193" y="1052737"/>
          <a:ext cx="2923646" cy="3124200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15,86%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298120</xdr:colOff>
      <xdr:row>16</xdr:row>
      <xdr:rowOff>12370</xdr:rowOff>
    </xdr:from>
    <xdr:to>
      <xdr:col>35</xdr:col>
      <xdr:colOff>631495</xdr:colOff>
      <xdr:row>83</xdr:row>
      <xdr:rowOff>168851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35149037" y="3060370"/>
          <a:ext cx="2804583" cy="3775981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3021819"/>
              <a:chOff x="16410214" y="1455964"/>
              <a:chExt cx="3924131" cy="3021819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38421"/>
                <a:ext cx="3335130" cy="106946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08321"/>
                <a:ext cx="3789713" cy="106946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$1.043.124.541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837925"/>
            <a:ext cx="2357436" cy="13955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114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35079517" y="7407730"/>
              <a:ext cx="2936573" cy="96066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314431</xdr:colOff>
          <xdr:row>1</xdr:row>
          <xdr:rowOff>68036</xdr:rowOff>
        </xdr:from>
        <xdr:to>
          <xdr:col>33</xdr:col>
          <xdr:colOff>314431</xdr:colOff>
          <xdr:row>1</xdr:row>
          <xdr:rowOff>68036</xdr:rowOff>
        </xdr:to>
        <xdr:grpSp>
          <xdr:nvGrpSpPr>
            <xdr:cNvPr id="62" name="Grupo 61">
              <a:extLst>
                <a:ext uri="{FF2B5EF4-FFF2-40B4-BE49-F238E27FC236}">
                  <a16:creationId xmlns:a16="http://schemas.microsoft.com/office/drawing/2014/main" id="{D35F34FC-AF71-9CC3-FB04-506FAB519B42}"/>
                </a:ext>
              </a:extLst>
            </xdr:cNvPr>
            <xdr:cNvGrpSpPr/>
          </xdr:nvGrpSpPr>
          <xdr:grpSpPr>
            <a:xfrm>
              <a:off x="36117848" y="258536"/>
              <a:ext cx="0" cy="0"/>
              <a:chOff x="36117848" y="258536"/>
              <a:chExt cx="0" cy="0"/>
            </a:xfrm>
          </xdr:grpSpPr>
        </xdr:grp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56423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1816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0220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9393477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14,12%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63004077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8940590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4923479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4887760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3</xdr:col>
      <xdr:colOff>9524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5702301</xdr:colOff>
      <xdr:row>0</xdr:row>
      <xdr:rowOff>21167</xdr:rowOff>
    </xdr:from>
    <xdr:to>
      <xdr:col>6</xdr:col>
      <xdr:colOff>42335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3.394287731484" createdVersion="8" refreshedVersion="8" minRefreshableVersion="3" recordCount="27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POLIETILENO ALTA DENSIDAD DE 1.80 X 110 MICRAS FOIL ( 2.66 METROS LINEALES X KILO )"/>
        <s v="&quot;PINO NACIONAL BRUTO IMPREGNADO 1 &quot;&quot; X 4&quot;&quot; X 3,2MT &quot;"/>
        <s v="PUNTA PARA PUNTILLERA ZN 5000 DE F-50 MM CAJA 5.000 UND"/>
        <s v="ESQUINERO CORNIZA INTERIOR  PVC HAYA"/>
        <s v="ESQUINERO CORNIZA PVC EXTERIOR   HAYA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ALUMINIO MATE 30x30 CMS.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DILUYENTE SINTETICO BIDON 5 LTS (6 BID/CAJA)"/>
        <s v="ANGULO PVC 40 x 40 x 2 x 3.000 MM BLANCO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CONECTOR DENTADO 2X4 (4C2)"/>
        <s v="CHOLGUAN LISO PLANCHA DE 1.520 x 2.440 x 2.4 MM"/>
        <s v="GARGOLA ESPECIAL LATA LARGO 350MM CON REMACHES"/>
        <s v="CLAVO HELICOIDAL EN ROLLO  2.5 x 50 MM ( CAJA DE 9.000 UNIDADES )."/>
        <s v="CELOSIA ALUMINIO MATE 40X40 CMS"/>
        <s v="CELOSIA ALUMINIO MATE 20 x 20 CMS"/>
        <s v="CINTA CONSTRUCCION VOLCANWRAP (47,8 MM X 50,29 M) (24 X CAJA)"/>
        <s v="GOMA ADAPTADORA PARA SIFON 40 x 32mm MUEBLE SUNSET"/>
        <s v="KIT PRECOLGADO PTA PREPINTADA 750X2040+M.P.FINGER 38X120 C/CELOSÍA PVC-IZQUIERDA"/>
        <s v="GEXACO PLASTO CEM SACO 20 KILO - RETAPE RAPIDO"/>
        <s v="GEXACO IMPRIMADOR UNIVERSAL BALDE 10 KG"/>
        <s v="SILICONA ALMENDRA NEUTRA COLOR ALMENDRA 300ML"/>
        <s v="SELLO POLIURETANO SOUDAFLEX 40FC TUBO BLANCO"/>
        <s v="SIFON BOTELLA 1 ¼ SALIDA 30CM TUBE WASSER (COD: HJ2010001)"/>
        <s v="KIT PRECOLGADO PTA.CARA ACERO GALV.6 PANELES BLANCA 45X1000X2050+M.P.FINGER 38X120-IZQUIERDA"/>
        <s v="KIT PREC.PTA.CARA ACERO GALV.LISA 1/2 C.BLANCA 45X850X2050 V.TERMOPANEL,M.P.FINGER 38X120-IZQUIERDA"/>
        <s v="LAVAPLATOS DE SOBREPONER 80X50 CM PARA MONOMANDO C/SECADOR IZQUIERDO"/>
        <s v="MONOFILAMENTO PISO VINILICO SAFETRED UNIVERSAL 2M VENUS ( ROLLO 50 MTS)"/>
        <s v="TORNILLO VOLCANITA CRS 6 x 1 5/8&quot; ZINCADO"/>
        <s v="GRAPAS 180/40 NK HZ (10.000 UND X CAJA)"/>
        <s v="SILICONA ACETICA C/FUNGICIDA COLOR BLANCO 300 ml"/>
        <s v="SILICONA ACETICA C/FUNGICIDA COLOR TRANSPARENTE 300 ml"/>
        <s v="SELLADOR ADHESIVO FIX-ALL HIGH TACK (REEMPLAZO MIR-O-BOND)"/>
        <s v="PINO NACIONAL GRADO C-16/C-24 DE 2&quot; x 4&quot; x 2,44 m (41x90mm) (VIVIENDAS SOCIALES) "/>
        <s v="TERCIADO FENOLICO BC MOLDAJE DE 1,22 X 2,44 X 15 mm (65 PL X PQTE)"/>
        <s v="SILICONA SELLADOR ACRILICO PINTABLE COLOR BLANCA 300 ml"/>
        <s v="POLIETILENO ALTA DENSIDAD DE 2.50 X 110 MICRAS FOIL ( 3.83 METROS LINEALES X KILO )"/>
        <s v="PUNTA PARA PUNTILLERA DE 30 MM CAJA DE 5.000 UNIDADES"/>
        <s v="SOPORTE DE TINA STANDARD D25 H13 ( SB004819130100)"/>
        <s v="PERFIL ESQUINERO INTERIOR PVC 8MM BLANCO"/>
        <s v="CINTA ENMASCARAR PERMACEL DE 2&quot; 40 X 48 mm"/>
        <s v="PERFIL ESQUINERO ENCUENTRO PVC 8MM BLANCO"/>
        <s v="CEERRADURA BAÑO 815 TUBULAR DAP DUCASSE US32D 45MM ACERO INOX 304"/>
        <s v="PLANCHA YESO CARTON RF 1.22x2.44x15 BORDE CUADRADO S/PAPEL ( 2,9768 M2 X PL=70 PLX PQTE) SKU 5001097"/>
        <s v="TYPAR VOLCANWRAP ROLLO DE 2,743 x 45,72 MTS ( 125 M2 x ROLLO ) SKU 7000031"/>
        <s v="ESQUINERO CORNIZA EXTERIOR PVC COLOR BLANCO"/>
        <s v="TRAPOS DE ASEO JERSINA BLANCA (BOLSA 1 KILO)"/>
        <s v="CONECTOR DENTADO SIMPSON DE 3&quot; X 6&quot; (AS36B / CAJA 232 UND)"/>
        <s v="FORRO LATERAL E:05mm L:1000mm ALUZINC"/>
        <s v="Geotextil No Tejido 0,20x500Mts 40Grs Altec"/>
        <s v="CLAVO HELICOIDAL PROFIX GALV 3.1X65MMX217X18R"/>
        <s v="COLA FRIA ARTICOL MADERA BALDE 20 KG."/>
        <s v="PINO NACIONAL CEPILLADO 4/CARAS SECO DE 2&quot; X 2&quot; X 3.20 MT (41 X 41 mm) IMPREGNADO"/>
        <s v="BURLETE DE TERMINACION PARA PLATO DUCHA Y BAÑERAS TIRA DE 3 MTS. PVC"/>
        <s v="FORRO FRENTE E:05mm L:3140mm ALUZINC"/>
        <s v="FIBROCEMENTO LISO 1.2 x 2.40 x 22 MM (VOLCAN)"/>
        <s v="BUTILLO ROLLO DE 3.2 x 19 x 15.25  MTS"/>
        <s v="TORNILLO CABEZA PLANA 7,7MM X 85MM (250 X CAJA) (SDW22338MB)"/>
        <s v="GUARDAPOLVO PARA RETORNO PISO VINILICO PVC 50 x 3.000 COLOR BLANCO"/>
        <s v="PINO NACIONAL SECO  CEPILLADO DE 1 x 4 x 3.20 MTS (264 PZA X PQTE) IMPREGNADO"/>
        <s v="PLANCHA YESO CARTON VOLCAN RF 1.22 x 3.40 x 15MM WHITE BORDE CUADRADO (40PLXPQ) SKU 5002142"/>
        <s v="PLACA SMART SIDE R-4 SPC-M111 DE 1.220X2.440X11.1 MM (72 PL.POR PALLET )"/>
        <s v="TORNILLO ZINCADO 8 x 3&quot; CRS."/>
        <s v="GOLILLA PVC BLANCA PARA TECHO 27 MM C/TAPA"/>
        <s v="PLACA OSB STANDARD DE 1.22 x 2.44 x 11.1 MM ( 72 X PAQUETE )"/>
        <s v="BROCHA EXCELSIOR PROFESIONAL 5/8&quot; x 4&quot;"/>
        <s v="PINO SYP GRADO 2 PRIME IMPREGNADO DE  3&quot; x 8&quot; x 10' (63x184 mm)"/>
        <s v="PINO NACIONAL GRADO C-16/C-24 IMPREGNADO DE 2&quot; X 6&quot; X 4,00 m (VIVIENDAS SOCIALES)"/>
        <s v="CONECTOR DENTADO SIMPSON DE 4&quot; X 8&quot; (AS48B /CAJA 129 UND)"/>
        <s v="ADHESIVO GEXAFLEX 60 ENVASE GALON ( 3.75 LTS)"/>
        <s v="CELOSIA BEAGLE 35.5 X 13CM BCO COD:2011100010050"/>
        <s v="LLAVE DE BOLA JARDIN/LAVAD 1/2&quot; MANGO ROJO"/>
        <s v="LLAVE DE BOLA JARDIN/LAVAD 1/2&quot; MANGO AZUL"/>
        <s v="CLAVO HELICOIDAL 31/4 x 80 N-80 (CAJA 4.500 UNIDADES)"/>
        <s v="GRAPA 14X35 T-50 (10.000 X CAJA)"/>
        <s v="ESQUINERO GUARDAPOLVO EXTERIOR PVC COLOR BLANCO"/>
        <s v="DILUYENTE DUCO BOTELLA 1 LT"/>
        <s v="PLACA FIBROCEMENTO SIMPLISIMA CENIA BEIGE 2400 MM x 1200 MM x 6 MM"/>
        <s v="ESMALTE AL AGUA BLANCO SATINADO PLUS UNIVERSAL (TINETA 5 GALONES)"/>
        <s v="TORNILLOS SDS PARA CONECTORES ¼ X 4 1/2&quot; - VASTAGO LARGO (100 UN X CAJA) (SDS25412MB)"/>
        <s v="HOLDOWN ALTA CARGA HDQ8 CON TORNILLOS SDS 3&quot;-DHQ8"/>
        <s v="TORNILLO SIMPSON ESTRUCTURAL SDWS22600DB DE 6&quot; (500 TORN.XPQTE.)"/>
        <s v="TORNILLO PARA CONECTORES 5MM X 50MM (CAJA 250 UN) (CODIGO SIMPSON: CSA5.0X50)"/>
        <s v="ESQUINERO CORNIZA INTERIOR PVC COLOR BLANCO"/>
        <s v="TERCIADO FENOLICO CD DE 1,22 X 2,44 X 15 mm (65 PL X PQTE)"/>
        <s v="AISLAN  GLASS 90 MM 0.375x12 MTS . DENSIDAD 11 KG/M3 (13.5 M2 X BOLSA) SKU 4000147"/>
        <s v="PLACA LP OSB STANDAR 1.22 x2.44 x 9.5 MM APA PT-OECA095  (84 PL.xPAQ)"/>
        <s v="ESCUADRA REFORZADA 105 X 150 X 90 E:3MM (COD: ABR105)"/>
        <s v="CELOSÍA ALUMINIO BLANCO 805X2446 QUIEBRAVISTA GRANDE Y ANGULO PERIMETRAL"/>
        <s v="HOLDOWN SUJECIÓN DE SERVICIO PESADO, 14&quot; ALTO INCLUYE 30 TORNILLOS SDS25212 -HHDQ14"/>
        <s v="CINTA POLIESTER DE 2&quot; COLOR VERDE (ROLLO= 100 mt=15 kg)"/>
        <s v="ESMALTE AL AGUA RAL 8011"/>
        <s v="CONECTOR DENTADO SIMPSON DE  6&quot; X 8&quot;  (AS68B / 88 UND POR CAJA)"/>
        <s v="PISO VINILICO SAFETRED UNIVERSAL 2M VENUS (2 x 20 M)"/>
        <s v="TORNILLO BASTON MURO TRA. 8 X 13/4"/>
        <s v="CLAVO HELICOIDAL 3.1X80MM"/>
        <s v="CINTA EMBALAJE TRANSPARENTE"/>
        <s v="HOLDOWN TENSIONADOR VARILLA 1/2&quot; INCLUYE TORNILLOS (20 UN X CAJA)-DTT2Z UND"/>
        <s v="TORNILLO PARA FIBROCEMENTO PUNTA ESPEDA DE 10 x 13/4&quot;  COD: K20TFCW (CAJA 1.000 UND )"/>
        <s v="NARIZ DE GRADA ALUMINIO 53x28.5x6 5367"/>
        <s v="PINO NACIONAL GRADO C-16/C-24 IMPREGNADO DE 2&quot; X 6&quot; X 3,20 m (41x138mm)"/>
        <s v="SOPORTE BARRA CORTINA ECONOMICO BLANCO COD:1511110022050"/>
        <s v="MEMBRANA PVC NEGRA DE 0.8 MM ESPESOR TERMOFUSIONADA (4,1 ANCHO X 13 MT LARGO) MOD TIPO QB"/>
        <s v="FORRO LATERAL E:05mm L:3140mm ALUZINC"/>
        <s v="ESMALTE AL AGUA RAL 8001"/>
        <s v="VOLCOGLASS X RH 1,20 x 2,40 x 15MM BORDE"/>
        <s v="EXTRACTOR VENTILACION PASIVA JONAS 4 VERSION CUADRADA F C/CELOSIA #150 BLANCO 100MM (COD: 250729)"/>
        <s v="PLANCHA YESO CARTON VOLCAN RF 122 x 2.44 x 15 LINEN GREY BORDE CUADRADO 70 PLXPALLET SKU 5002205"/>
        <s v="PLANCHA YESO CARTON RH DE 1.20 x 2.40 x 12.5 MM BORDE REBAJADO (70PLXPQT)"/>
        <s v="AISLAN GLASS 140 MM R100/349 0.375x7.20 MTS DENSIDAD 13 KG/M3 (8.1 M2) COD:4000724"/>
        <s v="BARANDA METALICA  3140X1050 MM- SOLUCION BALCON"/>
        <s v="PILASTRA MDF FOLIO COLOR BLANCO DE 12 x 57 x 2,440  mm"/>
        <s v="CELOSIA ALUMINIO MATE 25 x 25 CMS"/>
        <s v="MANILLON C SPAGNA 19X200X300 MM (SKU: 041420)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TINA DE ACERO ESMALTADA BLANCA ANTIDESLIZANTE 130x70"/>
        <s v="IMPRIMANTE 4G"/>
        <s v="CUBREJUNTA MDF WHITE  DE 5.5 x 40 x 3.600 MM  (VOLCAN) SKU: 1500015"/>
        <s v="PASTA RETAPE NEUTRA WET-PROOF"/>
        <s v="PORTA ROLLO BENTON CROMO (21BE0000100)"/>
        <s v="PINO NACIONAL ESTRUCTURAL CEPILLADO 4/CARAS  IMPREGNADO DE  2 X 8 X 4.00 (41 x 185 MM ) (VVSS)"/>
        <s v="SIFON PARA LAVAPLATO DE 1 1/2&quot; VINILIT SALIDA RECTA DE 50"/>
        <s v="ESPEJO RECTO AL. BLANCO DE 50x70 CMS"/>
        <s v="PERCHA SIMPLE YORK 21PL0000104"/>
        <s v="ARGOLLA TOALLA BENTON CROMO (21BE0000101)"/>
        <s v="CUADRADILLO EXPANSION 8X8X70MM"/>
        <s v="BOCALLAVE B1 800 ACCESO SATINADO (PAR)"/>
        <s v="CERRADURA DE EMB 85000 MULTIPLE C/REC"/>
        <s v="CILINDRO 03 LLAVE/LLAVE 70MM (35X35) AI"/>
        <s v="CAVE POLFLEX IMPERMEABILIZANTE , COPD: LCPIMM10020601 BALDE 20 KG"/>
        <s v="MUEBLE BASE LAVAPLATOS 80X50X86,5 CM EN MELAMINA BLANCA 15 MM"/>
        <s v="AISLAN  GLASS 50 MM 0.375x12 MTS . DENSIDAD 14 KG/M3 (13.5 M2 X BOLSA) SKU 4000147"/>
        <s v="ADHESIVO VINILICO GEXAFLEX TINETA 20 KG"/>
        <s v="BROCHA EXCELSIOR PROFESIONAL DE 5/8 x 2&quot;"/>
        <s v="KIT DESAGÜE Y SIFÓN C/REBALSE PARA TINAS (SC1015690001BS)"/>
        <s v="ANGULO PVC 25x25x3.0 MTS BLANCO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GRAPA 145X35 T-40 (10.000 X CAJA)"/>
        <s v="GUARDAPOLVO MDF FOLIO COLOR BLANCO DE 12 x 57 x 3.660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NUEVO ASIENTO Y TAPA WC AURA P.P. CIERRE ESTÁNDAR"/>
        <s v="LAVARROPA PLATICO DS THEOS 15L (19ST8073500)"/>
        <s v="&quot;SIFON PLASTICO UNIVERSAL 1 1/4&quot;&quot; Y 1 1/2&quot;&quot; (19ST8073500)&quot;"/>
        <s v="SET DE ANCLAJE WC COD:CC0017370001B0 (FANALOZA)"/>
        <s v="ESQUINERO PILASTRA PVC COLOR BLANCO"/>
        <s v="PINO NACIONAL GRADO C-16/C-24 IMPREGNADO DE 2&quot; x 4&quot; x x 3,20 m (41x90mm)"/>
        <s v="SELLO INSTALACION WC AURA HORIZONTAL"/>
        <s v="EXTRACTOR DVP4 12W 4 C/SENDOR DE HUMEDAD – HST 220VOLT"/>
        <s v="AISLAN ROCA 90 MM D: 32 KG/M3 DE 0.375x1.200 MM (5.4 M2) SKU 3000481"/>
        <s v="TORNILLO PARA VOLCANITA CRS 6 x2 1/4 NEGRO DRYWALL"/>
        <s v="ESQUINERO GUARDAPOLVO PVC INTERIOR HAYA"/>
        <s v="CUBREJUNTA MDF DE  5.5 x 40 x 2.440 MM.LINEN GREY (VOLCAN SKU 213041)"/>
        <s v="RODILLO CHIPORRO LIZCAL DE 7&quot; PATAGON 18 CMS"/>
        <s v="TERMINACION TOP COAT 4G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IRAFONDO HEXAGONO CORRIENTE DE 3/8&quot; x 4-1/2&quot;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GOLILLA PLANA CORRIENTE 3/8&quot; (CODIGO:03-GPFU ENVASE DE 100 UND)"/>
        <s v="ESPUMA POLIURETANO EXPANSIVA 750 ml"/>
        <s v="CLAVO R20 34X100 BK BEA (NAILS - 1.500 UND X CAJA N°BEA 10400470)"/>
        <s v="HUAIPE BLANCO BOLSA DE 1 KILO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CERRADURA BAÑO G-3 AC.INOX.MODELO RL100281 LT3576CTL 26D ADJ T LT3500"/>
        <s v="MONOFILAMENTO POLYFLOR GRIS COD:3700 50MT"/>
        <s v="MARCO PUERTA HOME 30X120mm PINO FINGER (2 PIERNAS DE 2.400 MM - 1 CABEZAL DE 1.000 MM)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ESTANQUE LUGANO DUAL FLUSH BLANCO COD: CS0443301301B0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BURLETE DE GOMA BLANCO VIV IND (PUERTA)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Hilo continuo de 1/2&quot;x8&quot; ( VARILLA DE ANCLAJE"/>
        <s v="Holdown Simpson DTT2Z (PB3)"/>
        <s v="Placa PB4 L 400x150x150 e=5mm"/>
        <s v="Tirafondos 12&quot;x3&quot;"/>
        <s v="Varilla de anclaje ASTM F1554 Gr36 3/4&quot; 0,7 m (PB2)" u="1"/>
      </sharedItems>
    </cacheField>
    <cacheField name="DESC CORTA" numFmtId="0">
      <sharedItems containsMixedTypes="1" containsNumber="1" containsInteger="1" minValue="0" maxValue="0" count="163">
        <n v="0"/>
        <s v="CLAVO TORNILLO"/>
        <s v="TARKETT"/>
        <s v="DESAGUE 1  1/2"/>
        <s v="LAVAMANOS"/>
        <s v="MONOMANDO LAVAPLATOS"/>
        <s v="TINA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WC"/>
        <s v="PUERTA INTERIOR"/>
        <s v="ASIENTO WC"/>
        <s v="LLAVE ANGULAR"/>
        <s v="MONOMANDO LAVAMANOS"/>
        <s v="MONOMANDO TINA"/>
        <s v="PEDESTAL LAVAMANOS"/>
        <s v="PUERTA INTERIOR IZQ"/>
        <s v="CERRADURA LLAVE"/>
        <s v="PUERTA ACCESO DERECHA"/>
        <s v="PUERTA LOGIA DERECHA"/>
        <s v="POLIETILENO"/>
        <s v="PUNTA PUNTILLERA"/>
        <s v="ESQUINERO INTERIOR"/>
        <s v="ESQUINERO EXTERIOR"/>
        <s v="BROCHA 5/8 X3"/>
        <s v="MOLDURA PVC INTERIOR"/>
        <s v="MONOFILAMENTO"/>
        <s v="EXTRACTOR"/>
        <s v="MOLDURA ALUMINIO NATURAL"/>
        <s v="VOLCANWRAP BARRERA DE"/>
        <s v="CONECTOR DENTADO 2X"/>
        <s v=""/>
        <s v="TORNILLO CRS 6X1 5/8"/>
        <s v="SELLO FUNGICIDA"/>
        <s v="SELLO"/>
        <s v="SOPORTE TINA"/>
        <s v="PERFIL ESQUINERO INTERIOR"/>
        <s v="PERFIL ESQUINERO ENCUENTRO"/>
        <s v="CEERRADURA BAÑO 815 TUBULAR"/>
        <s v="ESQUINERO CORNIZA EXTERIOR"/>
        <s v="TRAPOS DE ASEO"/>
        <s v="CONECTOR DENTADO"/>
        <s v="E"/>
        <s v="CLAVO HELICOIDAL PROFIX"/>
        <s v="COLA FRIA"/>
        <s v="BURLETE PVC"/>
        <s v="FIBROCEMENTO BALCON"/>
        <s v="VOLCANITA EMPAPELADA CIELO"/>
        <s v="SMARTPANEL"/>
        <s v="OSB 11MM"/>
        <s v="BROCHA 5/8 X4"/>
        <s v="PINO 3X8X320"/>
        <s v="LLAVE DE BOLA AC"/>
        <s v="LLAVE DE BOLA AF"/>
        <s v="CLAVO HELICOIDAL"/>
        <s v="GRAPA T50"/>
        <s v="ESQUINERO GUARDAPOLVO EXTERIOR"/>
        <s v="DUCO"/>
        <s v="SIMPLISIMA"/>
        <s v="ESMALTE AL AGUA"/>
        <s v="PB2"/>
        <s v="TORNILLO SIMPSON 6&quot;"/>
        <s v="ESQUINERO CORNIZA INTERIOR"/>
        <s v="TERCIADO FENOLICO"/>
        <s v="AISLAN GLASS 90MM"/>
        <s v="OSB 9.5"/>
        <s v="PB1"/>
        <s v="PISO TARKET"/>
        <s v="CINTA EMBALAJE TRANSPARENTE"/>
        <s v="HOLDOWN TENSIONADOR"/>
        <s v="PINO 2X6X320"/>
        <s v="MEMBRANA PVC"/>
        <s v="VOLCOGLASS"/>
        <s v="VENTILACIÓN PASIVA"/>
        <s v="VOCANITA EMPAPELADA MURO"/>
        <s v="VOLCANITA RH"/>
        <s v="AISLAN GLASS 140MM"/>
        <s v="BARANDA BALCON"/>
        <s v="CELOSIA ALUMINIO 25X25"/>
        <s v="VENTANA V-01"/>
        <s v="VENTANA V.05"/>
        <s v="MANILLA JUEGO"/>
        <s v="TINA DE ACERO"/>
        <s v="PASTA RETAPE"/>
        <s v="PORTA ROLLO BENTON"/>
        <s v="PINO 2X8X4"/>
        <s v="SIFON LAVAPLATO"/>
        <s v="PERCHA SIMPLE YORK"/>
        <s v="ARGOLLA TOALLA BENTON"/>
        <s v="CUADRADILLO EXPANSION 8X"/>
        <s v="BOCALLAVE B1 800 ACCESO"/>
        <s v="CERRADURA DE EMB"/>
        <s v="CILINDRO 03 LLAVE/LLAVE"/>
        <s v="MUEBLE LAVAPLATOS"/>
        <s v="AISLAN DENSIDAD 14 KG/M3 (13.5 M2 X BOLSA) SKU 4000147"/>
        <s v="KIT DESAGUE TINA"/>
        <s v="LAVAMANOS DS THEOS"/>
        <s v="NEW TS2024022)"/>
        <s v="GRAPA T40"/>
        <s v="GUARDAPOLVO BLANCO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NUEVA"/>
        <s v="LAVARROPA PLATICO DS"/>
        <s v="SET BALCON"/>
        <s v="ESQUINERO PILASTRA PVC"/>
        <s v="PINO 2X4X320"/>
        <s v="SELLO INSTALACION WC"/>
        <s v="EXTRT"/>
        <s v="AISLAN ROCA 90MM"/>
        <s v="TORNILLO CRS 6X2 1/4"/>
        <s v="ESQUINERO GUARDAPOLVO"/>
        <s v="CUBREJUNTA"/>
        <s v="RODILLO CHIPORRO"/>
        <s v="TERMINACION TOP COAT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HUAIPE BLANCO BOLSA"/>
        <s v="KIT PRECOLGADO"/>
        <s v="SIFOL"/>
        <s v="CERRADURA BAÑO"/>
        <s v="MONOFILAMENTO TARKETT"/>
        <s v="MARCO PUERTA"/>
        <s v="PINTURA BALCON"/>
        <s v="FORRO DE INICIO"/>
        <s v="ESTANQUE"/>
        <s v="ESPUMA EXPANSIVA"/>
        <s v="mm"/>
        <s v="NICHO PARA 2 CILINDROS"/>
        <s v="BURLETE DE GOMA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String="0" containsBlank="1" containsNumber="1" minValue="0" maxValue="350139"/>
    </cacheField>
    <cacheField name="Columna1" numFmtId="0">
      <sharedItems containsBlank="1"/>
    </cacheField>
    <cacheField name="DESCRIPCION CORTA" numFmtId="0">
      <sharedItems containsMixedTypes="1" containsNumber="1" containsInteger="1" minValue="0" maxValue="0" count="32">
        <s v=""/>
        <s v="PINO 2X4X2,44"/>
        <s v="VOLCANITA EMPAPELADA CIELO"/>
        <s v="SMARTPANEL"/>
        <s v="OSB 11MM"/>
        <s v="PINO 3X8X320"/>
        <s v="PINO 2X6X400"/>
        <s v="SIMPLISIMA"/>
        <s v="HOLDOWN PB2"/>
        <s v="TORNILLO SIMPSON 6&quot;"/>
        <s v="TERCIADO FENOLICO"/>
        <s v="AISLAN GLASS 90MM"/>
        <s v="OSB 9.5"/>
        <s v="HOLDOWN PB1"/>
        <s v="PISO TARKET"/>
        <s v="PINO 2X6X320"/>
        <s v="MEMBRANA PVC"/>
        <s v="VOLCOGLASS"/>
        <s v="VOCANITA EMPAPELADA MURO"/>
        <s v="AISLAN GLASS 140MM"/>
        <s v="VENTANA V-01"/>
        <s v="VENTANA BAÑO"/>
        <s v="VENTANA V.05"/>
        <s v="PINO 2X8X4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0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0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86254216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929511" maxValue="3663311710.9046769"/>
    </cacheField>
    <cacheField name="%VARIACION" numFmtId="10">
      <sharedItems containsMixedTypes="1" containsNumber="1" minValue="-15.052452498825893" maxValue="0.43392611382939683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0.224625623960081" maxValue="2.7351477545002139"/>
    </cacheField>
    <cacheField name="SALDO DE COMPRA" numFmtId="168">
      <sharedItems containsMixedTypes="1" containsNumber="1" minValue="-728429547.37273073" maxValue="36717331.063261136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33358.08790000001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3.394290972225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2041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4327.5882929136105"/>
    </cacheField>
    <cacheField name="M2 Avance Diario Real" numFmtId="174">
      <sharedItems containsMixedTypes="1" containsNumber="1" minValue="0" maxValue="125.09931860945835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3.394296874998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60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109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22727272727272727" maxValue="1"/>
    </cacheField>
    <cacheField name="%TERMINO" numFmtId="9">
      <sharedItems containsMixedTypes="1" containsNumber="1" minValue="0" maxValue="0.76271186440677963"/>
    </cacheField>
    <cacheField name="GAP INICIO" numFmtId="0">
      <sharedItems containsSemiMixedTypes="0" containsString="0" containsNumber="1" containsInteger="1" minValue="0" maxValue="544"/>
    </cacheField>
    <cacheField name="GAP TERMINO" numFmtId="0">
      <sharedItems containsSemiMixedTypes="0" containsString="0" containsNumber="1" containsInteger="1" minValue="0" maxValue="595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22727272727272727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0.15482954545454544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3.394307523151" createdVersion="8" refreshedVersion="8" minRefreshableVersion="3" recordCount="257" xr:uid="{E2C531F1-30B7-4A8D-96C3-0CA20BE36370}">
  <cacheSource type="worksheet">
    <worksheetSource name="REG_STOCK"/>
  </cacheSource>
  <cacheFields count="18">
    <cacheField name="FECHA STOCK " numFmtId="14">
      <sharedItems containsNonDate="0" containsDate="1" containsString="0" containsBlank="1" minDate="2026-04-13T00:00:00" maxDate="2026-07-28T00:00:00" count="17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  <d v="2026-06-22T00:00:00"/>
        <d v="2026-06-30T00:00:00"/>
        <d v="2026-07-06T00:00:00"/>
        <d v="2026-07-11T00:00:00"/>
        <m/>
        <d v="2026-07-20T00:00:00"/>
        <d v="2026-07-27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tring="0" containsBlank="1" containsNumber="1" containsInteger="1" minValue="51" maxValue="15936"/>
    </cacheField>
    <cacheField name="CANT X MODULO" numFmtId="0">
      <sharedItems containsString="0" containsBlank="1" containsNumber="1" minValue="0" maxValue="460"/>
    </cacheField>
    <cacheField name="STOCK FISICO" numFmtId="0">
      <sharedItems containsString="0" containsBlank="1" containsNumber="1" containsInteger="1" minValue="0" maxValue="723"/>
    </cacheField>
    <cacheField name="DESCRIPCION" numFmtId="0">
      <sharedItems containsMixedTypes="1" containsNumber="1" containsInteger="1" minValue="0" maxValue="0" count="18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  <s v=""/>
      </sharedItems>
    </cacheField>
    <cacheField name="SOLICITADO A TF" numFmtId="166">
      <sharedItems containsSemiMixedTypes="0" containsString="0" containsNumber="1" containsInteger="1" minValue="97" maxValue="17905"/>
    </cacheField>
    <cacheField name="CONSUMO" numFmtId="0">
      <sharedItems containsSemiMixedTypes="0" containsString="0" containsNumber="1" containsInteger="1" minValue="97" maxValue="17905"/>
    </cacheField>
    <cacheField name="CUBICACION PPTO." numFmtId="172">
      <sharedItems containsMixedTypes="1" containsNumber="1" minValue="0.41466600000000009" maxValue="172.72499999999994"/>
    </cacheField>
    <cacheField name="CONSUMO X MODULO" numFmtId="168">
      <sharedItems containsMixedTypes="1" containsNumber="1" minValue="2.9846242936333218" maxValue="518.32820698389719"/>
    </cacheField>
    <cacheField name="ALCANCE (STOCK) X MODULO" numFmtId="168">
      <sharedItems containsMixedTypes="1" containsNumber="1" minValue="0" maxValue="79.582121514664792"/>
    </cacheField>
    <cacheField name="ALCANCE FISICO" numFmtId="168">
      <sharedItems containsMixedTypes="1" containsNumber="1" minValue="3.1534205261781367" maxValue="518.32820698389719"/>
    </cacheField>
    <cacheField name="PERDIDA O EN PROCESO" numFmtId="168">
      <sharedItems containsMixedTypes="1" containsNumber="1" minValue="-1088.0373712980936" maxValue="108.17474872606657"/>
    </cacheField>
    <cacheField name="VALOR UNITARIO" numFmtId="168">
      <sharedItems containsMixedTypes="1" containsNumber="1" minValue="707.86891891891889" maxValue="150758.376146789"/>
    </cacheField>
    <cacheField name="VALOR PERDIDA" numFmtId="168">
      <sharedItems containsMixedTypes="1" containsNumber="1" minValue="-164030747.28392151" maxValue="2672910.2131208782"/>
    </cacheField>
    <cacheField name="VALOR STOCK" numFmtId="168">
      <sharedItems containsMixedTypes="1" containsNumber="1" minValue="0" maxValue="11796264.69197830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3.394307870367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Blank="1"/>
    </cacheField>
    <cacheField name="COMPRAS ACUMULADAS" numFmtId="42">
      <sharedItems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Blank="1"/>
    </cacheField>
    <cacheField name="%AVANCE ECONOMICO ACUM." numFmtId="10">
      <sharedItems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20412642045454524"/>
    </cacheField>
    <cacheField name="%AVANCE FISICO MENSUAL" numFmtId="10">
      <sharedItems containsString="0" containsBlank="1" containsNumber="1" minValue="1.8050541516245484E-2" maxValue="0.10188823841300786"/>
    </cacheField>
    <cacheField name="GAP ECONOMICO MENSUAL" numFmtId="10">
      <sharedItems containsMixedTypes="1" containsNumber="1" minValue="8.5227272727272721E-2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3.39430983796" createdVersion="8" refreshedVersion="8" minRefreshableVersion="3" recordCount="2474" xr:uid="{B2854F62-F04A-4B16-8820-693E19AF167B}">
  <cacheSource type="worksheet">
    <worksheetSource name="DETALLE_GD_1"/>
  </cacheSource>
  <cacheFields count="33">
    <cacheField name="FECHA GUIA" numFmtId="14">
      <sharedItems containsNonDate="0" containsDate="1" containsString="0" containsBlank="1" minDate="2025-10-08T00:00:00" maxDate="2026-06-24T00:00:00"/>
    </cacheField>
    <cacheField name="FECHA SOLICITUD" numFmtId="14">
      <sharedItems containsNonDate="0" containsDate="1" containsString="0" containsBlank="1" minDate="2025-10-08T00:00:00" maxDate="2026-06-24T00:00:00"/>
    </cacheField>
    <cacheField name="OBS. MODULO" numFmtId="0">
      <sharedItems containsBlank="1"/>
    </cacheField>
    <cacheField name="MES" numFmtId="0">
      <sharedItems containsString="0" containsBlank="1" containsNumber="1" containsInteger="1" minValue="1" maxValue="12"/>
    </cacheField>
    <cacheField name="OBS TRABAJO MODULO" numFmtId="0">
      <sharedItems containsBlank="1"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8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/>
        <s v="ESMALTE ALQUIDICIO ESTRUC. RAL:3020 ROJO ( GALON) "/>
        <s v="ESMALTE ALQUIDICIO ESTRUCTURAL NEGRO GALON "/>
        <s v="OLEO SEMIBRILLO INDUST. GRIS CLARO TFA (TINETA 4 GALONES)"/>
        <m/>
        <s v="0" u="1"/>
        <s v="CEERRADURA BAÑO 815 TUBULAR DAP DUCASSE US32D 45MM ACERO INOX 304" u="1"/>
      </sharedItems>
    </cacheField>
    <cacheField name="UNIDAD DE MEDIDA" numFmtId="0">
      <sharedItems containsBlank="1"/>
    </cacheField>
    <cacheField name="CANTIDAD SOLICITADA" numFmtId="168">
      <sharedItems containsString="0" containsBlank="1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tring="0" containsBlank="1" containsNumber="1" minValue="0" maxValue="18000"/>
    </cacheField>
    <cacheField name="VALOR X UN (GD)" numFmtId="167">
      <sharedItems containsString="0" containsBlank="1" containsNumber="1" minValue="3.2124999999999999" maxValue="382355"/>
    </cacheField>
    <cacheField name="VALOR TOTAL GD POR ITEM" numFmtId="167">
      <sharedItems containsString="0" containsBlank="1" containsNumber="1" containsInteger="1" minValue="154" maxValue="11103603"/>
    </cacheField>
    <cacheField name="VALOR TOTAL POR ITEM GD" numFmtId="167">
      <sharedItems containsString="0" containsBlank="1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tring="0" containsBlank="1" containsNumber="1" minValue="-7632122" maxValue="2174308"/>
    </cacheField>
    <cacheField name="DIF %" numFmtId="9">
      <sharedItems containsString="0" containsBlank="1" containsNumber="1" minValue="-1.2078033820300351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9446263"/>
    </cacheField>
    <cacheField name="OC" numFmtId="0">
      <sharedItems containsString="0" containsBlank="1" containsNumber="1" containsInteger="1" minValue="5284" maxValue="6344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Blank="1"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1.2078034113527858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3.394314699071" createdVersion="8" refreshedVersion="8" minRefreshableVersion="3" recordCount="704" xr:uid="{0D0100CB-FD06-4188-90EC-93AA2C36CE92}">
  <cacheSource type="worksheet">
    <worksheetSource name="AVANCE"/>
  </cacheSource>
  <cacheFields count="65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43">
        <n v="0.99999999999999989"/>
        <n v="0.98499999999999988"/>
        <n v="0.97499999999999987"/>
        <n v="0.95999999999999985"/>
        <n v="0.91499999999999981"/>
        <n v="0.94"/>
        <n v="0.8999999999999998"/>
        <n v="0.82999999999999985"/>
        <n v="0.96999999999999986"/>
        <n v="0.83499999999999985"/>
        <n v="0.62"/>
        <n v="0.67999999999999994"/>
        <n v="0.94499999999999984"/>
        <n v="0.8849999999999999"/>
        <n v="0.755"/>
        <n v="0.6"/>
        <n v="0.88499999999999979"/>
        <n v="0.6399999999999999"/>
        <n v="0.63"/>
        <n v="0.82499999999999984"/>
        <n v="0.8949999999999998"/>
        <n v="0.69499999999999995"/>
        <n v="0.75499999999999989"/>
        <n v="0.84499999999999997"/>
        <n v="0.57999999999999996"/>
        <n v="0.80500000000000005"/>
        <n v="0.7649999999999999"/>
        <n v="0.79500000000000004"/>
        <n v="0.74499999999999988"/>
        <n v="0.78500000000000003"/>
        <n v="0.53999999999999992"/>
        <n v="0.5"/>
        <n v="0.39"/>
        <n v="0"/>
        <n v="0.84999999999999987" u="1"/>
        <n v="0.83999999999999986" u="1"/>
        <n v="0.72" u="1"/>
        <n v="0.92499999999999982" u="1"/>
        <n v="0.61" u="1"/>
        <n v="0.85499999999999987" u="1"/>
        <n v="0.72499999999999998" u="1"/>
        <n v="0.86499999999999988" u="1"/>
        <n v="0.72499999999999987" u="1"/>
        <n v="0.56999999999999995" u="1"/>
        <n v="0.55999999999999994" u="1"/>
        <n v="0.7749999999999998" u="1"/>
        <n v="0.12" u="1"/>
        <n v="0.97999999999999965" u="1"/>
        <n v="0.90999999999999981" u="1"/>
        <n v="0.8" u="1"/>
        <n v="0.9049999999999998" u="1"/>
        <n v="0.73" u="1"/>
        <n v="0.69" u="1"/>
        <n v="0.81499999999999995" u="1"/>
        <n v="0.59" u="1"/>
        <n v="0.53" u="1"/>
        <n v="0.95499999999999985" u="1"/>
        <n v="0.91" u="1"/>
        <n v="0.96499999999999986" u="1"/>
        <n v="0.80499999999999983" u="1"/>
        <n v="0.86999999999999988" u="1"/>
        <n v="0.66999999999999993" u="1"/>
        <n v="0.64999999999999991" u="1"/>
        <n v="0.92" u="1"/>
        <n v="0.93499999999999983" u="1"/>
        <n v="0.87499999999999989" u="1"/>
        <n v="0.64" u="1"/>
        <n v="0.71499999999999986" u="1"/>
        <n v="0.93999999999999972" u="1"/>
        <n v="0.51999999999999991" u="1"/>
        <n v="0.8899999999999999" u="1"/>
        <n v="0.90500000000000003" u="1"/>
        <n v="0.48" u="1"/>
        <n v="0.87999999999999989" u="1"/>
        <n v="0.43999999999999995" u="1"/>
        <n v="0.45" u="1"/>
        <n v="0.43" u="1"/>
        <n v="0.85999999999999988" u="1"/>
        <n v="0.7599999999999999" u="1"/>
        <n v="0.83499999999999996" u="1"/>
        <n v="0.92999999999999983" u="1"/>
        <n v="0.84499999999999986" u="1"/>
        <n v="0.65999999999999992" u="1"/>
        <n v="0.46" u="1"/>
        <n v="0.91999999999999982" u="1"/>
        <n v="0.70499999999999996" u="1"/>
        <n v="0.82499999999999996" u="1"/>
        <n v="0.67499999999999993" u="1"/>
        <n v="0.54999999999999993" u="1"/>
        <n v="0.52" u="1"/>
        <n v="0.41" u="1"/>
        <n v="0.31" u="1"/>
        <n v="0.55000000000000004" u="1"/>
        <n v="0.42999999999999994" u="1"/>
        <n v="0.4499999999999999" u="1"/>
        <n v="0.52999999999999992" u="1"/>
        <n v="0.95999999999999963" u="1"/>
        <n v="0.93" u="1"/>
        <n v="0.7699999999999998" u="1"/>
        <n v="0.78" u="1"/>
        <n v="0.94999999999999984" u="1"/>
        <n v="0.85499999999999998" u="1"/>
        <n v="0.7" u="1"/>
        <n v="0.7799999999999998" u="1"/>
        <n v="0.86499999999999999" u="1"/>
        <n v="0.74999999999999989" u="1"/>
        <n v="0.49999999999999994" u="1"/>
        <n v="0.68499999999999994" u="1"/>
        <n v="0.70499999999999985" u="1"/>
        <n v="0.63500000000000001" u="1"/>
        <n v="0.41999999999999993" u="1"/>
        <n v="0.875" u="1"/>
        <n v="0.79999999999999982" u="1"/>
        <n v="0.73499999999999988" u="1"/>
        <n v="0.75" u="1"/>
        <n v="0.73999999999999988" u="1"/>
        <n v="0.61999999999999988" u="1"/>
        <n v="0.80999999999999983" u="1"/>
        <n v="0.81" u="1"/>
        <n v="0.71" u="1"/>
        <n v="0.83" u="1"/>
        <n v="0.51" u="1"/>
        <n v="0.91500000000000004" u="1"/>
        <n v="0.74" u="1"/>
        <n v="0.73499999999999999" u="1"/>
        <n v="0.46999999999999992" u="1"/>
        <n v="0.96999999999999964" u="1"/>
        <n v="0.745" u="1"/>
        <n v="0.5099999999999999" u="1"/>
        <n v="0.23" u="1"/>
        <n v="0.93999999999999984" u="1"/>
        <n v="0.66" u="1"/>
        <n v="0.58999999999999986" u="1"/>
        <n v="0.99499999999999988" u="1"/>
        <n v="0.66500000000000004" u="1"/>
        <n v="0.81999999999999984" u="1"/>
        <n v="0.65500000000000003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7-29T00:00:00" count="84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d v="2026-06-19T00:00:00"/>
        <d v="2026-06-15T00:00:00"/>
        <d v="2026-06-17T00:00:00"/>
        <d v="2026-06-16T00:00:00"/>
        <d v="2026-06-23T00:00:00"/>
        <d v="2026-06-24T00:00:00"/>
        <d v="2026-06-25T00:00:00"/>
        <d v="2026-06-26T00:00:00"/>
        <d v="2026-07-03T00:00:00"/>
        <d v="2026-07-02T00:00:00"/>
        <d v="2026-07-07T00:00:00"/>
        <d v="2026-07-09T00:00:00"/>
        <d v="2026-07-08T00:00:00"/>
        <d v="2026-07-13T00:00:00"/>
        <d v="2026-07-15T00:00:00"/>
        <d v="2026-07-14T00:00:00"/>
        <d v="2026-07-17T00:00:00"/>
        <d v="2026-07-23T00:00:00"/>
        <d v="2026-07-22T00:00:00"/>
        <d v="2026-07-21T00:00:00"/>
        <d v="2026-07-24T00:00:00"/>
        <d v="2026-07-27T00:00:00"/>
        <d v="2026-07-28T00:00:00"/>
        <m/>
      </sharedItems>
      <fieldGroup par="64"/>
    </cacheField>
    <cacheField name="FECHA ULTIMO REGISTRO" numFmtId="14">
      <sharedItems containsSemiMixedTypes="0" containsNonDate="0" containsDate="1" containsString="0" minDate="1899-12-30T00:00:00" maxDate="2026-07-30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1" maxValue="46233"/>
    </cacheField>
    <cacheField name="FECHA TERMINO" numFmtId="14">
      <sharedItems containsNonDate="0" containsDate="1" containsString="0" containsBlank="1" minDate="2026-05-08T00:00:00" maxDate="2026-07-30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60-69%"/>
        <s v="70-79%"/>
        <s v="50-59%"/>
        <s v="30-39%"/>
        <s v="0%"/>
        <s v="10-19%" u="1"/>
        <s v="40-49%" u="1"/>
        <s v="20-29%" u="1"/>
        <s v="COMPLETO" u="1"/>
      </sharedItems>
    </cacheField>
    <cacheField name="GAP INICIO (DIAS)" numFmtId="41">
      <sharedItems containsMixedTypes="1" containsNumber="1" containsInteger="1" minValue="-2" maxValue="21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TIEMPO PROYECTADO" numFmtId="41">
      <sharedItems containsSemiMixedTypes="0" containsString="0" containsNumber="1" containsInteger="1" minValue="20" maxValue="76"/>
    </cacheField>
    <cacheField name="TIEMPO REAL" numFmtId="41">
      <sharedItems containsSemiMixedTypes="0" containsString="0" containsNumber="1" containsInteger="1" minValue="-46231" maxValue="105"/>
    </cacheField>
    <cacheField name="Días (FECHA INICIO REAL)" numFmtId="0" databaseField="0">
      <fieldGroup base="6">
        <rangePr groupBy="days" startDate="2026-02-17T00:00:00" endDate="2026-07-29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29-07-2026"/>
        </groupItems>
      </fieldGroup>
    </cacheField>
    <cacheField name="Meses (FECHA INICIO REAL)" numFmtId="0" databaseField="0">
      <fieldGroup base="6">
        <rangePr groupBy="months" startDate="2026-02-17T00:00:00" endDate="2026-07-29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9-07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">
  <r>
    <n v="407117"/>
    <x v="0"/>
    <x v="0"/>
    <s v="OBRA GRUESA"/>
    <s v="FIJACION"/>
    <n v="585.07205299999998"/>
    <s v=""/>
    <n v="0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n v="585.07209999999998"/>
  </r>
  <r>
    <s v="40814X"/>
    <x v="1"/>
    <x v="1"/>
    <s v="OBRA GRUESA"/>
    <s v="FIJACION"/>
    <n v="233358.08791199999"/>
    <s v=""/>
    <n v="0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n v="233358.08790000001"/>
  </r>
  <r>
    <n v="804070"/>
    <x v="2"/>
    <x v="2"/>
    <s v=""/>
    <s v=""/>
    <n v="6479.9989750000004"/>
    <s v=""/>
    <n v="0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n v="6479.9989999999998"/>
  </r>
  <r>
    <n v="1703046"/>
    <x v="3"/>
    <x v="3"/>
    <n v="0"/>
    <n v="0"/>
    <n v="3138"/>
    <s v=""/>
    <n v="0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n v="3138"/>
  </r>
  <r>
    <n v="1801035"/>
    <x v="4"/>
    <x v="4"/>
    <n v="0"/>
    <n v="0"/>
    <n v="18126.208332999999"/>
    <s v=""/>
    <n v="0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n v="18126.208299999998"/>
  </r>
  <r>
    <n v="1808149"/>
    <x v="5"/>
    <x v="5"/>
    <n v="0"/>
    <n v="0"/>
    <n v="20303.2"/>
    <s v=""/>
    <n v="0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n v="20303.2"/>
  </r>
  <r>
    <n v="1801020"/>
    <x v="6"/>
    <x v="6"/>
    <n v="0"/>
    <n v="0"/>
    <n v="30757"/>
    <s v=""/>
    <n v="0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n v="30757"/>
  </r>
  <r>
    <n v="5316481"/>
    <x v="7"/>
    <x v="0"/>
    <n v="0"/>
    <n v="0"/>
    <n v="11769.175824"/>
    <s v=""/>
    <n v="0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n v="11769.175800000001"/>
  </r>
  <r>
    <n v="5316479"/>
    <x v="8"/>
    <x v="7"/>
    <n v="0"/>
    <n v="0"/>
    <n v="10525"/>
    <s v=""/>
    <n v="0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n v="10525"/>
  </r>
  <r>
    <n v="5316482"/>
    <x v="9"/>
    <x v="8"/>
    <s v="GRIFERIA"/>
    <s v="COCINA"/>
    <n v="1511"/>
    <s v=""/>
    <n v="0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n v="1511"/>
  </r>
  <r>
    <n v="404184"/>
    <x v="10"/>
    <x v="9"/>
    <n v="0"/>
    <n v="0"/>
    <n v="1754.8757310000001"/>
    <s v=""/>
    <n v="0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n v="1754.8757000000001"/>
  </r>
  <r>
    <n v="601122"/>
    <x v="11"/>
    <x v="10"/>
    <n v="0"/>
    <n v="0"/>
    <n v="12000"/>
    <s v=""/>
    <n v="0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n v="12000"/>
  </r>
  <r>
    <n v="601123"/>
    <x v="12"/>
    <x v="11"/>
    <n v="0"/>
    <n v="0"/>
    <n v="11427.75"/>
    <s v=""/>
    <n v="0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n v="11427.75"/>
  </r>
  <r>
    <n v="602060"/>
    <x v="13"/>
    <x v="12"/>
    <n v="0"/>
    <n v="0"/>
    <n v="63032"/>
    <s v=""/>
    <n v="0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n v="63032"/>
  </r>
  <r>
    <n v="701022"/>
    <x v="14"/>
    <x v="13"/>
    <n v="0"/>
    <n v="0"/>
    <n v="11163.59851"/>
    <s v=""/>
    <n v="0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n v="11163.5985"/>
  </r>
  <r>
    <n v="2502036"/>
    <x v="15"/>
    <x v="0"/>
    <n v="0"/>
    <n v="0"/>
    <n v="47856.412698"/>
    <s v=""/>
    <n v="0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n v="47856.412700000001"/>
  </r>
  <r>
    <n v="302019"/>
    <x v="16"/>
    <x v="14"/>
    <s v="OBRA GRUESA"/>
    <s v="MADERA"/>
    <n v="1660.342954"/>
    <s v=""/>
    <n v="0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n v="1660.3430000000001"/>
  </r>
  <r>
    <n v="5112589"/>
    <x v="17"/>
    <x v="15"/>
    <n v="0"/>
    <n v="0"/>
    <n v="5090.0923080000002"/>
    <s v=""/>
    <n v="0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n v="5090.0923000000003"/>
  </r>
  <r>
    <n v="302039"/>
    <x v="18"/>
    <x v="16"/>
    <s v="OBRA GRUESA"/>
    <s v="MADERA"/>
    <n v="9825.5479560000003"/>
    <s v=""/>
    <n v="0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n v="9825.5480000000007"/>
  </r>
  <r>
    <n v="307275"/>
    <x v="19"/>
    <x v="0"/>
    <s v="OBRA GRUESA"/>
    <s v="MADERA"/>
    <n v="1482.060064"/>
    <s v=""/>
    <n v="0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n v="1482.0600999999999"/>
  </r>
  <r>
    <n v="307252"/>
    <x v="20"/>
    <x v="17"/>
    <s v="OBRA GRUESA"/>
    <s v="MADERA"/>
    <n v="16753.020979000001"/>
    <s v=""/>
    <n v="0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n v="16753.021000000001"/>
  </r>
  <r>
    <s v="030210X"/>
    <x v="21"/>
    <x v="18"/>
    <s v="OBRA GRUESA"/>
    <s v="MADERA"/>
    <n v="17998"/>
    <s v=""/>
    <n v="0"/>
    <b v="0"/>
    <x v="0"/>
    <x v="0"/>
    <n v="0"/>
    <n v="0"/>
    <n v="0"/>
    <n v="0"/>
    <n v="0"/>
    <n v="3"/>
    <n v="0"/>
    <n v="3"/>
    <s v=""/>
    <n v="53994"/>
    <n v="17998"/>
    <n v="-53994"/>
    <s v=""/>
    <n v="-3"/>
    <n v="-1"/>
    <n v="0"/>
    <n v="17998"/>
    <n v="17998"/>
  </r>
  <r>
    <n v="1405027"/>
    <x v="22"/>
    <x v="19"/>
    <s v="TERMINACION"/>
    <s v="PUERTA Y VENTANA"/>
    <n v="20069"/>
    <s v="KIT"/>
    <n v="0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n v="20069"/>
  </r>
  <r>
    <n v="1405026"/>
    <x v="23"/>
    <x v="20"/>
    <s v="TERMINACION"/>
    <s v="PUERTA Y VENTANA"/>
    <n v="18880.599999999999"/>
    <s v="KIT"/>
    <n v="0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n v="18880.599999999999"/>
  </r>
  <r>
    <n v="1801154"/>
    <x v="24"/>
    <x v="21"/>
    <s v="TERMINACION"/>
    <s v="BAÑO"/>
    <n v="32738.5"/>
    <s v=""/>
    <n v="0"/>
    <b v="0"/>
    <x v="0"/>
    <x v="0"/>
    <n v="0"/>
    <n v="0"/>
    <n v="0"/>
    <n v="0"/>
    <n v="0"/>
    <n v="4"/>
    <n v="0"/>
    <n v="4"/>
    <s v=""/>
    <n v="36428"/>
    <n v="9107"/>
    <n v="-36428"/>
    <s v=""/>
    <n v="-4"/>
    <n v="-1"/>
    <n v="94526"/>
    <n v="32738.5"/>
    <n v="32738.5"/>
  </r>
  <r>
    <n v="1101971"/>
    <x v="25"/>
    <x v="22"/>
    <n v="0"/>
    <n v="0"/>
    <n v="44950"/>
    <s v=""/>
    <n v="0"/>
    <b v="0"/>
    <x v="0"/>
    <x v="0"/>
    <n v="0"/>
    <n v="0"/>
    <n v="0"/>
    <n v="0"/>
    <n v="0"/>
    <n v="3"/>
    <n v="0"/>
    <n v="3"/>
    <s v=""/>
    <n v="134850"/>
    <n v="44950"/>
    <n v="-134850"/>
    <s v=""/>
    <n v="-3"/>
    <n v="-1"/>
    <n v="0"/>
    <n v="44950"/>
    <n v="44950"/>
  </r>
  <r>
    <n v="1802005"/>
    <x v="26"/>
    <x v="23"/>
    <s v="TERMINACION"/>
    <s v="BAÑO"/>
    <n v="3780.4087909999998"/>
    <s v=""/>
    <n v="0"/>
    <b v="0"/>
    <x v="0"/>
    <x v="0"/>
    <n v="0"/>
    <n v="0"/>
    <n v="0"/>
    <n v="0"/>
    <n v="0"/>
    <n v="1"/>
    <n v="0"/>
    <n v="1"/>
    <s v=""/>
    <n v="3780"/>
    <n v="3780"/>
    <n v="-3780"/>
    <s v=""/>
    <n v="-1"/>
    <n v="-1"/>
    <n v="0.40879099999983737"/>
    <n v="3780.4088000000002"/>
    <n v="3780.4088000000002"/>
  </r>
  <r>
    <n v="1808043"/>
    <x v="27"/>
    <x v="24"/>
    <n v="0"/>
    <n v="0"/>
    <n v="2779.727273"/>
    <s v=""/>
    <n v="0"/>
    <b v="0"/>
    <x v="0"/>
    <x v="0"/>
    <n v="0"/>
    <n v="0"/>
    <n v="0"/>
    <n v="0"/>
    <n v="0"/>
    <n v="1"/>
    <n v="0"/>
    <n v="1"/>
    <s v=""/>
    <n v="2780"/>
    <n v="2780"/>
    <n v="-2780"/>
    <s v=""/>
    <n v="-1"/>
    <n v="-1"/>
    <n v="-0.27272700000003169"/>
    <n v="2779.7273"/>
    <n v="2779.7273"/>
  </r>
  <r>
    <n v="1801236"/>
    <x v="28"/>
    <x v="25"/>
    <s v="GRIFERIA"/>
    <n v="0"/>
    <n v="8938"/>
    <s v=""/>
    <n v="0"/>
    <b v="0"/>
    <x v="0"/>
    <x v="0"/>
    <n v="0"/>
    <n v="0"/>
    <n v="0"/>
    <n v="0"/>
    <n v="0"/>
    <n v="1"/>
    <n v="0"/>
    <n v="1"/>
    <s v=""/>
    <n v="9269"/>
    <n v="9269"/>
    <n v="-9269"/>
    <s v=""/>
    <n v="-1"/>
    <n v="-1"/>
    <n v="-331"/>
    <n v="8938"/>
    <n v="8938"/>
  </r>
  <r>
    <n v="1801238"/>
    <x v="29"/>
    <x v="26"/>
    <s v="GRIFERIA"/>
    <s v=""/>
    <n v="16615"/>
    <s v=""/>
    <n v="0"/>
    <b v="0"/>
    <x v="0"/>
    <x v="0"/>
    <n v="0"/>
    <n v="0"/>
    <n v="0"/>
    <n v="0"/>
    <n v="0"/>
    <n v="1"/>
    <n v="0"/>
    <n v="1"/>
    <s v=""/>
    <n v="16615"/>
    <n v="16615"/>
    <n v="-16615"/>
    <s v=""/>
    <n v="-1"/>
    <n v="-1"/>
    <n v="0"/>
    <n v="16615"/>
    <n v="16615"/>
  </r>
  <r>
    <n v="1801011"/>
    <x v="30"/>
    <x v="27"/>
    <n v="0"/>
    <n v="0"/>
    <n v="9242.4217690000005"/>
    <s v=""/>
    <n v="0"/>
    <b v="0"/>
    <x v="0"/>
    <x v="0"/>
    <n v="0"/>
    <n v="0"/>
    <n v="0"/>
    <n v="0"/>
    <n v="0"/>
    <n v="1"/>
    <n v="0"/>
    <n v="1"/>
    <s v=""/>
    <n v="9273"/>
    <n v="9273"/>
    <n v="-9273"/>
    <s v=""/>
    <n v="-1"/>
    <n v="-1"/>
    <n v="-30.578230999999505"/>
    <n v="9242.4218000000001"/>
    <n v="9242.4218000000001"/>
  </r>
  <r>
    <n v="1101946"/>
    <x v="31"/>
    <x v="28"/>
    <n v="0"/>
    <n v="0"/>
    <n v="52385.051282"/>
    <s v=""/>
    <n v="0"/>
    <b v="0"/>
    <x v="0"/>
    <x v="0"/>
    <n v="0"/>
    <n v="0"/>
    <n v="0"/>
    <n v="0"/>
    <n v="0"/>
    <n v="1"/>
    <n v="0"/>
    <n v="1"/>
    <s v=""/>
    <n v="52060"/>
    <n v="52060"/>
    <n v="-52060"/>
    <s v=""/>
    <n v="-1"/>
    <n v="-1"/>
    <n v="325.05128200000036"/>
    <n v="52385.051299999999"/>
    <n v="52385.051299999999"/>
  </r>
  <r>
    <n v="1401065"/>
    <x v="32"/>
    <x v="29"/>
    <s v="TERMINACION"/>
    <s v=""/>
    <n v="13116.498607"/>
    <s v=""/>
    <n v="0"/>
    <b v="0"/>
    <x v="0"/>
    <x v="0"/>
    <n v="0"/>
    <n v="0"/>
    <n v="0"/>
    <n v="0"/>
    <n v="0"/>
    <n v="3"/>
    <n v="0"/>
    <n v="3"/>
    <s v=""/>
    <n v="39438"/>
    <n v="13146"/>
    <n v="-39438"/>
    <s v=""/>
    <n v="-3"/>
    <n v="-1"/>
    <n v="-88.504179000003205"/>
    <n v="13116.498600000001"/>
    <n v="13116.498600000001"/>
  </r>
  <r>
    <n v="1105121"/>
    <x v="33"/>
    <x v="30"/>
    <s v="TERMINACION"/>
    <s v=""/>
    <n v="96540.363635999995"/>
    <s v=""/>
    <n v="0"/>
    <b v="0"/>
    <x v="0"/>
    <x v="0"/>
    <n v="0"/>
    <n v="0"/>
    <n v="0"/>
    <n v="0"/>
    <n v="0"/>
    <n v="1"/>
    <n v="0"/>
    <n v="1"/>
    <s v=""/>
    <n v="96540"/>
    <n v="96540"/>
    <n v="-96540"/>
    <s v=""/>
    <n v="-1"/>
    <n v="-1"/>
    <n v="0.36363599999458529"/>
    <n v="96540.363599999997"/>
    <n v="96540.363599999997"/>
  </r>
  <r>
    <n v="1105122"/>
    <x v="34"/>
    <x v="31"/>
    <s v="TERMINACION"/>
    <s v=""/>
    <n v="134750"/>
    <s v=""/>
    <n v="0"/>
    <b v="0"/>
    <x v="0"/>
    <x v="0"/>
    <n v="0"/>
    <n v="0"/>
    <n v="0"/>
    <n v="0"/>
    <n v="0"/>
    <n v="1"/>
    <n v="0"/>
    <n v="1"/>
    <s v=""/>
    <n v="134750"/>
    <n v="134750"/>
    <n v="-134750"/>
    <s v=""/>
    <n v="-1"/>
    <n v="-1"/>
    <n v="0"/>
    <n v="134750"/>
    <n v="134750"/>
  </r>
  <r>
    <n v="1901229"/>
    <x v="35"/>
    <x v="32"/>
    <s v="OBRA GRUESA"/>
    <s v="AISLANTE"/>
    <n v="1896.2317370000001"/>
    <s v=""/>
    <n v="0"/>
    <b v="0"/>
    <x v="0"/>
    <x v="0"/>
    <n v="0"/>
    <n v="0"/>
    <n v="0"/>
    <n v="0"/>
    <n v="0"/>
    <n v="197"/>
    <n v="0"/>
    <n v="197"/>
    <s v=""/>
    <n v="373619"/>
    <n v="1896.5431472081218"/>
    <n v="-373619"/>
    <s v=""/>
    <n v="-197"/>
    <n v="-1"/>
    <n v="-61.34781100001419"/>
    <n v="1896.2317"/>
    <n v="1896.2317"/>
  </r>
  <r>
    <n v="307256"/>
    <x v="36"/>
    <x v="14"/>
    <s v="OBRA GRUESA"/>
    <s v="MADERA"/>
    <n v="1896.957447"/>
    <s v=""/>
    <n v="0"/>
    <b v="0"/>
    <x v="0"/>
    <x v="0"/>
    <n v="0"/>
    <n v="0"/>
    <n v="0"/>
    <n v="0"/>
    <n v="0"/>
    <n v="490"/>
    <n v="0"/>
    <n v="490"/>
    <s v=""/>
    <n v="929511"/>
    <n v="1896.961224489796"/>
    <n v="-929511"/>
    <s v=""/>
    <n v="-490"/>
    <n v="-1"/>
    <n v="-1.8509700000286102"/>
    <n v="1896.9574"/>
    <n v="1896.9574"/>
  </r>
  <r>
    <n v="408013"/>
    <x v="37"/>
    <x v="33"/>
    <n v="0"/>
    <n v="0"/>
    <n v="2520.47678"/>
    <s v=""/>
    <n v="0"/>
    <b v="0"/>
    <x v="0"/>
    <x v="0"/>
    <n v="0"/>
    <n v="0"/>
    <n v="0"/>
    <n v="0"/>
    <n v="0"/>
    <n v="1"/>
    <n v="0"/>
    <n v="1"/>
    <s v=""/>
    <n v="2698"/>
    <n v="2698"/>
    <n v="-2698"/>
    <s v=""/>
    <n v="-1"/>
    <n v="-1"/>
    <n v="-177.52322000000004"/>
    <n v="2520.4767999999999"/>
    <n v="2520.4767999999999"/>
  </r>
  <r>
    <n v="704091"/>
    <x v="38"/>
    <x v="34"/>
    <n v="0"/>
    <n v="0"/>
    <n v="175.15508600000001"/>
    <s v=""/>
    <n v="0"/>
    <b v="0"/>
    <x v="0"/>
    <x v="0"/>
    <n v="0"/>
    <n v="0"/>
    <n v="0"/>
    <n v="0"/>
    <n v="0"/>
    <n v="100"/>
    <n v="0"/>
    <n v="100"/>
    <s v=""/>
    <n v="17516"/>
    <n v="175.16"/>
    <n v="-17516"/>
    <s v=""/>
    <n v="-100"/>
    <n v="-1"/>
    <n v="-0.49139999999897555"/>
    <n v="175.1551"/>
    <n v="175.1551"/>
  </r>
  <r>
    <n v="704107"/>
    <x v="39"/>
    <x v="35"/>
    <n v="0"/>
    <n v="0"/>
    <n v="236.855018"/>
    <s v=""/>
    <n v="0"/>
    <b v="0"/>
    <x v="0"/>
    <x v="0"/>
    <n v="0"/>
    <n v="0"/>
    <n v="0"/>
    <n v="0"/>
    <n v="0"/>
    <n v="100"/>
    <n v="0"/>
    <n v="100"/>
    <s v=""/>
    <n v="23685"/>
    <n v="236.85"/>
    <n v="-23685"/>
    <s v=""/>
    <n v="-100"/>
    <n v="-1"/>
    <n v="0.5018000000018219"/>
    <n v="236.85499999999999"/>
    <n v="236.85499999999999"/>
  </r>
  <r>
    <n v="617056"/>
    <x v="40"/>
    <x v="36"/>
    <n v="0"/>
    <n v="0"/>
    <n v="1320.5"/>
    <s v=""/>
    <n v="0"/>
    <b v="0"/>
    <x v="0"/>
    <x v="0"/>
    <n v="0"/>
    <n v="0"/>
    <n v="0"/>
    <n v="0"/>
    <n v="0"/>
    <n v="2"/>
    <n v="0"/>
    <n v="2"/>
    <s v=""/>
    <n v="2929"/>
    <n v="1464.5"/>
    <n v="-2929"/>
    <s v=""/>
    <n v="-2"/>
    <n v="-1"/>
    <n v="-288"/>
    <n v="1320.5"/>
    <n v="1320.5"/>
  </r>
  <r>
    <n v="701183"/>
    <x v="41"/>
    <x v="37"/>
    <n v="0"/>
    <n v="0"/>
    <n v="996.5"/>
    <s v=""/>
    <n v="0"/>
    <b v="0"/>
    <x v="0"/>
    <x v="0"/>
    <n v="0"/>
    <n v="0"/>
    <n v="0"/>
    <n v="0"/>
    <n v="0"/>
    <n v="21"/>
    <n v="0"/>
    <n v="21"/>
    <s v=""/>
    <n v="20910"/>
    <n v="995.71428571428567"/>
    <n v="-20910"/>
    <s v=""/>
    <n v="-21"/>
    <n v="-1"/>
    <n v="16.5"/>
    <n v="996.5"/>
    <n v="996.5"/>
  </r>
  <r>
    <s v="080470X"/>
    <x v="42"/>
    <x v="38"/>
    <n v="0"/>
    <n v="0"/>
    <n v="265.85816599999998"/>
    <s v=""/>
    <n v="0"/>
    <b v="0"/>
    <x v="0"/>
    <x v="0"/>
    <n v="0"/>
    <n v="0"/>
    <n v="0"/>
    <n v="0"/>
    <n v="0"/>
    <n v="1"/>
    <n v="0"/>
    <n v="1"/>
    <s v=""/>
    <n v="229"/>
    <n v="229"/>
    <n v="-229"/>
    <s v=""/>
    <n v="-1"/>
    <n v="-1"/>
    <n v="36.858165999999983"/>
    <n v="265.85820000000001"/>
    <n v="265.85820000000001"/>
  </r>
  <r>
    <n v="2505059"/>
    <x v="43"/>
    <x v="39"/>
    <n v="0"/>
    <n v="0"/>
    <n v="75790.3125"/>
    <s v=""/>
    <n v="0"/>
    <b v="0"/>
    <x v="0"/>
    <x v="0"/>
    <n v="0"/>
    <n v="0"/>
    <n v="0"/>
    <n v="0"/>
    <n v="0"/>
    <n v="2"/>
    <n v="0"/>
    <n v="2"/>
    <s v=""/>
    <n v="151581"/>
    <n v="75790.5"/>
    <n v="-151581"/>
    <s v=""/>
    <n v="-2"/>
    <n v="-1"/>
    <n v="-0.375"/>
    <n v="75790.3125"/>
    <n v="75790.3125"/>
  </r>
  <r>
    <n v="409027"/>
    <x v="44"/>
    <x v="40"/>
    <s v=""/>
    <s v=""/>
    <n v="6469.1028470000001"/>
    <s v=""/>
    <n v="0"/>
    <b v="0"/>
    <x v="0"/>
    <x v="0"/>
    <n v="0"/>
    <n v="0"/>
    <n v="0"/>
    <n v="0"/>
    <n v="0"/>
    <n v="12"/>
    <n v="0"/>
    <n v="12"/>
    <s v=""/>
    <n v="75785"/>
    <n v="6315.416666666667"/>
    <n v="-75785"/>
    <s v=""/>
    <n v="-12"/>
    <n v="-1"/>
    <n v="1844.2341639999941"/>
    <n v="6469.1027999999997"/>
    <n v="6469.1027999999997"/>
  </r>
  <r>
    <s v="090721x"/>
    <x v="45"/>
    <x v="0"/>
    <s v=""/>
    <s v=""/>
    <n v="5771.9989420000002"/>
    <s v=""/>
    <n v="0"/>
    <b v="0"/>
    <x v="0"/>
    <x v="0"/>
    <n v="0"/>
    <n v="0"/>
    <n v="0"/>
    <n v="0"/>
    <n v="0"/>
    <n v="102"/>
    <n v="0"/>
    <n v="102"/>
    <s v=""/>
    <n v="591630"/>
    <n v="5800.2941176470586"/>
    <n v="-591630"/>
    <s v=""/>
    <n v="-102"/>
    <n v="-1"/>
    <n v="-2886.1079159999499"/>
    <n v="5771.9988999999996"/>
    <n v="5771.9988999999996"/>
  </r>
  <r>
    <n v="307263"/>
    <x v="46"/>
    <x v="0"/>
    <s v=""/>
    <s v=""/>
    <n v="9514.2179489999999"/>
    <s v=""/>
    <n v="0"/>
    <b v="0"/>
    <x v="0"/>
    <x v="0"/>
    <n v="0"/>
    <n v="0"/>
    <n v="0"/>
    <n v="0"/>
    <n v="0"/>
    <n v="7"/>
    <n v="0"/>
    <n v="7"/>
    <s v=""/>
    <n v="66599"/>
    <n v="9514.1428571428569"/>
    <n v="-66599"/>
    <s v=""/>
    <n v="-7"/>
    <n v="-1"/>
    <n v="0.52564300000085495"/>
    <n v="9514.2178999999996"/>
    <n v="9514.2178999999996"/>
  </r>
  <r>
    <n v="1802515"/>
    <x v="47"/>
    <x v="0"/>
    <s v=""/>
    <s v=""/>
    <n v="2827.2510459999999"/>
    <s v=""/>
    <n v="0"/>
    <b v="0"/>
    <x v="0"/>
    <x v="0"/>
    <n v="0"/>
    <n v="0"/>
    <n v="0"/>
    <n v="0"/>
    <n v="0"/>
    <n v="1"/>
    <n v="0"/>
    <n v="1"/>
    <s v=""/>
    <n v="2827"/>
    <n v="2827"/>
    <n v="-2827"/>
    <s v=""/>
    <n v="-1"/>
    <n v="-1"/>
    <n v="0.25104599999986021"/>
    <n v="2827.2510000000002"/>
    <n v="2827.2510000000002"/>
  </r>
  <r>
    <s v="180150x"/>
    <x v="48"/>
    <x v="0"/>
    <n v="0"/>
    <n v="0"/>
    <n v="6798.3407129999996"/>
    <s v=""/>
    <n v="0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n v="6798.3406999999997"/>
  </r>
  <r>
    <n v="704095"/>
    <x v="49"/>
    <x v="0"/>
    <s v=""/>
    <s v=""/>
    <n v="250.00118800000001"/>
    <s v=""/>
    <n v="0"/>
    <b v="0"/>
    <x v="0"/>
    <x v="0"/>
    <n v="0"/>
    <n v="0"/>
    <n v="0"/>
    <n v="0"/>
    <n v="0"/>
    <n v="60"/>
    <n v="0"/>
    <n v="60"/>
    <s v=""/>
    <n v="15000"/>
    <n v="250"/>
    <n v="-15000"/>
    <s v=""/>
    <n v="-60"/>
    <n v="-1"/>
    <n v="7.1280000000115251E-2"/>
    <n v="250.00120000000001"/>
    <n v="250.00120000000001"/>
  </r>
  <r>
    <n v="617007"/>
    <x v="50"/>
    <x v="0"/>
    <s v=""/>
    <s v=""/>
    <n v="99.963820999999996"/>
    <s v=""/>
    <n v="0"/>
    <b v="0"/>
    <x v="0"/>
    <x v="0"/>
    <n v="0"/>
    <n v="0"/>
    <n v="0"/>
    <n v="0"/>
    <n v="0"/>
    <n v="13"/>
    <n v="0"/>
    <n v="13"/>
    <s v=""/>
    <n v="1300"/>
    <n v="100"/>
    <n v="-1300"/>
    <s v=""/>
    <n v="-13"/>
    <n v="-1"/>
    <n v="-0.4703269999999975"/>
    <n v="99.963800000000006"/>
    <n v="99.963800000000006"/>
  </r>
  <r>
    <n v="1801233"/>
    <x v="51"/>
    <x v="0"/>
    <s v=""/>
    <s v=""/>
    <n v="7404.4100719999997"/>
    <s v=""/>
    <n v="0"/>
    <b v="0"/>
    <x v="0"/>
    <x v="0"/>
    <n v="0"/>
    <n v="0"/>
    <n v="0"/>
    <n v="0"/>
    <n v="0"/>
    <n v="1"/>
    <n v="0"/>
    <n v="1"/>
    <s v=""/>
    <n v="7404"/>
    <n v="7404"/>
    <n v="-7404"/>
    <s v=""/>
    <n v="-1"/>
    <n v="-1"/>
    <n v="0.4100719999996727"/>
    <n v="7404.4101000000001"/>
    <n v="7404.4101000000001"/>
  </r>
  <r>
    <n v="1801232"/>
    <x v="52"/>
    <x v="0"/>
    <s v=""/>
    <s v=""/>
    <n v="6876.3333329999996"/>
    <s v=""/>
    <n v="0"/>
    <b v="0"/>
    <x v="0"/>
    <x v="0"/>
    <n v="0"/>
    <n v="0"/>
    <n v="0"/>
    <n v="0"/>
    <n v="0"/>
    <n v="1"/>
    <n v="0"/>
    <n v="1"/>
    <s v=""/>
    <n v="6876"/>
    <n v="6876"/>
    <n v="-6876"/>
    <s v=""/>
    <n v="-1"/>
    <n v="-1"/>
    <n v="0.33333299999958399"/>
    <n v="6876.3333000000002"/>
    <n v="6876.3333000000002"/>
  </r>
  <r>
    <n v="1801231"/>
    <x v="53"/>
    <x v="0"/>
    <s v=""/>
    <s v=""/>
    <n v="5708.8"/>
    <s v=""/>
    <n v="0"/>
    <b v="0"/>
    <x v="0"/>
    <x v="0"/>
    <n v="0"/>
    <n v="0"/>
    <n v="0"/>
    <n v="0"/>
    <n v="0"/>
    <n v="1"/>
    <n v="0"/>
    <n v="1"/>
    <s v=""/>
    <n v="5709"/>
    <n v="5709"/>
    <n v="-5709"/>
    <s v=""/>
    <n v="-1"/>
    <n v="-1"/>
    <n v="-0.1999999999998181"/>
    <n v="5708.8"/>
    <n v="5708.8"/>
  </r>
  <r>
    <s v="040813x"/>
    <x v="54"/>
    <x v="0"/>
    <s v=""/>
    <s v=""/>
    <n v="41451.848739000001"/>
    <s v=""/>
    <n v="0"/>
    <b v="0"/>
    <x v="0"/>
    <x v="0"/>
    <n v="0"/>
    <n v="0"/>
    <n v="0"/>
    <n v="0"/>
    <n v="0"/>
    <n v="1"/>
    <n v="0"/>
    <n v="1"/>
    <s v=""/>
    <n v="41452"/>
    <n v="41452"/>
    <n v="-41452"/>
    <s v=""/>
    <n v="-1"/>
    <n v="-1"/>
    <n v="-0.15126099999906728"/>
    <n v="41451.848700000002"/>
    <n v="41451.848700000002"/>
  </r>
  <r>
    <n v="609007"/>
    <x v="55"/>
    <x v="0"/>
    <s v=""/>
    <s v=""/>
    <n v="8164.9821430000002"/>
    <s v=""/>
    <n v="0"/>
    <b v="0"/>
    <x v="0"/>
    <x v="0"/>
    <n v="0"/>
    <n v="0"/>
    <n v="0"/>
    <n v="0"/>
    <n v="0"/>
    <n v="7"/>
    <n v="0"/>
    <n v="7"/>
    <s v=""/>
    <n v="57155"/>
    <n v="8165"/>
    <n v="-57155"/>
    <s v=""/>
    <n v="-7"/>
    <n v="-1"/>
    <n v="-0.12499899999966146"/>
    <n v="8164.9821000000002"/>
    <n v="8164.9821000000002"/>
  </r>
  <r>
    <n v="412592"/>
    <x v="56"/>
    <x v="0"/>
    <s v=""/>
    <s v=""/>
    <n v="3152.283293"/>
    <s v=""/>
    <n v="0"/>
    <b v="0"/>
    <x v="0"/>
    <x v="0"/>
    <n v="0"/>
    <n v="0"/>
    <n v="0"/>
    <n v="0"/>
    <n v="0"/>
    <n v="2"/>
    <n v="0"/>
    <n v="2"/>
    <s v=""/>
    <n v="6305"/>
    <n v="3152.5"/>
    <n v="-6305"/>
    <s v=""/>
    <n v="-2"/>
    <n v="-1"/>
    <n v="-0.43341400000008434"/>
    <n v="3152.2833000000001"/>
    <n v="3152.2833000000001"/>
  </r>
  <r>
    <s v="080459x"/>
    <x v="57"/>
    <x v="0"/>
    <s v="TERMINACION"/>
    <s v="INTERIOR"/>
    <n v="6762.957808000000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58"/>
    <x v="0"/>
    <s v="OBRA GRUESA"/>
    <s v="TECHUMBRE"/>
    <n v="118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59"/>
    <x v="0"/>
    <s v="OBRA GRUESA"/>
    <s v="TECHUMBRE"/>
    <n v="885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60"/>
    <x v="0"/>
    <s v="TERMINACION"/>
    <s v="PISO"/>
    <n v="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61"/>
    <x v="0"/>
    <s v="TERMINACION"/>
    <s v="PINTURA"/>
    <n v="1"/>
    <s v="GAL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62"/>
    <x v="0"/>
    <n v="0"/>
    <n v="0"/>
    <n v="1029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63"/>
    <x v="0"/>
    <n v="0"/>
    <n v="0"/>
    <n v="29779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64"/>
    <x v="41"/>
    <s v="OBRA GRUESA"/>
    <s v="AISLANTE"/>
    <n v="651.5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65"/>
    <x v="42"/>
    <s v="OBRA GRUESA"/>
    <s v="FIJACION"/>
    <n v="0"/>
    <s v="UND"/>
    <n v="0"/>
    <b v="1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304012"/>
    <x v="66"/>
    <x v="43"/>
    <s v=""/>
    <s v=""/>
    <n v="6004.4515780000002"/>
    <s v=""/>
    <m/>
    <m/>
    <x v="0"/>
    <x v="0"/>
    <s v=""/>
    <s v=""/>
    <s v=""/>
    <s v=""/>
    <s v=""/>
    <n v="49"/>
    <n v="0"/>
    <n v="49"/>
    <s v=""/>
    <n v="296772"/>
    <n v="6056.5714285714284"/>
    <s v=""/>
    <s v=""/>
    <s v=""/>
    <s v=""/>
    <s v=""/>
    <n v="0"/>
    <n v="0"/>
  </r>
  <r>
    <n v="404745"/>
    <x v="67"/>
    <x v="43"/>
    <s v=""/>
    <s v=""/>
    <m/>
    <s v=""/>
    <m/>
    <m/>
    <x v="0"/>
    <x v="0"/>
    <s v=""/>
    <s v=""/>
    <s v=""/>
    <s v=""/>
    <s v=""/>
    <n v="79"/>
    <n v="0"/>
    <n v="79"/>
    <s v=""/>
    <n v="697254"/>
    <n v="8826"/>
    <s v=""/>
    <s v=""/>
    <s v=""/>
    <s v=""/>
    <s v=""/>
    <n v="0"/>
    <n v="0"/>
  </r>
  <r>
    <n v="408017"/>
    <x v="68"/>
    <x v="43"/>
    <s v=""/>
    <s v=""/>
    <m/>
    <s v="CJA"/>
    <m/>
    <m/>
    <x v="0"/>
    <x v="0"/>
    <s v=""/>
    <s v=""/>
    <s v=""/>
    <s v=""/>
    <s v=""/>
    <n v="10"/>
    <n v="0"/>
    <n v="10"/>
    <s v=""/>
    <n v="173000"/>
    <n v="17300"/>
    <s v=""/>
    <s v=""/>
    <s v=""/>
    <s v=""/>
    <s v=""/>
    <n v="0"/>
    <n v="0"/>
  </r>
  <r>
    <n v="412016"/>
    <x v="69"/>
    <x v="43"/>
    <s v=""/>
    <s v=""/>
    <m/>
    <s v=""/>
    <m/>
    <m/>
    <x v="0"/>
    <x v="0"/>
    <s v=""/>
    <s v=""/>
    <s v=""/>
    <s v=""/>
    <s v=""/>
    <n v="48"/>
    <n v="0"/>
    <n v="48"/>
    <s v=""/>
    <n v="202095"/>
    <n v="4210.3125"/>
    <s v=""/>
    <s v=""/>
    <s v=""/>
    <s v=""/>
    <s v=""/>
    <n v="0"/>
    <n v="0"/>
  </r>
  <r>
    <n v="412132"/>
    <x v="70"/>
    <x v="43"/>
    <s v=""/>
    <s v=""/>
    <n v="1037.486099"/>
    <s v=""/>
    <m/>
    <m/>
    <x v="0"/>
    <x v="0"/>
    <s v=""/>
    <s v=""/>
    <s v=""/>
    <s v=""/>
    <s v=""/>
    <n v="40"/>
    <n v="0"/>
    <n v="40"/>
    <s v=""/>
    <n v="41499"/>
    <n v="1037.4749999999999"/>
    <s v=""/>
    <s v=""/>
    <s v=""/>
    <s v=""/>
    <s v=""/>
    <n v="0"/>
    <n v="0"/>
  </r>
  <r>
    <n v="707023"/>
    <x v="71"/>
    <x v="43"/>
    <s v=""/>
    <s v=""/>
    <n v="16708"/>
    <s v="UND"/>
    <m/>
    <m/>
    <x v="0"/>
    <x v="0"/>
    <s v=""/>
    <s v=""/>
    <s v=""/>
    <s v=""/>
    <s v=""/>
    <n v="141"/>
    <n v="0"/>
    <n v="141"/>
    <s v=""/>
    <n v="2359557"/>
    <n v="16734.446808510638"/>
    <s v=""/>
    <s v=""/>
    <s v=""/>
    <s v=""/>
    <s v=""/>
    <n v="0"/>
    <n v="0"/>
  </r>
  <r>
    <n v="1701154"/>
    <x v="72"/>
    <x v="43"/>
    <s v=""/>
    <s v=""/>
    <m/>
    <s v=""/>
    <m/>
    <m/>
    <x v="0"/>
    <x v="0"/>
    <s v=""/>
    <s v=""/>
    <s v=""/>
    <s v=""/>
    <s v=""/>
    <n v="31"/>
    <n v="0"/>
    <n v="31"/>
    <s v=""/>
    <n v="38120"/>
    <n v="1229.6774193548388"/>
    <s v=""/>
    <s v=""/>
    <s v=""/>
    <s v=""/>
    <s v=""/>
    <n v="1230"/>
    <n v="1230"/>
  </r>
  <r>
    <n v="1803044"/>
    <x v="73"/>
    <x v="43"/>
    <s v=""/>
    <s v=""/>
    <n v="52920"/>
    <s v="KIT"/>
    <m/>
    <m/>
    <x v="0"/>
    <x v="0"/>
    <s v=""/>
    <s v=""/>
    <s v=""/>
    <s v=""/>
    <s v=""/>
    <n v="91"/>
    <n v="0"/>
    <n v="91"/>
    <s v=""/>
    <n v="4720849"/>
    <n v="51877.461538461539"/>
    <s v=""/>
    <s v=""/>
    <s v=""/>
    <s v=""/>
    <s v=""/>
    <n v="52920"/>
    <n v="52920"/>
  </r>
  <r>
    <n v="2302044"/>
    <x v="74"/>
    <x v="43"/>
    <s v=""/>
    <s v=""/>
    <n v="13091.967213"/>
    <s v=""/>
    <m/>
    <m/>
    <x v="0"/>
    <x v="0"/>
    <s v=""/>
    <s v=""/>
    <s v=""/>
    <s v=""/>
    <s v=""/>
    <n v="2"/>
    <n v="0"/>
    <n v="2"/>
    <s v=""/>
    <n v="26184"/>
    <n v="13092"/>
    <s v=""/>
    <s v=""/>
    <s v=""/>
    <s v=""/>
    <s v=""/>
    <n v="0"/>
    <n v="0"/>
  </r>
  <r>
    <n v="2302045"/>
    <x v="75"/>
    <x v="43"/>
    <s v=""/>
    <s v=""/>
    <n v="25156.025641"/>
    <s v=""/>
    <m/>
    <m/>
    <x v="0"/>
    <x v="0"/>
    <s v=""/>
    <s v=""/>
    <s v=""/>
    <s v=""/>
    <s v=""/>
    <n v="2"/>
    <n v="0"/>
    <n v="2"/>
    <s v=""/>
    <n v="50312"/>
    <n v="25156"/>
    <s v=""/>
    <s v=""/>
    <s v=""/>
    <s v=""/>
    <s v=""/>
    <n v="0"/>
    <n v="0"/>
  </r>
  <r>
    <n v="2304008"/>
    <x v="76"/>
    <x v="43"/>
    <s v=""/>
    <s v=""/>
    <m/>
    <s v=""/>
    <m/>
    <m/>
    <x v="0"/>
    <x v="0"/>
    <s v=""/>
    <s v=""/>
    <s v=""/>
    <s v=""/>
    <s v=""/>
    <n v="232"/>
    <n v="0"/>
    <n v="232"/>
    <s v=""/>
    <n v="562426"/>
    <n v="2424.25"/>
    <s v=""/>
    <s v=""/>
    <s v=""/>
    <s v=""/>
    <s v=""/>
    <n v="0"/>
    <n v="0"/>
  </r>
  <r>
    <n v="2304056"/>
    <x v="77"/>
    <x v="43"/>
    <s v=""/>
    <s v=""/>
    <n v="2979.25"/>
    <s v=""/>
    <m/>
    <m/>
    <x v="0"/>
    <x v="0"/>
    <s v=""/>
    <s v=""/>
    <s v=""/>
    <s v=""/>
    <s v=""/>
    <n v="386"/>
    <n v="0"/>
    <n v="386"/>
    <s v=""/>
    <n v="1219681"/>
    <n v="3159.7953367875648"/>
    <s v=""/>
    <s v=""/>
    <s v=""/>
    <s v=""/>
    <s v=""/>
    <n v="2979"/>
    <n v="2979"/>
  </r>
  <r>
    <n v="2505426"/>
    <x v="78"/>
    <x v="43"/>
    <s v=""/>
    <s v=""/>
    <n v="1683.8602149999999"/>
    <s v=""/>
    <m/>
    <m/>
    <x v="0"/>
    <x v="0"/>
    <n v="0"/>
    <n v="0"/>
    <n v="0"/>
    <n v="0"/>
    <n v="0"/>
    <n v="34"/>
    <n v="0"/>
    <n v="34"/>
    <s v=""/>
    <n v="59190"/>
    <n v="1740.8823529411766"/>
    <n v="-59190"/>
    <s v=""/>
    <n v="-34"/>
    <n v="-1"/>
    <n v="-1938.7526900000012"/>
    <n v="1684"/>
    <n v="1684"/>
  </r>
  <r>
    <n v="2508986"/>
    <x v="79"/>
    <x v="43"/>
    <s v=""/>
    <s v=""/>
    <m/>
    <s v="KIT"/>
    <m/>
    <m/>
    <x v="0"/>
    <x v="0"/>
    <s v=""/>
    <s v=""/>
    <s v=""/>
    <s v=""/>
    <s v=""/>
    <n v="5"/>
    <n v="0"/>
    <n v="5"/>
    <s v=""/>
    <n v="513110"/>
    <n v="102622"/>
    <s v=""/>
    <s v=""/>
    <s v=""/>
    <s v=""/>
    <s v=""/>
    <n v="0"/>
    <n v="0"/>
  </r>
  <r>
    <n v="2508988"/>
    <x v="80"/>
    <x v="43"/>
    <s v=""/>
    <s v=""/>
    <m/>
    <s v="KIT"/>
    <m/>
    <m/>
    <x v="0"/>
    <x v="0"/>
    <s v=""/>
    <s v=""/>
    <s v=""/>
    <s v=""/>
    <s v=""/>
    <n v="22"/>
    <n v="0"/>
    <n v="22"/>
    <s v=""/>
    <n v="3145208"/>
    <n v="142964"/>
    <s v=""/>
    <s v=""/>
    <s v=""/>
    <s v=""/>
    <s v=""/>
    <n v="0"/>
    <n v="0"/>
  </r>
  <r>
    <n v="5316508"/>
    <x v="81"/>
    <x v="43"/>
    <s v=""/>
    <s v=""/>
    <m/>
    <s v="UND"/>
    <m/>
    <m/>
    <x v="0"/>
    <x v="0"/>
    <s v=""/>
    <s v=""/>
    <s v=""/>
    <s v=""/>
    <s v=""/>
    <n v="18"/>
    <n v="0"/>
    <n v="18"/>
    <s v=""/>
    <n v="262755"/>
    <n v="14597.5"/>
    <s v=""/>
    <s v=""/>
    <s v=""/>
    <s v=""/>
    <s v=""/>
    <n v="0"/>
    <n v="0"/>
  </r>
  <r>
    <s v="081010x"/>
    <x v="82"/>
    <x v="43"/>
    <s v=""/>
    <s v=""/>
    <m/>
    <s v=""/>
    <m/>
    <m/>
    <x v="0"/>
    <x v="0"/>
    <s v=""/>
    <s v=""/>
    <s v=""/>
    <s v=""/>
    <s v=""/>
    <n v="450"/>
    <n v="0"/>
    <n v="450"/>
    <s v=""/>
    <n v="147720"/>
    <n v="328.26666666666665"/>
    <s v=""/>
    <s v=""/>
    <s v=""/>
    <s v=""/>
    <s v=""/>
    <n v="0"/>
    <n v="0"/>
  </r>
  <r>
    <n v="407423"/>
    <x v="83"/>
    <x v="44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84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85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4003"/>
    <x v="86"/>
    <x v="45"/>
    <n v="0"/>
    <n v="0"/>
    <n v="1297.135262"/>
    <s v=""/>
    <n v="0"/>
    <b v="0"/>
    <x v="0"/>
    <x v="0"/>
    <n v="5.6875000000000002E-2"/>
    <n v="73.774568026250009"/>
    <n v="2360.7861768400003"/>
    <n v="51937.295890480003"/>
    <n v="39.926250000000003"/>
    <n v="46"/>
    <n v="0"/>
    <n v="46"/>
    <n v="808.79120879120876"/>
    <n v="59716"/>
    <n v="1298.1739130434783"/>
    <n v="-7737.1165217391317"/>
    <n v="-1.1489703379639626"/>
    <n v="-5.9600000000000009"/>
    <n v="-7.7181208053691268"/>
    <n v="-6.1903602191305254"/>
    <n v="1297.1352999999999"/>
    <n v="1297.1352999999999"/>
  </r>
  <r>
    <n v="2302119"/>
    <x v="87"/>
    <x v="46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229"/>
    <n v="0"/>
    <n v="1229"/>
    <n v="780.31746031746025"/>
    <n v="4527150"/>
    <n v="3683.6045565500408"/>
    <n v="-442769.26769731421"/>
    <n v="-1.1087814017846405"/>
    <n v="-120.19999999999982"/>
    <n v="-10.224625623960081"/>
    <n v="-1530.087889314862"/>
    <n v="3671"/>
    <n v="0"/>
  </r>
  <r>
    <n v="302054"/>
    <x v="88"/>
    <x v="0"/>
    <s v="OBRA GRUESA"/>
    <s v="MADERA"/>
    <n v="5713"/>
    <s v=""/>
    <n v="0"/>
    <b v="0"/>
    <x v="1"/>
    <x v="1"/>
    <n v="34.543750000000003"/>
    <n v="197348.44375000001"/>
    <n v="6315150.2000000002"/>
    <n v="138933304.40000001"/>
    <n v="24249.712500000001"/>
    <n v="17808"/>
    <n v="0"/>
    <n v="17808"/>
    <n v="515.52017369278087"/>
    <n v="86254216"/>
    <n v="4843.5655884995504"/>
    <n v="31535486.833602887"/>
    <n v="-0.77301708204672281"/>
    <n v="6510.8000000000029"/>
    <n v="2.7351477545002139"/>
    <n v="-5660713.5663971268"/>
    <n v="5713"/>
    <n v="5713"/>
  </r>
  <r>
    <n v="304014"/>
    <x v="89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2304053"/>
    <x v="90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87"/>
    <n v="0"/>
    <n v="887"/>
    <n v="422.38095238095235"/>
    <n v="894876"/>
    <n v="1008.8793686583991"/>
    <n v="596651.25862457731"/>
    <n v="-0.53419400432271424"/>
    <n v="591.40000000000009"/>
    <n v="1.4998309097057827"/>
    <n v="84256.294140377198"/>
    <n v="862"/>
    <n v="0"/>
  </r>
  <r>
    <n v="1901505"/>
    <x v="91"/>
    <x v="32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408034"/>
    <x v="9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6"/>
    <n v="0"/>
    <n v="26"/>
    <n v="364.14565826330528"/>
    <n v="48542"/>
    <n v="1867"/>
    <n v="45303.875200000009"/>
    <n v="-0.51723951850634065"/>
    <n v="24.265600000000006"/>
    <n v="1.071475669260187"/>
    <n v="1.2046657120008604"/>
    <n v="1866.9503999999999"/>
    <n v="4.4999999090578058E-5"/>
  </r>
  <r>
    <n v="1801230"/>
    <x v="93"/>
    <x v="47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94"/>
    <x v="48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704079"/>
    <x v="95"/>
    <x v="0"/>
    <s v=""/>
    <s v=""/>
    <n v="755.704882"/>
    <s v=""/>
    <n v="0"/>
    <b v="0"/>
    <x v="0"/>
    <x v="0"/>
    <n v="0.44843749999999999"/>
    <n v="338.88640802187501"/>
    <n v="10844.3650567"/>
    <n v="238576.03124740001"/>
    <n v="314.80312499999997"/>
    <n v="141"/>
    <n v="0"/>
    <n v="141"/>
    <n v="314.42508710801394"/>
    <n v="101122"/>
    <n v="717.17730496453896"/>
    <n v="125290.87517730494"/>
    <n v="-0.47483879867470824"/>
    <n v="174.7"/>
    <n v="0.80709788208357192"/>
    <n v="-6730.767708095038"/>
    <n v="755.70489999999995"/>
    <n v="755.70489999999995"/>
  </r>
  <r>
    <n v="1103074"/>
    <x v="96"/>
    <x v="49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1405040"/>
    <x v="97"/>
    <x v="50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40"/>
    <n v="0"/>
    <n v="140"/>
    <n v="266.66666666666663"/>
    <n v="1060341"/>
    <n v="7573.8642857142859"/>
    <n v="1738959.2400000002"/>
    <n v="-0.37830651444221741"/>
    <n v="229.60000000000002"/>
    <n v="0.6097560975609756"/>
    <n v="1346.4399999999441"/>
    <n v="7568"/>
    <n v="0"/>
  </r>
  <r>
    <n v="701040"/>
    <x v="98"/>
    <x v="13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135"/>
    <n v="0"/>
    <n v="1135"/>
    <n v="264.93930905695606"/>
    <n v="8657669"/>
    <n v="7627.9022026431721"/>
    <n v="14347595.857430842"/>
    <n v="-0.39287547727498695"/>
    <n v="1880.9360000000006"/>
    <n v="0.6034229766456698"/>
    <n v="-390903.17558210529"/>
    <n v="7835.7259999999997"/>
    <n v="4.6000001020729542E-5"/>
  </r>
  <r>
    <n v="1902003"/>
    <x v="99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109"/>
    <n v="0"/>
    <n v="109"/>
    <n v="262.86215894237768"/>
    <n v="16432663"/>
    <n v="150758.376146789"/>
    <n v="27577455.453512233"/>
    <n v="-0.37315755436890208"/>
    <n v="182.92486400000007"/>
    <n v="0.59587306840911447"/>
    <n v="9951.2382323853672"/>
    <n v="150703.9755"/>
    <n v="4.0000042645260692E-5"/>
  </r>
  <r>
    <n v="704024"/>
    <x v="100"/>
    <x v="51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1610023"/>
    <x v="101"/>
    <x v="52"/>
    <n v="0"/>
    <n v="0"/>
    <n v="2109.0585420000002"/>
    <s v="KG"/>
    <n v="0"/>
    <b v="0"/>
    <x v="0"/>
    <x v="0"/>
    <n v="0.52500000000000002"/>
    <n v="1107.2557345500002"/>
    <n v="35432.183505600005"/>
    <n v="779508.03712320013"/>
    <n v="368.55"/>
    <n v="134"/>
    <n v="0"/>
    <n v="134"/>
    <n v="255.23809523809524"/>
    <n v="302351"/>
    <n v="2256.3507462686566"/>
    <n v="531596.23582089553"/>
    <n v="-0.31803623503002121"/>
    <n v="235.60000000000002"/>
    <n v="0.56876061120543286"/>
    <n v="34702.043325695442"/>
    <n v="2109.0585000000001"/>
    <n v="2109.0585000000001"/>
  </r>
  <r>
    <n v="410045"/>
    <x v="102"/>
    <x v="53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4045"/>
    <n v="0"/>
    <n v="4045"/>
    <n v="240.77380952380946"/>
    <n v="1404842"/>
    <n v="347.30333745364646"/>
    <n v="2702784.0327317682"/>
    <n v="-0.379016617168906"/>
    <n v="7782.2000000000025"/>
    <n v="0.51977589884608444"/>
    <n v="-161076.15884243231"/>
    <n v="368.00139999999999"/>
    <n v="3.9000000072064722E-5"/>
  </r>
  <r>
    <n v="1103088"/>
    <x v="103"/>
    <x v="54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s v="geotextil"/>
    <x v="104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05"/>
    <x v="55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200"/>
    <n v="0"/>
    <n v="200"/>
    <n v="208.71243991364531"/>
    <n v="7000000"/>
    <n v="35000"/>
    <n v="16611433.999999991"/>
    <n v="-0.29646653396824607"/>
    <n v="474.61239999999975"/>
    <n v="0.42139649111569799"/>
    <n v="0"/>
    <n v="35000"/>
    <n v="0"/>
  </r>
  <r>
    <n v="2302098"/>
    <x v="106"/>
    <x v="56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105"/>
    <n v="0"/>
    <n v="105"/>
    <n v="200"/>
    <n v="2227365"/>
    <n v="21213"/>
    <n v="5612959.8000000007"/>
    <n v="-0.28409090909090906"/>
    <n v="264.60000000000002"/>
    <n v="0.3968253968253968"/>
    <n v="0"/>
    <n v="21213"/>
    <n v="0"/>
  </r>
  <r>
    <n v="302248"/>
    <x v="107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08"/>
    <x v="57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09"/>
    <x v="54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701084"/>
    <x v="110"/>
    <x v="58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132"/>
    <n v="0"/>
    <n v="132"/>
    <n v="189.04403866809881"/>
    <n v="5209903"/>
    <n v="39468.96212121212"/>
    <n v="14191775.772000002"/>
    <n v="-0.24389164405027974"/>
    <n v="359.56800000000004"/>
    <n v="0.36710719530102787"/>
    <n v="462420.79188014567"/>
    <n v="38182.916700000002"/>
    <n v="3.300000389572233E-5"/>
  </r>
  <r>
    <n v="704046"/>
    <x v="111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79"/>
    <n v="0"/>
    <n v="79"/>
    <n v="188.0952380952381"/>
    <n v="715665"/>
    <n v="9059.0506329113923"/>
    <n v="1962915.0911392407"/>
    <n v="-0.2685542833575264"/>
    <n v="216.68"/>
    <n v="0.36459294812626913"/>
    <n v="-3686.0657067191787"/>
    <n v="9076.0622000000003"/>
    <n v="2.9999991966178641E-6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302249"/>
    <x v="114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984"/>
    <n v="0"/>
    <n v="984"/>
    <n v="156.19047619047618"/>
    <n v="2215422"/>
    <n v="2251.4451219512193"/>
    <n v="7770187.4048780501"/>
    <n v="-0.21307595804758772"/>
    <n v="3451.2000000000007"/>
    <n v="0.28511821974965224"/>
    <n v="86749.273300449364"/>
    <n v="2226.3090999999999"/>
    <n v="-4.799999987881165E-5"/>
  </r>
  <r>
    <n v="701043"/>
    <x v="115"/>
    <x v="59"/>
    <s v="OBRA GRUESA"/>
    <s v="TABIQUERIA"/>
    <n v="22146.362772"/>
    <s v="PL"/>
    <n v="22146.362772"/>
    <b v="1"/>
    <x v="2"/>
    <x v="1"/>
    <n v="7.0875000000000012"/>
    <n v="156962.34614655003"/>
    <n v="5022795.0766896009"/>
    <n v="110501491.68717122"/>
    <n v="4975.4250000000011"/>
    <n v="1076"/>
    <n v="0"/>
    <n v="1076"/>
    <n v="151.81657848324511"/>
    <n v="24250403"/>
    <n v="22537.549256505576"/>
    <n v="88202952.770260245"/>
    <n v="-0.2017940081753643"/>
    <n v="3913.6000000000013"/>
    <n v="0.27493867538838912"/>
    <n v="1530947.4257610142"/>
    <n v="22146.362799999999"/>
    <n v="2.7999998565064743E-5"/>
  </r>
  <r>
    <n v="304002"/>
    <x v="116"/>
    <x v="60"/>
    <s v="OBRA GRUESA"/>
    <s v="TABIQUERIA"/>
    <n v="21246.507152999999"/>
    <s v="PL"/>
    <n v="21246.507152999999"/>
    <b v="1"/>
    <x v="3"/>
    <x v="1"/>
    <n v="23.296874999999996"/>
    <n v="494977.22133004677"/>
    <n v="15839271.082561497"/>
    <n v="348463963.8163529"/>
    <n v="16354.406249999998"/>
    <n v="3503"/>
    <n v="0"/>
    <n v="3503"/>
    <n v="150.36351441985246"/>
    <n v="75681896"/>
    <n v="21604.880388238653"/>
    <n v="278659747.24750209"/>
    <n v="-0.20031975703989569"/>
    <n v="12897.999999999996"/>
    <n v="0.27159249496045906"/>
    <n v="4622297.9881081581"/>
    <n v="21246.5072"/>
    <n v="4.7000001359265298E-5"/>
  </r>
  <r>
    <n v="407185"/>
    <x v="117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1405006"/>
    <x v="118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550"/>
    <n v="0"/>
    <n v="4550"/>
    <n v="149.42528735632183"/>
    <n v="160365"/>
    <n v="35.245054945054946"/>
    <n v="595176.19384615391"/>
    <n v="-0.21118661452383014"/>
    <n v="16886.800000000003"/>
    <n v="0.26944122036146573"/>
    <n v="803.72631815378554"/>
    <n v="35.197499999999998"/>
    <n v="3.9999999991380264E-5"/>
  </r>
  <r>
    <n v="304007"/>
    <x v="119"/>
    <x v="61"/>
    <s v="OBRA GRUESA"/>
    <s v="TABLERO"/>
    <n v="11444.353021999999"/>
    <s v="PL"/>
    <n v="11444.353021999996"/>
    <b v="1"/>
    <x v="4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n v="617057"/>
    <x v="120"/>
    <x v="62"/>
    <n v="0"/>
    <n v="0"/>
    <n v="2042.119706"/>
    <s v="UND"/>
    <n v="0"/>
    <b v="0"/>
    <x v="0"/>
    <x v="0"/>
    <n v="1.575"/>
    <n v="3216.3385369499997"/>
    <n v="102922.83318239999"/>
    <n v="2264302.3300127997"/>
    <n v="1105.6499999999999"/>
    <n v="231"/>
    <n v="0"/>
    <n v="231"/>
    <n v="146.66666666666666"/>
    <n v="424129"/>
    <n v="1836.0562770562772"/>
    <n v="1611690.2"/>
    <n v="-0.28821775315185527"/>
    <n v="877.8"/>
    <n v="0.26315789473684215"/>
    <n v="-180882.47792679979"/>
    <n v="2042.1197"/>
    <n v="2042.1197"/>
  </r>
  <r>
    <s v="030253X"/>
    <x v="121"/>
    <x v="63"/>
    <s v="OBRA GRUESA"/>
    <s v="MADERA"/>
    <n v="15359.702784999999"/>
    <s v="PZA"/>
    <n v="15359.702785000003"/>
    <b v="1"/>
    <x v="5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302046"/>
    <x v="122"/>
    <x v="16"/>
    <s v="OBRA GRUESA"/>
    <s v="MADERA"/>
    <n v="10156.598467"/>
    <s v="PZA"/>
    <n v="10156.598467000002"/>
    <b v="1"/>
    <x v="6"/>
    <x v="1"/>
    <n v="34.65"/>
    <n v="351926.13688154996"/>
    <n v="11261636.380209599"/>
    <n v="247756000.36461118"/>
    <n v="24324.3"/>
    <n v="4837"/>
    <n v="0"/>
    <n v="4837"/>
    <n v="139.59595959595961"/>
    <n v="49768122"/>
    <n v="10289.047343394666"/>
    <n v="201218783.27583212"/>
    <n v="-0.18783487390938003"/>
    <n v="19556.599999999999"/>
    <n v="0.24733338105805713"/>
    <n v="2590249.696099937"/>
    <n v="10156.5985"/>
    <n v="3.2999998438754119E-5"/>
  </r>
  <r>
    <n v="410046"/>
    <x v="123"/>
    <x v="0"/>
    <s v=""/>
    <s v=""/>
    <n v="746"/>
    <s v="UND"/>
    <n v="0"/>
    <b v="0"/>
    <x v="0"/>
    <x v="0"/>
    <n v="8.4"/>
    <n v="6266.4000000000005"/>
    <n v="200524.80000000002"/>
    <n v="4411545.6000000006"/>
    <n v="5896.8"/>
    <n v="1161"/>
    <n v="0"/>
    <n v="1161"/>
    <n v="138.21428571428572"/>
    <n v="866106"/>
    <n v="746"/>
    <n v="3545439.6"/>
    <n v="-0.19632711038961048"/>
    <n v="4752.6000000000004"/>
    <n v="0.24428733745739173"/>
    <n v="0"/>
    <n v="746"/>
    <n v="746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1802659"/>
    <x v="125"/>
    <x v="0"/>
    <s v=""/>
    <s v=""/>
    <n v="2929.463158"/>
    <s v=""/>
    <n v="0"/>
    <b v="0"/>
    <x v="0"/>
    <x v="0"/>
    <n v="0.52500000000000002"/>
    <n v="1537.96815795"/>
    <n v="49214.981054399999"/>
    <n v="1082729.5831968"/>
    <n v="368.55"/>
    <n v="71"/>
    <n v="0"/>
    <n v="71"/>
    <n v="135.23809523809524"/>
    <n v="174195"/>
    <n v="2453.4507042253522"/>
    <n v="732600.38028169028"/>
    <n v="-0.3233764075064246"/>
    <n v="298.60000000000002"/>
    <n v="0.2377762893503014"/>
    <n v="-142137.31869710982"/>
    <n v="2929.4632000000001"/>
    <n v="2929.4632000000001"/>
  </r>
  <r>
    <n v="5316484"/>
    <x v="126"/>
    <x v="64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5316483"/>
    <x v="127"/>
    <x v="6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408071"/>
    <x v="128"/>
    <x v="66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29"/>
    <x v="67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0"/>
    <x v="68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609008"/>
    <x v="131"/>
    <x v="69"/>
    <n v="0"/>
    <n v="0"/>
    <n v="2130.75731"/>
    <s v="LTS"/>
    <n v="0"/>
    <b v="0"/>
    <x v="0"/>
    <x v="0"/>
    <n v="1.05"/>
    <n v="2237.2951754999999"/>
    <n v="71593.445615999997"/>
    <n v="1575055.8035519999"/>
    <n v="737.1"/>
    <n v="129"/>
    <n v="0"/>
    <n v="129"/>
    <n v="122.85714285714285"/>
    <n v="286580"/>
    <n v="2221.5503875968993"/>
    <n v="1355590.046511628"/>
    <n v="-0.13933840092867944"/>
    <n v="610.20000000000005"/>
    <n v="0.21140609636184857"/>
    <n v="55401.935949628009"/>
    <n v="2130.7573000000002"/>
    <n v="2130.7573000000002"/>
  </r>
  <r>
    <n v="705028"/>
    <x v="132"/>
    <x v="7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601047"/>
    <x v="133"/>
    <x v="71"/>
    <n v="0"/>
    <n v="0"/>
    <n v="50286.86"/>
    <s v=""/>
    <n v="0"/>
    <b v="0"/>
    <x v="0"/>
    <x v="0"/>
    <n v="0.1575"/>
    <n v="7920.1804499999998"/>
    <n v="253445.77439999999"/>
    <n v="5575807.0367999999"/>
    <n v="110.565"/>
    <n v="19"/>
    <n v="0"/>
    <n v="19"/>
    <n v="120.63492063492063"/>
    <n v="934039"/>
    <n v="49159.947368421053"/>
    <n v="4516815.9642105261"/>
    <n v="-0.18992606193151862"/>
    <n v="91.88"/>
    <n v="0.20679146713104049"/>
    <n v="-103540.73258947395"/>
    <n v="50286.86"/>
    <n v="50286.86"/>
  </r>
  <r>
    <n v="407115"/>
    <x v="134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500"/>
    <n v="0"/>
    <n v="500"/>
    <n v="119.04761904761904"/>
    <n v="273991"/>
    <n v="547.98199999999997"/>
    <n v="1346282.1776000001"/>
    <n v="-0.16910476416570586"/>
    <n v="2456.8000000000002"/>
    <n v="0.20351676978183"/>
    <n v="-4.9136000000871718"/>
    <n v="567"/>
    <n v="0"/>
  </r>
  <r>
    <n v="412280"/>
    <x v="135"/>
    <x v="72"/>
    <s v="OBRA GRUESA"/>
    <s v="FIJACION"/>
    <n v="40002.920093000001"/>
    <s v="UND"/>
    <n v="40002.920093000001"/>
    <b v="1"/>
    <x v="8"/>
    <x v="1"/>
    <n v="7.875"/>
    <n v="315022.99573237501"/>
    <n v="10080735.863436"/>
    <n v="221776188.995592"/>
    <n v="5528.25"/>
    <n v="926"/>
    <n v="0"/>
    <n v="926"/>
    <n v="117.58730158730158"/>
    <n v="36177719"/>
    <n v="39068.811015118794"/>
    <n v="180419769.2678186"/>
    <n v="-0.18647817836113778"/>
    <n v="4618"/>
    <n v="0.20051970550021656"/>
    <n v="-4313715.7216553986"/>
    <n v="40002.920100000003"/>
    <n v="7.0000023697502911E-6"/>
  </r>
  <r>
    <n v="407011"/>
    <x v="136"/>
    <x v="73"/>
    <s v="OBRA GRUESA"/>
    <s v="FIJACION"/>
    <n v="473.17523999999997"/>
    <s v="UND"/>
    <n v="473.17523999999992"/>
    <b v="1"/>
    <x v="9"/>
    <x v="1"/>
    <n v="588"/>
    <n v="278227.04112000001"/>
    <n v="8903265.3158400003"/>
    <n v="195871836.94848001"/>
    <n v="412776"/>
    <n v="68298"/>
    <n v="0"/>
    <n v="68298"/>
    <n v="116.15306122448979"/>
    <n v="31624546"/>
    <n v="463.03765849658851"/>
    <n v="160050818.8099798"/>
    <n v="-0.18287988052065995"/>
    <n v="345654"/>
    <n v="0.19759065423805308"/>
    <n v="-3504095.5969801843"/>
    <n v="473.17520000000002"/>
    <n v="-3.9999999899009708E-5"/>
  </r>
  <r>
    <n v="407427"/>
    <x v="137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8"/>
    <x v="74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304049"/>
    <x v="139"/>
    <x v="75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640"/>
    <n v="0"/>
    <n v="2640"/>
    <n v="113.43495214462952"/>
    <n v="39851110"/>
    <n v="15095.117424242424"/>
    <n v="207472848.88200009"/>
    <n v="-0.15479553266664658"/>
    <n v="13744.368000000006"/>
    <n v="0.19207867542545418"/>
    <n v="1554727.5060000122"/>
    <n v="14982"/>
    <n v="0"/>
  </r>
  <r>
    <n v="1901008"/>
    <x v="140"/>
    <x v="76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7017"/>
    <n v="0"/>
    <n v="7017"/>
    <n v="112.39729934037273"/>
    <n v="14475950"/>
    <n v="2062.9827561636025"/>
    <n v="76194100.435450301"/>
    <n v="-0.17946791832639553"/>
    <n v="36933.949257600005"/>
    <n v="0.18998780636912507"/>
    <n v="-1839791.6578071713"/>
    <n v="2112.7957999999999"/>
    <n v="2.0999999833293259E-5"/>
  </r>
  <r>
    <n v="304101"/>
    <x v="141"/>
    <x v="77"/>
    <s v="OBRA GRUESA"/>
    <s v="TABLERO"/>
    <n v="9657.5879499999992"/>
    <s v="PL"/>
    <n v="9657.5879500000046"/>
    <b v="1"/>
    <x v="12"/>
    <x v="1"/>
    <n v="47.643749999999976"/>
    <n v="460123.70589281223"/>
    <n v="14723958.588569991"/>
    <n v="323927088.94853979"/>
    <n v="33445.912499999984"/>
    <n v="5221"/>
    <n v="0"/>
    <n v="5221"/>
    <n v="109.58415322051691"/>
    <n v="50378048"/>
    <n v="9649.1185596629002"/>
    <n v="273264967.43336511"/>
    <n v="-0.15639976786017751"/>
    <n v="28320.199999999983"/>
    <n v="0.18435604268331449"/>
    <n v="-239854.82822471857"/>
    <n v="9657.5879999999997"/>
    <n v="4.9999995098914951E-5"/>
  </r>
  <r>
    <n v="412302"/>
    <x v="142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12630"/>
    <x v="143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67"/>
    <n v="10"/>
    <n v="57"/>
    <n v="108.57142857142857"/>
    <n v="8567100"/>
    <n v="127867.16417910448"/>
    <n v="38692603.880597018"/>
    <n v="-0.29360471617934303"/>
    <n v="302.60000000000002"/>
    <n v="0.2214144084600132"/>
    <n v="-6152716.1194029823"/>
    <n v="148200"/>
    <n v="0"/>
  </r>
  <r>
    <n v="412260"/>
    <x v="144"/>
    <x v="78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5309018"/>
    <x v="145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700"/>
    <n v="0"/>
    <n v="3700"/>
    <n v="106.78210678210681"/>
    <n v="2619115"/>
    <n v="707.86891891891889"/>
    <n v="14648356.260540536"/>
    <n v="-0.14214194754258658"/>
    <n v="20693.599999999995"/>
    <n v="0.17879924227780575"/>
    <n v="162852.15322533995"/>
    <n v="699.99919999999997"/>
    <n v="-3.2000000487641955E-5"/>
  </r>
  <r>
    <n v="602255"/>
    <x v="146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0126"/>
    <x v="147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106"/>
    <n v="0"/>
    <n v="1106"/>
    <n v="105.33333333333333"/>
    <n v="1088091"/>
    <n v="983.80741410488247"/>
    <n v="6184213.4050632911"/>
    <n v="-0.14945821753428234"/>
    <n v="6286"/>
    <n v="0.17594654788418709"/>
    <n v="1185.1190972914919"/>
    <n v="983.61890000000005"/>
    <n v="1.9000000065716449E-5"/>
  </r>
  <r>
    <s v="081009X"/>
    <x v="148"/>
    <x v="79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800"/>
    <n v="0"/>
    <n v="800"/>
    <n v="105.09031198686371"/>
    <n v="10666609"/>
    <n v="13333.26125"/>
    <n v="60789004.690999992"/>
    <n v="-4.5400194673726912E-2"/>
    <n v="4559.2"/>
    <n v="0.1754693805930865"/>
    <n v="6614821.6998135969"/>
    <n v="11882.3879"/>
    <n v="-1.7000000298139639E-5"/>
  </r>
  <r>
    <s v="040748X"/>
    <x v="149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12313"/>
    <x v="150"/>
    <x v="0"/>
    <s v=""/>
    <s v=""/>
    <n v="23724.067384999998"/>
    <s v="CJA"/>
    <n v="0"/>
    <b v="0"/>
    <x v="0"/>
    <x v="0"/>
    <n v="0.86531250000000004"/>
    <n v="20528.732059082813"/>
    <n v="656919.42589065002"/>
    <n v="14452227.3695943"/>
    <n v="607.44937500000003"/>
    <n v="90"/>
    <n v="0"/>
    <n v="90"/>
    <n v="104.00866738894908"/>
    <n v="2135164"/>
    <n v="23724.044444444444"/>
    <n v="12317049.394666668"/>
    <n v="-0.14774040847293768"/>
    <n v="519.18000000000006"/>
    <n v="0.17335028313879577"/>
    <n v="-11.91027763299644"/>
    <n v="23724.0674"/>
    <n v="23724.0674"/>
  </r>
  <r>
    <n v="5314002"/>
    <x v="151"/>
    <x v="80"/>
    <n v="0"/>
    <n v="0"/>
    <n v="311.91986600000001"/>
    <s v="UND"/>
    <n v="0"/>
    <b v="0"/>
    <x v="0"/>
    <x v="0"/>
    <n v="0.26250000000000001"/>
    <n v="81.878964825000011"/>
    <n v="2620.1268744000004"/>
    <n v="57642.791236800011"/>
    <n v="184.27500000000001"/>
    <n v="27"/>
    <n v="0"/>
    <n v="27"/>
    <n v="102.85714285714285"/>
    <n v="8423"/>
    <n v="311.96296296296299"/>
    <n v="49227.755555555566"/>
    <n v="-0.14598591603024524"/>
    <n v="157.80000000000001"/>
    <n v="0.17110266159695817"/>
    <n v="6.8007007555643213"/>
    <n v="311.91989999999998"/>
    <n v="311.91989999999998"/>
  </r>
  <r>
    <n v="412281"/>
    <x v="152"/>
    <x v="81"/>
    <s v="OBRA GRUESA"/>
    <s v="FIJACION"/>
    <n v="0"/>
    <s v="UND"/>
    <n v="0"/>
    <b v="1"/>
    <x v="0"/>
    <x v="0"/>
    <n v="1.8374999999999999"/>
    <n v="0"/>
    <n v="0"/>
    <n v="0"/>
    <n v="1289.925"/>
    <n v="186"/>
    <n v="0"/>
    <n v="186"/>
    <n v="101.22448979591837"/>
    <n v="1664968"/>
    <n v="8951.4408602150543"/>
    <n v="9914615.8967741933"/>
    <s v=""/>
    <n v="1107.5999999999999"/>
    <n v="0.16793066088840738"/>
    <n v="9914615.8967741933"/>
    <n v="0"/>
    <n v="0"/>
  </r>
  <r>
    <n v="407049"/>
    <x v="153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n v="409011"/>
    <x v="154"/>
    <x v="0"/>
    <n v="0"/>
    <n v="0"/>
    <n v="13713.269504"/>
    <s v="TRA"/>
    <n v="0"/>
    <b v="0"/>
    <x v="0"/>
    <x v="0"/>
    <n v="0.13125000000000001"/>
    <n v="1799.8666224000001"/>
    <n v="57595.731916800003"/>
    <n v="1267106.1021696001"/>
    <n v="92.137500000000003"/>
    <n v="13"/>
    <n v="0"/>
    <n v="13"/>
    <n v="99.047619047619037"/>
    <n v="192563"/>
    <n v="14812.538461538461"/>
    <n v="1176115.5538461539"/>
    <n v="-7.1809730982786535E-2"/>
    <n v="79.400000000000006"/>
    <n v="0.16372795969773299"/>
    <n v="87281.955228553852"/>
    <n v="13713.2695"/>
    <n v="13713.2695"/>
  </r>
  <r>
    <n v="302010"/>
    <x v="155"/>
    <x v="82"/>
    <s v="OBRA GRUESA"/>
    <s v="MADERA"/>
    <n v="6585.1337450000001"/>
    <s v="PZA"/>
    <n v="6585.1337449999919"/>
    <b v="0"/>
    <x v="15"/>
    <x v="1"/>
    <n v="34.912500000000023"/>
    <n v="229903.48187231267"/>
    <n v="7356911.4199140053"/>
    <n v="161852051.23810813"/>
    <n v="24508.575000000015"/>
    <n v="4032"/>
    <n v="588"/>
    <n v="3444"/>
    <n v="98.646616541353325"/>
    <n v="22944301"/>
    <n v="5690.5508432539682"/>
    <n v="116920333.84583342"/>
    <n v="-0.27760981123540751"/>
    <n v="20546.400000000016"/>
    <n v="0.19623875715453787"/>
    <n v="-18380458.132434696"/>
    <n v="6585.1337000000003"/>
    <n v="-4.4999991587246768E-5"/>
  </r>
  <r>
    <n v="1808003"/>
    <x v="156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907031"/>
    <x v="157"/>
    <x v="83"/>
    <s v="OBRA GRUESA"/>
    <s v="TECHUMBRE"/>
    <n v="156269.16666700001"/>
    <s v="RLL"/>
    <n v="156269.16666700004"/>
    <b v="1"/>
    <x v="16"/>
    <x v="1"/>
    <n v="0.7111632270168855"/>
    <n v="111132.88485014325"/>
    <n v="3556252.315204584"/>
    <n v="78237550.934500843"/>
    <n v="499.23658536585361"/>
    <n v="68"/>
    <n v="0"/>
    <n v="68"/>
    <n v="95.617992349294298"/>
    <n v="10471329"/>
    <n v="153990.13235294117"/>
    <n v="66625203.094823964"/>
    <n v="-0.14842422469740313"/>
    <n v="432.65891181988741"/>
    <n v="0.15716768600460004"/>
    <n v="-986044.50632088631"/>
    <n v="156269.1667"/>
    <n v="3.2999960239976645E-5"/>
  </r>
  <r>
    <n v="1103087"/>
    <x v="158"/>
    <x v="54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9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60"/>
    <x v="84"/>
    <s v="OBRA GRUESA"/>
    <n v="0"/>
    <n v="29779"/>
    <s v="PL"/>
    <n v="29779.000000000004"/>
    <b v="1"/>
    <x v="17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2505058"/>
    <x v="161"/>
    <x v="85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97"/>
    <n v="0"/>
    <n v="197"/>
    <n v="93.809523809523782"/>
    <n v="3277496"/>
    <n v="16637.035532994923"/>
    <n v="21318697.331979699"/>
    <n v="-0.1930610921516871"/>
    <n v="1281.4000000000003"/>
    <n v="0.15373809895426874"/>
    <n v="-1580105.276755508"/>
    <n v="17870.144100000001"/>
    <n v="3.1999999919207767E-5"/>
  </r>
  <r>
    <n v="701096"/>
    <x v="162"/>
    <x v="86"/>
    <s v="OBRA GRUESA"/>
    <s v="TABIQUERIA"/>
    <n v="16019.885684999999"/>
    <s v="PL"/>
    <n v="16019.885685000005"/>
    <b v="1"/>
    <x v="18"/>
    <x v="1"/>
    <n v="31.237499999999997"/>
    <n v="500421.17908518744"/>
    <n v="16013477.730725998"/>
    <n v="352296510.07597196"/>
    <n v="21928.724999999999"/>
    <n v="2924"/>
    <n v="0"/>
    <n v="2924"/>
    <n v="93.605442176870753"/>
    <n v="47460028"/>
    <n v="16231.199726402188"/>
    <n v="309483531.42325574"/>
    <n v="-0.12152541233940606"/>
    <n v="19067.199999999997"/>
    <n v="0.15335235378031387"/>
    <n v="4029167.0902237892"/>
    <n v="16019.885700000001"/>
    <n v="1.499999598308932E-5"/>
  </r>
  <r>
    <n v="701015"/>
    <x v="163"/>
    <x v="87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436"/>
    <n v="0"/>
    <n v="436"/>
    <n v="92.275132275132265"/>
    <n v="4041174"/>
    <n v="9268.7477064220184"/>
    <n v="26790388.370642208"/>
    <n v="-0.11992058110279868"/>
    <n v="2890.4000000000005"/>
    <n v="0.15084417381677273"/>
    <n v="339478.16913500056"/>
    <n v="9151.2975000000006"/>
    <n v="3.1999999919207767E-5"/>
  </r>
  <r>
    <n v="1901086"/>
    <x v="164"/>
    <x v="88"/>
    <s v="OBRA GRUESA"/>
    <s v="AISLANTE"/>
    <n v="3711.5870410000002"/>
    <s v="M2"/>
    <n v="3711.5870410000002"/>
    <b v="1"/>
    <x v="19"/>
    <x v="1"/>
    <n v="31.794434700000004"/>
    <n v="118007.81180844075"/>
    <n v="3776249.9778701039"/>
    <n v="83077499.513142288"/>
    <n v="22319.693159400002"/>
    <n v="2922"/>
    <n v="0"/>
    <n v="2922"/>
    <n v="91.902876323195002"/>
    <n v="10626434"/>
    <n v="3636.6988364134154"/>
    <n v="70774821.709250286"/>
    <n v="-0.14808676086773409"/>
    <n v="19461.282028800004"/>
    <n v="0.15014427084895252"/>
    <n v="-1457420.4700900018"/>
    <n v="3711.587"/>
    <n v="-4.1000000237545464E-5"/>
  </r>
  <r>
    <n v="4212234"/>
    <x v="165"/>
    <x v="89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48"/>
    <n v="0"/>
    <n v="48"/>
    <n v="91.428571428571431"/>
    <n v="6074723"/>
    <n v="126556.72916666667"/>
    <n v="40700644.100000001"/>
    <n v="-0.11839186676818481"/>
    <n v="321.60000000000002"/>
    <n v="0.14925373134328357"/>
    <n v="529909.69999999553"/>
    <n v="124909"/>
    <n v="0"/>
  </r>
  <r>
    <n v="307033"/>
    <x v="166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710"/>
    <n v="0"/>
    <n v="710"/>
    <n v="90.158730158730137"/>
    <n v="1341632"/>
    <n v="1889.6225352112676"/>
    <n v="9134435.3352112696"/>
    <n v="-0.12780374783587733"/>
    <n v="4834.0000000000009"/>
    <n v="0.14687629292511376"/>
    <n v="2750.5035152677447"/>
    <n v="1889.0535"/>
    <n v="-4.4000000116284355E-5"/>
  </r>
  <r>
    <n v="1802517"/>
    <x v="167"/>
    <x v="90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n v="1405025"/>
    <x v="168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7"/>
    <n v="0"/>
    <n v="47"/>
    <n v="89.523809523809518"/>
    <n v="328094"/>
    <n v="6980.7234042553191"/>
    <n v="2251981.3702127659"/>
    <n v="-9.8469610550768638E-2"/>
    <n v="322.60000000000002"/>
    <n v="0.14569125852448853"/>
    <n v="71678.516986965667"/>
    <n v="6758.5333000000001"/>
    <n v="-3.3000000257743523E-5"/>
  </r>
  <r>
    <s v="V01"/>
    <x v="169"/>
    <x v="91"/>
    <s v="TERMINACION"/>
    <s v="PUERTA Y VENTANA"/>
    <n v="205500"/>
    <s v="UND"/>
    <n v="205500"/>
    <b v="1"/>
    <x v="20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70"/>
    <x v="0"/>
    <s v="TERMINACION"/>
    <s v="PUERTA Y VENTANA"/>
    <n v="101229"/>
    <s v="UND"/>
    <n v="101229"/>
    <b v="1"/>
    <x v="21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71"/>
    <x v="92"/>
    <s v="TERMINACION"/>
    <s v="PUERTA Y VENTANA"/>
    <n v="350139"/>
    <s v="UND"/>
    <n v="350139"/>
    <b v="1"/>
    <x v="22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72"/>
    <x v="93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1802162"/>
    <x v="173"/>
    <x v="94"/>
    <s v="TERMINACION"/>
    <s v="BAÑO"/>
    <n v="42840"/>
    <s v="UND"/>
    <n v="42840"/>
    <b v="1"/>
    <x v="0"/>
    <x v="0"/>
    <n v="0.52500000000000002"/>
    <n v="22491"/>
    <n v="719712"/>
    <n v="15833664"/>
    <n v="368.55"/>
    <n v="46"/>
    <n v="0"/>
    <n v="46"/>
    <n v="87.61904761904762"/>
    <n v="1970640"/>
    <n v="42840"/>
    <n v="13863024.000000002"/>
    <n v="-0.12445887445887438"/>
    <n v="323.60000000000002"/>
    <n v="0.14215080346106304"/>
    <n v="0"/>
    <n v="42840"/>
    <n v="0"/>
  </r>
  <r>
    <n v="602256"/>
    <x v="174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75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76"/>
    <x v="95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1802171"/>
    <x v="177"/>
    <x v="96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302048"/>
    <x v="178"/>
    <x v="97"/>
    <s v="OBRA GRUESA"/>
    <s v="MADERA"/>
    <n v="13710.694960999999"/>
    <s v="PZA"/>
    <n v="0"/>
    <b v="0"/>
    <x v="23"/>
    <x v="1"/>
    <n v="35.174999999999997"/>
    <n v="482273.69525317493"/>
    <n v="15432758.248101598"/>
    <n v="339520681.45823514"/>
    <n v="24692.85"/>
    <n v="2922"/>
    <n v="0"/>
    <n v="2922"/>
    <n v="83.070362473347558"/>
    <n v="40233792"/>
    <n v="13769.264887063655"/>
    <n v="300737268.25133467"/>
    <n v="-0.11422989916351023"/>
    <n v="21841.199999999997"/>
    <n v="0.1337838580297786"/>
    <n v="1279237.4691415429"/>
    <n v="13710.695"/>
    <n v="13710.695"/>
  </r>
  <r>
    <n v="1703006"/>
    <x v="179"/>
    <x v="98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80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8156"/>
    <x v="181"/>
    <x v="99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82"/>
    <x v="100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83"/>
    <x v="101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2508993"/>
    <x v="184"/>
    <x v="102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4"/>
    <n v="0"/>
    <n v="84"/>
    <n v="80"/>
    <n v="123923"/>
    <n v="1475.2738095238096"/>
    <n v="966599.40000000014"/>
    <n v="-0.68412577098284344"/>
    <n v="655.20000000000005"/>
    <n v="0.12820512820512819"/>
    <n v="-1745741.4001872002"/>
    <n v="1410"/>
    <n v="0"/>
  </r>
  <r>
    <n v="2508990"/>
    <x v="185"/>
    <x v="103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82"/>
    <n v="0"/>
    <n v="82"/>
    <n v="78.095238095238088"/>
    <n v="547489"/>
    <n v="6676.6951219512193"/>
    <n v="4387924.0341463415"/>
    <n v="0.43392611382939683"/>
    <n v="657.2"/>
    <n v="0.1247717589774802"/>
    <n v="1667303.8053871412"/>
    <n v="6738"/>
    <n v="0"/>
  </r>
  <r>
    <n v="2508991"/>
    <x v="186"/>
    <x v="104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87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5316507"/>
    <x v="188"/>
    <x v="105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1901466"/>
    <x v="189"/>
    <x v="106"/>
    <s v=""/>
    <s v=""/>
    <m/>
    <s v="M2"/>
    <n v="2112.795779"/>
    <b v="0"/>
    <x v="0"/>
    <x v="0"/>
    <n v="29.529275999999999"/>
    <n v="0"/>
    <n v="0"/>
    <n v="0"/>
    <n v="20729.551751999999"/>
    <n v="2159"/>
    <n v="0"/>
    <n v="2159"/>
    <n v="73.113881965815892"/>
    <n v="4255200"/>
    <n v="1970.9124594719779"/>
    <n v="36717331.063261136"/>
    <s v=""/>
    <n v="18629.610303999998"/>
    <n v="0.11589077628405556"/>
    <n v="36717331.063261136"/>
    <n v="2112.7957999999999"/>
    <n v="2.0999999833293259E-5"/>
  </r>
  <r>
    <n v="2302017"/>
    <x v="190"/>
    <x v="0"/>
    <s v="TERMINACION"/>
    <s v="FIJACION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56"/>
    <n v="0"/>
    <n v="56"/>
    <n v="71.1111111111111"/>
    <n v="4676698"/>
    <n v="83512.46428571429"/>
    <n v="41622612.20000001"/>
    <n v="-7.5383983268489829E-2"/>
    <n v="498.40000000000009"/>
    <n v="0.11235955056179774"/>
    <n v="1153588.0210264027"/>
    <n v="81197.881599999993"/>
    <n v="2.1000014385208488E-5"/>
  </r>
  <r>
    <n v="617055"/>
    <x v="191"/>
    <x v="0"/>
    <n v="0"/>
    <n v="0"/>
    <n v="920.35378100000003"/>
    <s v="UND"/>
    <n v="0"/>
    <b v="0"/>
    <x v="0"/>
    <x v="0"/>
    <n v="2.1"/>
    <n v="1932.7429401000002"/>
    <n v="61847.774083200005"/>
    <n v="1360651.0298304001"/>
    <n v="1474.2"/>
    <n v="149"/>
    <n v="0"/>
    <n v="149"/>
    <n v="70.952380952380949"/>
    <n v="113746"/>
    <n v="763.39597315436242"/>
    <n v="1014858.6067114095"/>
    <n v="-0.25413747944033249"/>
    <n v="1329.4"/>
    <n v="0.11208063788175116"/>
    <n v="-208659.70974999061"/>
    <n v="920.35379999999998"/>
    <n v="920.35379999999998"/>
  </r>
  <r>
    <n v="1801229"/>
    <x v="192"/>
    <x v="107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404252"/>
    <x v="193"/>
    <x v="0"/>
    <s v=""/>
    <s v=""/>
    <n v="1110.043876"/>
    <s v=""/>
    <n v="0"/>
    <b v="0"/>
    <x v="0"/>
    <x v="0"/>
    <n v="3.6749999999999998"/>
    <n v="4079.4112442999995"/>
    <n v="130541.15981759998"/>
    <n v="2871905.5159871997"/>
    <n v="2579.85"/>
    <n v="247"/>
    <n v="0"/>
    <n v="247"/>
    <n v="67.210884353741505"/>
    <n v="363526"/>
    <n v="1471.7651821862348"/>
    <n v="3444224.8793522264"/>
    <n v="0.19928210039608341"/>
    <n v="2340.1999999999998"/>
    <n v="0.10554653448423212"/>
    <n v="846500.20073702652"/>
    <n v="1110.0438999999999"/>
    <n v="1110.0438999999999"/>
  </r>
  <r>
    <n v="1808006"/>
    <x v="194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95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96"/>
    <x v="108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97"/>
    <x v="109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408014"/>
    <x v="198"/>
    <x v="110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34"/>
    <n v="0"/>
    <n v="34"/>
    <n v="66.08357628765792"/>
    <n v="548607"/>
    <n v="16135.5"/>
    <n v="5295800.1839999994"/>
    <n v="-9.647850289866855E-2"/>
    <n v="328.20799999999997"/>
    <n v="0.10359284356261883"/>
    <n v="-15296.712142495438"/>
    <n v="16182.1068"/>
    <n v="3.7999991036485881E-5"/>
  </r>
  <r>
    <n v="307030"/>
    <x v="199"/>
    <x v="111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480"/>
    <n v="0"/>
    <n v="480"/>
    <n v="65.306122448979593"/>
    <n v="1310400"/>
    <n v="2730"/>
    <n v="12815711.999999998"/>
    <n v="-9.2763998303577955E-2"/>
    <n v="4694.3999999999996"/>
    <n v="0.10224948875255624"/>
    <n v="5.3703935984522104"/>
    <n v="2729.9989"/>
    <n v="4.3999999888910679E-5"/>
  </r>
  <r>
    <n v="1802174"/>
    <x v="200"/>
    <x v="112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201"/>
    <x v="113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202"/>
    <x v="114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203"/>
    <x v="115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204"/>
    <x v="116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205"/>
    <x v="117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206"/>
    <x v="118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8146"/>
    <x v="207"/>
    <x v="119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34"/>
    <n v="0"/>
    <n v="34"/>
    <n v="64.761904761904759"/>
    <n v="112890"/>
    <n v="3320.294117647059"/>
    <n v="1114290.705882353"/>
    <n v="-9.1370419661122693E-2"/>
    <n v="335.6"/>
    <n v="0.10131108462455303"/>
    <n v="761.46319315303117"/>
    <n v="3404"/>
    <n v="0"/>
  </r>
  <r>
    <n v="1802169"/>
    <x v="208"/>
    <x v="120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209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407795"/>
    <x v="210"/>
    <x v="121"/>
    <s v="GRIFERIA"/>
    <s v="BAÑO"/>
    <n v="1610.93361"/>
    <s v="UND"/>
    <n v="0"/>
    <b v="0"/>
    <x v="0"/>
    <x v="0"/>
    <n v="0.52500000000000002"/>
    <n v="845.74014525000007"/>
    <n v="27063.684648000002"/>
    <n v="595401.062256"/>
    <n v="368.55"/>
    <n v="33"/>
    <n v="0"/>
    <n v="33"/>
    <n v="62.857142857142854"/>
    <n v="49587"/>
    <n v="1502.6363636363637"/>
    <n v="505787.40000000008"/>
    <n v="-0.15050974534114858"/>
    <n v="336.6"/>
    <n v="9.8039215686274508E-2"/>
    <n v="-36452.853125999973"/>
    <n v="1610.9336000000001"/>
    <n v="1610.9336000000001"/>
  </r>
  <r>
    <n v="704021"/>
    <x v="211"/>
    <x v="122"/>
    <s v="OBRA GRUESA"/>
    <s v="TABIQUERIA"/>
    <n v="487"/>
    <s v="UND"/>
    <n v="487"/>
    <b v="1"/>
    <x v="0"/>
    <x v="0"/>
    <n v="21"/>
    <n v="10227"/>
    <n v="327264"/>
    <n v="7199808"/>
    <n v="14742"/>
    <n v="1318"/>
    <n v="0"/>
    <n v="1318"/>
    <n v="62.761904761904759"/>
    <n v="641866"/>
    <n v="487"/>
    <n v="6557942"/>
    <n v="-8.9150432900432897E-2"/>
    <n v="13466"/>
    <n v="9.787613248180603E-2"/>
    <n v="0"/>
    <n v="487"/>
    <n v="0"/>
  </r>
  <r>
    <n v="302028"/>
    <x v="212"/>
    <x v="123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1161"/>
    <n v="600"/>
    <n v="10561"/>
    <n v="61.143436097843413"/>
    <n v="53232521"/>
    <n v="4769.5117820983787"/>
    <n v="526732480.48431128"/>
    <n v="-0.15458518226175777"/>
    <n v="110437.39999999995"/>
    <n v="0.10106177798463206"/>
    <n v="-39126948.710998237"/>
    <n v="5123.8024999999998"/>
    <n v="-2.7000001864507794E-5"/>
  </r>
  <r>
    <n v="1808148"/>
    <x v="213"/>
    <x v="124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1805340"/>
    <x v="214"/>
    <x v="125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1901038"/>
    <x v="215"/>
    <x v="126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266"/>
    <n v="0"/>
    <n v="2266"/>
    <n v="56.635487156416168"/>
    <n v="10474240"/>
    <n v="4622.3477493380406"/>
    <n v="119724427.48271845"/>
    <n v="1.2643634586413155E-2"/>
    <n v="25901.216"/>
    <n v="8.7486240028267395E-2"/>
    <n v="11006200.460082442"/>
    <n v="4197.4179000000004"/>
    <n v="2.4999999368446879E-5"/>
  </r>
  <r>
    <n v="407170"/>
    <x v="216"/>
    <x v="127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8404"/>
    <n v="0"/>
    <n v="8404"/>
    <n v="55.582010582010589"/>
    <n v="41777"/>
    <n v="4.9710851975249879"/>
    <n v="487369.16963350779"/>
    <n v="-6.1801880691753519E-2"/>
    <n v="98040.799999999988"/>
    <n v="8.5719414774257263E-2"/>
    <n v="8908.8888207078562"/>
    <n v="4.8802000000000003"/>
    <n v="-1.6000000000460091E-5"/>
  </r>
  <r>
    <n v="704092"/>
    <x v="217"/>
    <x v="128"/>
    <s v="TERMINACION"/>
    <s v=""/>
    <n v="273.47427099999999"/>
    <s v=""/>
    <n v="0"/>
    <b v="0"/>
    <x v="0"/>
    <x v="0"/>
    <n v="1"/>
    <n v="273.47427099999999"/>
    <n v="8751.1766719999996"/>
    <n v="192525.886784"/>
    <n v="702"/>
    <n v="54"/>
    <n v="0"/>
    <n v="54"/>
    <n v="54"/>
    <n v="14768"/>
    <n v="273.48148148148147"/>
    <n v="177762.96296296295"/>
    <n v="-7.6680201647895685E-2"/>
    <n v="650"/>
    <n v="8.3076923076923076E-2"/>
    <n v="4.6868129629583564"/>
    <n v="273.47430000000003"/>
    <n v="273.47430000000003"/>
  </r>
  <r>
    <n v="307096"/>
    <x v="218"/>
    <x v="129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439"/>
    <n v="0"/>
    <n v="3439"/>
    <n v="52.826420890937001"/>
    <n v="5843293"/>
    <n v="1699.1256179121838"/>
    <n v="72028313.719162568"/>
    <n v="-0.24994519665921655"/>
    <n v="42391.400000000016"/>
    <n v="8.1124945153969882E-2"/>
    <n v="-16796511.739328057"/>
    <n v="2095.3501000000001"/>
    <n v="-2.8999998448853148E-5"/>
  </r>
  <r>
    <n v="617016"/>
    <x v="219"/>
    <x v="130"/>
    <n v="0"/>
    <n v="0"/>
    <n v="2857.5132739999999"/>
    <s v="UND"/>
    <n v="0"/>
    <b v="0"/>
    <x v="0"/>
    <x v="0"/>
    <n v="4.2"/>
    <n v="12001.5557508"/>
    <n v="384049.78402560001"/>
    <n v="8449095.2485632002"/>
    <n v="2948.4"/>
    <n v="218"/>
    <n v="0"/>
    <n v="218"/>
    <n v="51.904761904761905"/>
    <n v="624335"/>
    <n v="2863.9220183486241"/>
    <n v="7843709.6238532122"/>
    <n v="-7.1650940946953567E-2"/>
    <n v="2738.8"/>
    <n v="7.9596903753468673E-2"/>
    <n v="17552.269022012129"/>
    <n v="2857.5133000000001"/>
    <n v="2857.5133000000001"/>
  </r>
  <r>
    <n v="602258"/>
    <x v="220"/>
    <x v="131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s v="140209X"/>
    <x v="221"/>
    <x v="132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52"/>
    <n v="0"/>
    <n v="152"/>
    <n v="48.253968253968246"/>
    <n v="459235"/>
    <n v="3021.2828947368421"/>
    <n v="6240761.9473684225"/>
    <n v="-6.8542560607934733E-2"/>
    <n v="2065.6000000000004"/>
    <n v="7.3586367157242441E-2"/>
    <n v="5.3162021562457085E-2"/>
    <n v="3021.2829000000002"/>
    <n v="3.0999999580672011E-5"/>
  </r>
  <r>
    <n v="307031"/>
    <x v="222"/>
    <x v="133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23"/>
    <x v="22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24"/>
    <x v="134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25"/>
    <x v="135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26"/>
    <x v="136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63"/>
    <n v="0"/>
    <n v="63"/>
    <n v="39.999999999999993"/>
    <n v="480541"/>
    <n v="7627.6349206349205"/>
    <n v="7976980.6000000015"/>
    <n v="-0.60027522097613217"/>
    <n v="1045.8000000000002"/>
    <n v="6.0240963855421679E-2"/>
    <n v="-10845327.800000001"/>
    <n v="7596"/>
    <n v="0"/>
  </r>
  <r>
    <n v="407307"/>
    <x v="227"/>
    <x v="0"/>
    <s v="OBRA GRUESA"/>
    <s v="FIJACION"/>
    <n v="69.472774999999999"/>
    <s v="UND"/>
    <n v="0"/>
    <b v="0"/>
    <x v="0"/>
    <x v="0"/>
    <n v="65.625"/>
    <n v="4559.1508593749995"/>
    <n v="145892.82749999998"/>
    <n v="3209642.2049999996"/>
    <n v="46068.75"/>
    <n v="2620"/>
    <n v="0"/>
    <n v="2620"/>
    <n v="39.923809523809524"/>
    <n v="189527"/>
    <n v="72.338549618320613"/>
    <n v="3152513.9923664122"/>
    <n v="-1.7798934892055196E-2"/>
    <n v="43580"/>
    <n v="6.0119320789352913E-2"/>
    <n v="124890.45786641212"/>
    <n v="69.472800000000007"/>
    <n v="69.472800000000007"/>
  </r>
  <r>
    <n v="412249"/>
    <x v="228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29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30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32"/>
    <x v="138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33"/>
    <x v="97"/>
    <s v="OBRA GRUESA"/>
    <s v="MADERA"/>
    <n v="13725.962534"/>
    <s v="PZA"/>
    <n v="13725.962534"/>
    <b v="1"/>
    <x v="23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34"/>
    <x v="139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35"/>
    <x v="140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407010"/>
    <x v="236"/>
    <x v="0"/>
    <s v=""/>
    <s v=""/>
    <n v="11.50126"/>
    <s v=""/>
    <n v="0"/>
    <b v="0"/>
    <x v="0"/>
    <x v="0"/>
    <n v="65.625"/>
    <n v="754.77018750000002"/>
    <n v="24152.646000000001"/>
    <n v="531358.21200000006"/>
    <n v="46068.75"/>
    <n v="1282"/>
    <n v="0"/>
    <n v="1282"/>
    <n v="19.535238095238096"/>
    <n v="15257"/>
    <n v="11.900936037441499"/>
    <n v="534566.24492979725"/>
    <n v="6.0374204394477715E-3"/>
    <n v="44918"/>
    <n v="2.8540896745180105E-2"/>
    <n v="17952.648249797232"/>
    <n v="11.501300000000001"/>
    <n v="11.501300000000001"/>
  </r>
  <r>
    <n v="106022"/>
    <x v="237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30"/>
    <n v="0"/>
    <n v="130"/>
    <n v="19.047619047619051"/>
    <n v="494024"/>
    <n v="3800.1846153846154"/>
    <n v="17765103.039999999"/>
    <n v="-2.7185932437765681E-2"/>
    <n v="4674.7999999999993"/>
    <n v="2.7808676307007792E-2"/>
    <n v="-2367.7096051983535"/>
    <n v="3800.6911"/>
    <n v="9.999994290410541E-7"/>
  </r>
  <r>
    <s v="040815X"/>
    <x v="238"/>
    <x v="141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6"/>
    <n v="0"/>
    <n v="56"/>
    <n v="16.213203627704313"/>
    <n v="2059387"/>
    <n v="36774.767857142855"/>
    <n v="87362079.681799978"/>
    <n v="-2.7395305306378903E-2"/>
    <n v="2375.5983999999994"/>
    <n v="2.3573007962962095E-2"/>
    <n v="-392093.28765010834"/>
    <n v="36939.818200000002"/>
    <n v="1.8000020645558834E-5"/>
  </r>
  <r>
    <n v="1610007"/>
    <x v="239"/>
    <x v="142"/>
    <n v="0"/>
    <n v="0"/>
    <n v="1624.474037"/>
    <s v="KG"/>
    <n v="0"/>
    <b v="0"/>
    <x v="0"/>
    <x v="0"/>
    <n v="1.05"/>
    <n v="1705.69773885"/>
    <n v="54582.327643199998"/>
    <n v="1200811.2081503998"/>
    <n v="737.1"/>
    <n v="14"/>
    <n v="0"/>
    <n v="14"/>
    <n v="13.333333333333332"/>
    <n v="22725"/>
    <n v="1623.2142857142858"/>
    <n v="1177155.0000000002"/>
    <n v="-1.9700189330208784E-2"/>
    <n v="725.2"/>
    <n v="1.9305019305019305E-2"/>
    <n v="-913.57163239992224"/>
    <n v="1624.4739999999999"/>
    <n v="1624.4739999999999"/>
  </r>
  <r>
    <n v="410078"/>
    <x v="240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41"/>
    <x v="143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42"/>
    <x v="144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43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140207X"/>
    <x v="244"/>
    <x v="145"/>
    <n v="0"/>
    <n v="0"/>
    <n v="17428.493505999999"/>
    <s v=""/>
    <n v="0"/>
    <b v="0"/>
    <x v="0"/>
    <x v="0"/>
    <n v="0.19350000000000001"/>
    <n v="3372.4134934109998"/>
    <n v="107917.23178915199"/>
    <n v="2374179.0993613438"/>
    <n v="135.83700000000002"/>
    <n v="1"/>
    <n v="0"/>
    <n v="1"/>
    <n v="5.1679586563307494"/>
    <n v="17428"/>
    <n v="17428"/>
    <n v="2356683.872"/>
    <n v="-7.36895854489239E-3"/>
    <n v="135.22399999999999"/>
    <n v="7.3951369579364611E-3"/>
    <n v="-66.733855343889445"/>
    <n v="17428.4935"/>
    <n v="17428.4935"/>
  </r>
  <r>
    <s v="080460x"/>
    <x v="245"/>
    <x v="146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801700"/>
    <x v="246"/>
    <x v="147"/>
    <n v="0"/>
    <n v="0"/>
    <n v="13379.859504"/>
    <s v=""/>
    <n v="0"/>
    <b v="0"/>
    <x v="0"/>
    <x v="0"/>
    <n v="1"/>
    <n v="13379.859504"/>
    <n v="428155.504128"/>
    <n v="9419421.0908160005"/>
    <n v="702"/>
    <n v="3"/>
    <n v="0"/>
    <n v="3"/>
    <n v="3"/>
    <n v="46652"/>
    <n v="15550.666666666666"/>
    <n v="10901017.333333332"/>
    <n v="0.15729164544537655"/>
    <n v="701"/>
    <n v="4.2796005706134095E-3"/>
    <n v="1521735.8210293315"/>
    <n v="13379.8595"/>
    <n v="13379.8595"/>
  </r>
  <r>
    <n v="1902013"/>
    <x v="247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73"/>
    <n v="0"/>
    <n v="373"/>
    <n v="2.8618633972370926"/>
    <n v="14952685"/>
    <n v="40087.627345844507"/>
    <n v="3663311710.9046769"/>
    <n v="-0.1692543808474829"/>
    <n v="91382.602400000033"/>
    <n v="4.0817397426186654E-3"/>
    <n v="-728429547.37273073"/>
    <n v="29779"/>
    <n v="29127.5"/>
  </r>
  <r>
    <n v="601121"/>
    <x v="248"/>
    <x v="148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49"/>
    <x v="149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n v="1801155"/>
    <x v="250"/>
    <x v="150"/>
    <s v="TERMINACION"/>
    <s v="BAÑO"/>
    <n v="23733.489796000002"/>
    <s v=""/>
    <n v="0"/>
    <b v="0"/>
    <x v="0"/>
    <x v="0"/>
    <n v="8"/>
    <n v="189867.91836800001"/>
    <n v="6075773.3877760004"/>
    <n v="133667014.53107201"/>
    <n v="5616"/>
    <n v="1"/>
    <n v="0"/>
    <n v="1"/>
    <n v="0.125"/>
    <n v="23734"/>
    <n v="23734"/>
    <n v="133646154"/>
    <n v="-1.5606341732987694E-4"/>
    <n v="5631"/>
    <n v="1.775883502042266E-4"/>
    <n v="2872.9587239921093"/>
    <n v="23733.489799999999"/>
    <n v="23733.489799999999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51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52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53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55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n v="1101307"/>
    <x v="257"/>
    <x v="154"/>
    <s v="TERMINACION"/>
    <n v="0"/>
    <n v="1670"/>
    <s v="ML"/>
    <n v="0"/>
    <b v="0"/>
    <x v="0"/>
    <x v="0"/>
    <n v="0.52500000000000002"/>
    <n v="876.75"/>
    <n v="28056"/>
    <n v="617232"/>
    <n v="368.55"/>
    <n v="0"/>
    <n v="0"/>
    <n v="0"/>
    <n v="0"/>
    <n v="0"/>
    <s v=""/>
    <s v=""/>
    <s v=""/>
    <n v="369.6"/>
    <n v="0"/>
    <s v=""/>
    <s v=""/>
    <e v="#VALUE!"/>
  </r>
  <r>
    <s v="040802X"/>
    <x v="258"/>
    <x v="155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59"/>
    <x v="156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60"/>
    <x v="157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61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62"/>
    <x v="158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63"/>
    <x v="138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64"/>
    <x v="159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65"/>
    <x v="160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66"/>
    <x v="161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67"/>
    <x v="162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2"/>
    <n v="1"/>
    <n v="0.12790000000000001"/>
    <n v="19"/>
    <x v="4"/>
    <x v="0"/>
    <n v="2711.8987881609546"/>
    <n v="80.572442494227289"/>
  </r>
  <r>
    <x v="123"/>
    <n v="0.14487324103592489"/>
    <n v="2.1753165135518227E-3"/>
    <n v="45"/>
    <n v="3071.7870742945629"/>
    <n v="46.123832814446445"/>
    <n v="0"/>
    <n v="0"/>
    <n v="0.12790000000000001"/>
    <n v="20"/>
    <x v="4"/>
    <x v="0"/>
    <n v="2711.8987881609546"/>
    <n v="0"/>
  </r>
  <r>
    <x v="124"/>
    <n v="0.14695446761163677"/>
    <n v="2.0812265757118864E-3"/>
    <n v="43"/>
    <n v="3115.9158923443006"/>
    <n v="44.128818049737603"/>
    <n v="0"/>
    <n v="0"/>
    <n v="0.12790000000000001"/>
    <n v="21"/>
    <x v="4"/>
    <x v="0"/>
    <n v="2711.8987881609546"/>
    <n v="0"/>
  </r>
  <r>
    <x v="125"/>
    <n v="0.14898106132021577"/>
    <n v="2.0265937085789942E-3"/>
    <n v="44"/>
    <n v="3158.8863147242068"/>
    <n v="42.970422379906097"/>
    <n v="0"/>
    <n v="5"/>
    <n v="0.13120000000000001"/>
    <n v="22"/>
    <x v="4"/>
    <x v="0"/>
    <n v="2781.8695934848884"/>
    <n v="69.970805323933746"/>
  </r>
  <r>
    <x v="126"/>
    <n v="0.15105398584258881"/>
    <n v="2.0729245223730375E-3"/>
    <n v="45"/>
    <n v="3202.8391020594104"/>
    <n v="43.952787335203801"/>
    <n v="3"/>
    <n v="2"/>
    <n v="0.13270000000000001"/>
    <n v="23"/>
    <x v="4"/>
    <x v="0"/>
    <n v="2813.6745049957676"/>
    <n v="31.804911510879265"/>
  </r>
  <r>
    <x v="127"/>
    <n v="0.15313378410804881"/>
    <n v="2.0797982654600089E-3"/>
    <n v="45"/>
    <n v="3246.9376352550339"/>
    <n v="44.098533195623567"/>
    <n v="1"/>
    <n v="1"/>
    <n v="0.13569999999999999"/>
    <n v="24"/>
    <x v="4"/>
    <x v="0"/>
    <n v="2877.2843280175252"/>
    <n v="63.60982302175762"/>
  </r>
  <r>
    <x v="128"/>
    <n v="0.15522844775591682"/>
    <n v="2.0946636478680059E-3"/>
    <n v="46"/>
    <n v="3291.3513632320319"/>
    <n v="44.413727976998047"/>
    <n v="3"/>
    <n v="2"/>
    <n v="0.13869999999999999"/>
    <n v="25"/>
    <x v="4"/>
    <x v="0"/>
    <n v="2940.8941510392833"/>
    <n v="63.609823021758075"/>
  </r>
  <r>
    <x v="129"/>
    <n v="0.15745717576902821"/>
    <n v="2.2287280131113862E-3"/>
    <n v="47"/>
    <n v="3338.607694724582"/>
    <n v="47.256331492549968"/>
    <n v="5"/>
    <n v="1"/>
    <n v="0.14280000000000001"/>
    <n v="26"/>
    <x v="4"/>
    <x v="0"/>
    <n v="3027.8275758356863"/>
    <n v="86.93342479640296"/>
  </r>
  <r>
    <x v="130"/>
    <n v="0.1597154965851699"/>
    <n v="2.2583208161416901E-3"/>
    <n v="46"/>
    <n v="3386.4914905382907"/>
    <n v="47.883795813708424"/>
    <n v="0"/>
    <n v="0"/>
    <n v="0.14280000000000001"/>
    <n v="27"/>
    <x v="4"/>
    <x v="0"/>
    <n v="3027.8275758356863"/>
    <n v="0"/>
  </r>
  <r>
    <x v="131"/>
    <n v="0.16182054185741102"/>
    <n v="2.1050452722411184E-3"/>
    <n v="43"/>
    <n v="3431.1253429449725"/>
    <n v="44.633852406682067"/>
    <n v="0"/>
    <n v="0"/>
    <n v="0.14280000000000001"/>
    <n v="28"/>
    <x v="4"/>
    <x v="0"/>
    <n v="3027.8275758356863"/>
    <n v="0"/>
  </r>
  <r>
    <x v="132"/>
    <n v="0.16386640152359158"/>
    <n v="2.0458596661805661E-3"/>
    <n v="45"/>
    <n v="3474.5042667093389"/>
    <n v="43.37892376436632"/>
    <n v="0"/>
    <n v="0"/>
    <n v="0.14280000000000001"/>
    <n v="29"/>
    <x v="4"/>
    <x v="0"/>
    <n v="3027.8275758356863"/>
    <n v="0"/>
  </r>
  <r>
    <x v="133"/>
    <n v="0.16602659701966191"/>
    <n v="2.1601954960703273E-3"/>
    <n v="46"/>
    <n v="3520.3074844418165"/>
    <n v="45.803217732477506"/>
    <n v="0"/>
    <n v="3"/>
    <n v="0.14460000000000001"/>
    <n v="30"/>
    <x v="4"/>
    <x v="0"/>
    <n v="3065.9934696487412"/>
    <n v="38.165893813054936"/>
  </r>
  <r>
    <x v="134"/>
    <n v="0.16825629076527304"/>
    <n v="2.2296937456111332E-3"/>
    <n v="48"/>
    <n v="3567.5842926254986"/>
    <n v="47.276808183681723"/>
    <n v="0"/>
    <n v="2"/>
    <n v="0.14779999999999999"/>
    <n v="1"/>
    <x v="5"/>
    <x v="0"/>
    <n v="3133.8439475386162"/>
    <n v="67.850477889875037"/>
  </r>
  <r>
    <x v="135"/>
    <n v="0.17059987196497056"/>
    <n v="2.3435811996975198E-3"/>
    <n v="49"/>
    <n v="3617.2758877421238"/>
    <n v="49.691595116626274"/>
    <n v="3"/>
    <n v="3"/>
    <n v="0.1502"/>
    <n v="2"/>
    <x v="5"/>
    <x v="0"/>
    <n v="3184.731805956023"/>
    <n v="50.887858417406733"/>
  </r>
  <r>
    <x v="136"/>
    <n v="0.17297394271930536"/>
    <n v="2.374070754334795E-3"/>
    <n v="50"/>
    <n v="3667.613961250247"/>
    <n v="50.338073508122704"/>
    <n v="4"/>
    <n v="3"/>
    <n v="0.1525"/>
    <n v="3"/>
    <x v="5"/>
    <x v="0"/>
    <n v="3233.4993369393706"/>
    <n v="48.767530983347569"/>
  </r>
  <r>
    <x v="137"/>
    <n v="0.17540271532166588"/>
    <n v="2.4287726023605183E-3"/>
    <n v="48"/>
    <n v="3719.1118930489961"/>
    <n v="51.497931798749171"/>
    <n v="0"/>
    <n v="0"/>
    <n v="0.1525"/>
    <n v="4"/>
    <x v="5"/>
    <x v="0"/>
    <n v="3233.4993369393706"/>
    <n v="0"/>
  </r>
  <r>
    <x v="138"/>
    <n v="0.17773284524725866"/>
    <n v="2.3301299255927832E-3"/>
    <n v="46"/>
    <n v="3768.5182771105488"/>
    <n v="49.406384061553126"/>
    <n v="0"/>
    <n v="0"/>
    <n v="0.1525"/>
    <n v="5"/>
    <x v="5"/>
    <x v="0"/>
    <n v="3233.4993369393706"/>
    <n v="0"/>
  </r>
  <r>
    <x v="139"/>
    <n v="0.18000378956679092"/>
    <n v="2.2709443195322587E-3"/>
    <n v="47"/>
    <n v="3816.6697325297873"/>
    <n v="48.151455419237969"/>
    <n v="0"/>
    <n v="0"/>
    <n v="0.15579999999999999"/>
    <n v="6"/>
    <x v="5"/>
    <x v="0"/>
    <n v="3303.4701422633048"/>
    <n v="69.970805323934201"/>
  </r>
  <r>
    <x v="140"/>
    <n v="0.18228272552564412"/>
    <n v="2.278935958853201E-3"/>
    <n v="48"/>
    <n v="3864.9906368699785"/>
    <n v="48.320904340190921"/>
    <n v="1"/>
    <n v="4"/>
    <n v="0.15790000000000001"/>
    <n v="7"/>
    <x v="5"/>
    <x v="0"/>
    <n v="3347.9970183785358"/>
    <n v="44.526876115231062"/>
  </r>
  <r>
    <x v="141"/>
    <n v="0.18465394777487443"/>
    <n v="2.3712222492303092E-3"/>
    <n v="48"/>
    <n v="3915.26831274291"/>
    <n v="50.277675872931738"/>
    <n v="1"/>
    <n v="4"/>
    <n v="0.1615"/>
    <n v="8"/>
    <x v="5"/>
    <x v="0"/>
    <n v="3424.3288060046452"/>
    <n v="76.331787626109417"/>
  </r>
  <r>
    <x v="142"/>
    <n v="0.18707217035832932"/>
    <n v="2.4182225834548932E-3"/>
    <n v="50"/>
    <n v="3966.5425495965046"/>
    <n v="51.274236853594822"/>
    <n v="4"/>
    <n v="0"/>
    <n v="0.16300000000000001"/>
    <n v="9"/>
    <x v="5"/>
    <x v="0"/>
    <n v="3456.1337175155245"/>
    <n v="31.804911510879265"/>
  </r>
  <r>
    <x v="143"/>
    <n v="0.18956295069680762"/>
    <n v="2.4907803384782989E-3"/>
    <n v="50"/>
    <n v="4019.3552484353986"/>
    <n v="52.812698838893134"/>
    <n v="0"/>
    <n v="4"/>
    <n v="0.16600000000000001"/>
    <n v="10"/>
    <x v="5"/>
    <x v="0"/>
    <n v="3519.7435405372826"/>
    <n v="63.609823021758075"/>
  </r>
  <r>
    <x v="144"/>
    <n v="0.19210350074947333"/>
    <n v="2.5405500526657077E-3"/>
    <n v="49"/>
    <n v="4073.2232281780593"/>
    <n v="53.867979742661319"/>
    <n v="0"/>
    <n v="0"/>
    <n v="0.16600000000000001"/>
    <n v="11"/>
    <x v="5"/>
    <x v="0"/>
    <n v="3519.7435405372826"/>
    <n v="0"/>
  </r>
  <r>
    <x v="145"/>
    <n v="0.19458486519607837"/>
    <n v="2.4813644466050444E-3"/>
    <n v="48"/>
    <n v="4125.8362792784028"/>
    <n v="52.61305110034322"/>
    <n v="0"/>
    <n v="0"/>
    <n v="0.16600000000000001"/>
    <n v="12"/>
    <x v="5"/>
    <x v="0"/>
    <n v="3519.7435405372826"/>
    <n v="0"/>
  </r>
  <r>
    <x v="146"/>
    <n v="0.19696526596175659"/>
    <n v="2.38040076567822E-3"/>
    <n v="49"/>
    <n v="4176.3085697536189"/>
    <n v="50.472290475216369"/>
    <n v="3"/>
    <n v="5"/>
    <n v="0.17019999999999999"/>
    <n v="13"/>
    <x v="5"/>
    <x v="0"/>
    <n v="3608.7972927677433"/>
    <n v="89.053752230460759"/>
  </r>
  <r>
    <x v="147"/>
    <n v="0.19941042274347759"/>
    <n v="2.4451567817209974E-3"/>
    <n v="49"/>
    <n v="4228.1538998021933"/>
    <n v="51.845330048574766"/>
    <n v="3"/>
    <n v="3"/>
    <n v="0.17380000000000001"/>
    <n v="14"/>
    <x v="5"/>
    <x v="0"/>
    <n v="3685.1290803938537"/>
    <n v="76.331787626110327"/>
  </r>
  <r>
    <x v="148"/>
    <n v="0.20195584690487767"/>
    <n v="2.5454241614000783E-3"/>
    <n v="51"/>
    <n v="4282.1252266095153"/>
    <n v="53.971326807322022"/>
    <n v="3"/>
    <n v="3"/>
    <n v="0.17499999999999999"/>
    <n v="15"/>
    <x v="5"/>
    <x v="0"/>
    <n v="3710.5730096025563"/>
    <n v="25.443929208702684"/>
  </r>
  <r>
    <x v="149"/>
    <n v="0.20462521268838116"/>
    <n v="2.6693657835034912E-3"/>
    <n v="52"/>
    <n v="4338.7245216325136"/>
    <n v="56.599295022997929"/>
    <n v="0"/>
    <n v="0"/>
    <n v="0.17499999999999999"/>
    <n v="16"/>
    <x v="5"/>
    <x v="0"/>
    <n v="3710.5730096025563"/>
    <n v="0"/>
  </r>
  <r>
    <x v="150"/>
    <n v="0.20724741988737644"/>
    <n v="2.62220719899528E-3"/>
    <n v="52"/>
    <n v="4394.3239002506698"/>
    <n v="55.599378618156621"/>
    <n v="2"/>
    <n v="0"/>
    <n v="0.1792"/>
    <n v="17"/>
    <x v="5"/>
    <x v="0"/>
    <n v="3799.626761833018"/>
    <n v="89.053752230461669"/>
  </r>
  <r>
    <x v="151"/>
    <n v="0.20987070318830006"/>
    <n v="2.6232833009236234E-3"/>
    <n v="49"/>
    <n v="4449.9460957532319"/>
    <n v="55.622195502561709"/>
    <n v="0"/>
    <n v="0"/>
    <n v="0.1792"/>
    <n v="18"/>
    <x v="5"/>
    <x v="0"/>
    <n v="3799.626761833018"/>
    <n v="0"/>
  </r>
  <r>
    <x v="152"/>
    <n v="0.21249398648922371"/>
    <n v="2.6232833009236511E-3"/>
    <n v="49"/>
    <n v="4505.5682912557941"/>
    <n v="55.622195502562306"/>
    <n v="0"/>
    <n v="0"/>
    <n v="0.1792"/>
    <n v="19"/>
    <x v="5"/>
    <x v="0"/>
    <n v="3799.626761833018"/>
    <n v="0"/>
  </r>
  <r>
    <x v="153"/>
    <n v="0.21507549171528115"/>
    <n v="2.5815052260574345E-3"/>
    <n v="50"/>
    <n v="4560.3046547755466"/>
    <n v="54.736363519752373"/>
    <n v="0"/>
    <n v="0"/>
    <n v="0.18329999999999999"/>
    <n v="20"/>
    <x v="5"/>
    <x v="0"/>
    <n v="3886.5601866294205"/>
    <n v="86.933424796402505"/>
  </r>
  <r>
    <x v="154"/>
    <n v="0.21770991583616911"/>
    <n v="2.6344241208879626E-3"/>
    <n v="52"/>
    <n v="4616.1630721401916"/>
    <n v="55.85841736464468"/>
    <n v="4"/>
    <n v="2"/>
    <n v="0.18579999999999999"/>
    <n v="21"/>
    <x v="5"/>
    <x v="0"/>
    <n v="3939.568372480886"/>
    <n v="53.008185851465441"/>
  </r>
  <r>
    <x v="155"/>
    <n v="0.22036282359017986"/>
    <n v="2.6529077540107526E-3"/>
    <n v="51"/>
    <n v="4672.4134030487494"/>
    <n v="56.250330908557942"/>
    <n v="2"/>
    <n v="5"/>
    <n v="0.18770000000000001"/>
    <n v="22"/>
    <x v="5"/>
    <x v="0"/>
    <n v="3979.8545937279996"/>
    <n v="40.286221247113644"/>
  </r>
  <r>
    <x v="156"/>
    <n v="0.22302775836574298"/>
    <n v="2.6649347755631214E-3"/>
    <n v="52"/>
    <n v="4728.9187461947822"/>
    <n v="56.505343146032963"/>
    <n v="2"/>
    <n v="2"/>
    <n v="0.19170000000000001"/>
    <n v="23"/>
    <x v="5"/>
    <x v="0"/>
    <n v="4064.6676910903439"/>
    <n v="84.813097362344251"/>
  </r>
  <r>
    <x v="157"/>
    <n v="0.22575206864770705"/>
    <n v="2.7243102819640708E-3"/>
    <n v="52"/>
    <n v="4786.6830444921461"/>
    <n v="57.76429829736351"/>
    <n v="2"/>
    <n v="3"/>
    <n v="0.19489999999999999"/>
    <n v="24"/>
    <x v="5"/>
    <x v="0"/>
    <n v="4132.5181689802184"/>
    <n v="67.850477889874583"/>
  </r>
  <r>
    <x v="158"/>
    <n v="0.22848929215281155"/>
    <n v="2.7372235051044969E-3"/>
    <n v="50"/>
    <n v="4844.7211454023773"/>
    <n v="58.038100910231165"/>
    <n v="0"/>
    <n v="0"/>
    <n v="0.19489999999999999"/>
    <n v="25"/>
    <x v="5"/>
    <x v="0"/>
    <n v="4132.5181689802184"/>
    <n v="0"/>
  </r>
  <r>
    <x v="159"/>
    <n v="0.23116194954221356"/>
    <n v="2.6726573894020056E-3"/>
    <n v="49"/>
    <n v="4901.3902332482621"/>
    <n v="56.669087845885223"/>
    <n v="0"/>
    <n v="0"/>
    <n v="0.19489999999999999"/>
    <n v="26"/>
    <x v="5"/>
    <x v="0"/>
    <n v="4132.5181689802184"/>
    <n v="0"/>
  </r>
  <r>
    <x v="160"/>
    <n v="0.23374843965220385"/>
    <n v="2.5864901099902915E-3"/>
    <n v="50"/>
    <n v="4956.2322926295992"/>
    <n v="54.842059381336718"/>
    <n v="2"/>
    <n v="3"/>
    <n v="0.19819999999999999"/>
    <n v="27"/>
    <x v="5"/>
    <x v="0"/>
    <n v="4202.4889743041522"/>
    <n v="69.970805323933746"/>
  </r>
  <r>
    <x v="161"/>
    <n v="0.23641448217975211"/>
    <n v="2.6660425275482624E-3"/>
    <n v="50"/>
    <n v="5012.7611237448737"/>
    <n v="56.528831115275231"/>
    <n v="4"/>
    <n v="1"/>
    <n v="0.2041"/>
    <n v="28"/>
    <x v="5"/>
    <x v="0"/>
    <n v="4327.5882929136105"/>
    <n v="125.09931860945835"/>
  </r>
  <r>
    <x v="162"/>
    <n v="0.23904555139462813"/>
    <n v="2.6310692148760195E-3"/>
    <n v="50"/>
    <n v="5068.5484061169609"/>
    <n v="55.787282372086565"/>
    <n v="0"/>
    <n v="3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4"/>
    <n v="20"/>
    <n v="0"/>
    <n v="0"/>
    <x v="3"/>
    <x v="11"/>
    <n v="0.98333333333333328"/>
    <n v="0"/>
    <n v="1"/>
    <n v="20"/>
    <n v="10"/>
    <n v="8.5227272727272721E-2"/>
    <n v="8.3806818181818177E-2"/>
    <n v="2.8409090909090908E-2"/>
    <n v="0"/>
    <n v="5.6818181818181816E-2"/>
  </r>
  <r>
    <x v="79"/>
    <n v="2"/>
    <n v="62"/>
    <n v="1"/>
    <n v="60"/>
    <n v="4"/>
    <n v="24"/>
    <n v="0"/>
    <n v="0"/>
    <x v="3"/>
    <x v="11"/>
    <n v="0.967741935483871"/>
    <n v="0"/>
    <n v="2"/>
    <n v="24"/>
    <n v="10"/>
    <n v="8.8068181818181823E-2"/>
    <n v="8.5227272727272721E-2"/>
    <n v="3.4090909090909088E-2"/>
    <n v="0"/>
    <n v="6.1079545454545456E-2"/>
  </r>
  <r>
    <x v="80"/>
    <n v="2"/>
    <n v="64"/>
    <n v="3"/>
    <n v="63"/>
    <n v="2"/>
    <n v="26"/>
    <n v="0"/>
    <n v="0"/>
    <x v="3"/>
    <x v="11"/>
    <n v="0.984375"/>
    <n v="0"/>
    <n v="1"/>
    <n v="26"/>
    <n v="10"/>
    <n v="9.0909090909090912E-2"/>
    <n v="8.9488636363636367E-2"/>
    <n v="3.6931818181818184E-2"/>
    <n v="0"/>
    <n v="6.3920454545454544E-2"/>
  </r>
  <r>
    <x v="81"/>
    <n v="2"/>
    <n v="66"/>
    <n v="1"/>
    <n v="64"/>
    <n v="2"/>
    <n v="28"/>
    <n v="1"/>
    <n v="1"/>
    <x v="3"/>
    <x v="11"/>
    <n v="0.96969696969696972"/>
    <n v="3.5714285714285712E-2"/>
    <n v="2"/>
    <n v="27"/>
    <n v="10"/>
    <n v="9.375E-2"/>
    <n v="9.0909090909090912E-2"/>
    <n v="3.9772727272727272E-2"/>
    <n v="1.4204545454545455E-3"/>
    <n v="6.6761363636363633E-2"/>
  </r>
  <r>
    <x v="82"/>
    <n v="0"/>
    <n v="66"/>
    <n v="0"/>
    <n v="64"/>
    <n v="1"/>
    <n v="29"/>
    <n v="0"/>
    <n v="1"/>
    <x v="3"/>
    <x v="11"/>
    <n v="0.96969696969696972"/>
    <n v="3.4482758620689655E-2"/>
    <n v="2"/>
    <n v="28"/>
    <n v="10"/>
    <n v="9.375E-2"/>
    <n v="9.0909090909090912E-2"/>
    <n v="4.1193181818181816E-2"/>
    <n v="1.4204545454545455E-3"/>
    <n v="6.7471590909090912E-2"/>
  </r>
  <r>
    <x v="83"/>
    <n v="0"/>
    <n v="66"/>
    <n v="0"/>
    <n v="64"/>
    <n v="1"/>
    <n v="30"/>
    <n v="0"/>
    <n v="1"/>
    <x v="3"/>
    <x v="12"/>
    <n v="0.96969696969696972"/>
    <n v="3.3333333333333333E-2"/>
    <n v="2"/>
    <n v="29"/>
    <n v="10"/>
    <n v="9.375E-2"/>
    <n v="9.0909090909090912E-2"/>
    <n v="4.261363636363636E-2"/>
    <n v="1.4204545454545455E-3"/>
    <n v="6.8181818181818177E-2"/>
  </r>
  <r>
    <x v="84"/>
    <n v="2"/>
    <n v="68"/>
    <n v="1"/>
    <n v="65"/>
    <n v="3"/>
    <n v="33"/>
    <n v="1"/>
    <n v="2"/>
    <x v="3"/>
    <x v="12"/>
    <n v="0.95588235294117652"/>
    <n v="6.0606060606060608E-2"/>
    <n v="3"/>
    <n v="31"/>
    <n v="10"/>
    <n v="9.6590909090909088E-2"/>
    <n v="9.2329545454545456E-2"/>
    <n v="4.6875E-2"/>
    <n v="2.840909090909091E-3"/>
    <n v="7.1732954545454544E-2"/>
  </r>
  <r>
    <x v="85"/>
    <n v="2"/>
    <n v="70"/>
    <n v="2"/>
    <n v="67"/>
    <n v="2"/>
    <n v="35"/>
    <n v="0"/>
    <n v="2"/>
    <x v="3"/>
    <x v="12"/>
    <n v="0.95714285714285718"/>
    <n v="5.7142857142857141E-2"/>
    <n v="3"/>
    <n v="33"/>
    <n v="10"/>
    <n v="9.9431818181818177E-2"/>
    <n v="9.5170454545454544E-2"/>
    <n v="4.9715909090909088E-2"/>
    <n v="2.840909090909091E-3"/>
    <n v="7.4573863636363633E-2"/>
  </r>
  <r>
    <x v="86"/>
    <n v="2"/>
    <n v="72"/>
    <n v="0"/>
    <n v="67"/>
    <n v="3"/>
    <n v="38"/>
    <n v="0"/>
    <n v="2"/>
    <x v="3"/>
    <x v="12"/>
    <n v="0.93055555555555558"/>
    <n v="5.2631578947368418E-2"/>
    <n v="5"/>
    <n v="36"/>
    <n v="10"/>
    <n v="0.10227272727272728"/>
    <n v="9.5170454545454544E-2"/>
    <n v="5.3977272727272728E-2"/>
    <n v="2.840909090909091E-3"/>
    <n v="7.8125E-2"/>
  </r>
  <r>
    <x v="87"/>
    <n v="2"/>
    <n v="74"/>
    <n v="3"/>
    <n v="70"/>
    <n v="1"/>
    <n v="39"/>
    <n v="8"/>
    <n v="10"/>
    <x v="3"/>
    <x v="12"/>
    <n v="0.94594594594594594"/>
    <n v="0.25641025641025639"/>
    <n v="4"/>
    <n v="29"/>
    <n v="10"/>
    <n v="0.10511363636363637"/>
    <n v="9.9431818181818177E-2"/>
    <n v="5.5397727272727272E-2"/>
    <n v="1.4204545454545454E-2"/>
    <n v="8.0255681818181823E-2"/>
  </r>
  <r>
    <x v="88"/>
    <n v="2"/>
    <n v="76"/>
    <n v="0"/>
    <n v="70"/>
    <n v="0"/>
    <n v="39"/>
    <n v="2"/>
    <n v="12"/>
    <x v="3"/>
    <x v="12"/>
    <n v="0.92105263157894735"/>
    <n v="0.30769230769230771"/>
    <n v="6"/>
    <n v="27"/>
    <n v="10"/>
    <n v="0.10795454545454546"/>
    <n v="9.9431818181818177E-2"/>
    <n v="5.5397727272727272E-2"/>
    <n v="1.7045454545454544E-2"/>
    <n v="8.1676136363636367E-2"/>
  </r>
  <r>
    <x v="89"/>
    <n v="0"/>
    <n v="76"/>
    <n v="3"/>
    <n v="73"/>
    <n v="0"/>
    <n v="39"/>
    <n v="0"/>
    <n v="12"/>
    <x v="3"/>
    <x v="12"/>
    <n v="0.96052631578947367"/>
    <n v="0.30769230769230771"/>
    <n v="3"/>
    <n v="27"/>
    <n v="10"/>
    <n v="0.10795454545454546"/>
    <n v="0.10369318181818182"/>
    <n v="5.5397727272727272E-2"/>
    <n v="1.7045454545454544E-2"/>
    <n v="8.1676136363636367E-2"/>
  </r>
  <r>
    <x v="90"/>
    <n v="0"/>
    <n v="76"/>
    <n v="0"/>
    <n v="73"/>
    <n v="2"/>
    <n v="41"/>
    <n v="0"/>
    <n v="12"/>
    <x v="3"/>
    <x v="13"/>
    <n v="0.96052631578947367"/>
    <n v="0.29268292682926828"/>
    <n v="3"/>
    <n v="29"/>
    <n v="8"/>
    <n v="0.10795454545454546"/>
    <n v="0.10369318181818182"/>
    <n v="5.823863636363636E-2"/>
    <n v="1.7045454545454544E-2"/>
    <n v="8.3096590909090912E-2"/>
  </r>
  <r>
    <x v="91"/>
    <n v="2"/>
    <n v="78"/>
    <n v="1"/>
    <n v="74"/>
    <n v="0"/>
    <n v="41"/>
    <n v="2"/>
    <n v="14"/>
    <x v="3"/>
    <x v="13"/>
    <n v="0.94871794871794868"/>
    <n v="0.34146341463414637"/>
    <n v="4"/>
    <n v="27"/>
    <n v="8"/>
    <n v="0.11079545454545454"/>
    <n v="0.10511363636363637"/>
    <n v="5.823863636363636E-2"/>
    <n v="1.9886363636363636E-2"/>
    <n v="8.4517045454545456E-2"/>
  </r>
  <r>
    <x v="92"/>
    <n v="2"/>
    <n v="80"/>
    <n v="1"/>
    <n v="75"/>
    <n v="1"/>
    <n v="42"/>
    <n v="1"/>
    <n v="15"/>
    <x v="3"/>
    <x v="13"/>
    <n v="0.9375"/>
    <n v="0.35714285714285715"/>
    <n v="5"/>
    <n v="27"/>
    <n v="8"/>
    <n v="0.11363636363636363"/>
    <n v="0.10653409090909091"/>
    <n v="5.9659090909090912E-2"/>
    <n v="2.130681818181818E-2"/>
    <n v="8.6647727272727265E-2"/>
  </r>
  <r>
    <x v="93"/>
    <n v="2"/>
    <n v="82"/>
    <n v="1"/>
    <n v="76"/>
    <n v="1"/>
    <n v="43"/>
    <n v="2"/>
    <n v="17"/>
    <x v="3"/>
    <x v="13"/>
    <n v="0.92682926829268297"/>
    <n v="0.39534883720930231"/>
    <n v="6"/>
    <n v="26"/>
    <n v="8"/>
    <n v="0.11647727272727272"/>
    <n v="0.10795454545454546"/>
    <n v="6.1079545454545456E-2"/>
    <n v="2.4147727272727272E-2"/>
    <n v="8.8778409090909088E-2"/>
  </r>
  <r>
    <x v="94"/>
    <n v="0"/>
    <n v="82"/>
    <n v="0"/>
    <n v="76"/>
    <n v="4"/>
    <n v="47"/>
    <n v="0"/>
    <n v="17"/>
    <x v="3"/>
    <x v="13"/>
    <n v="0.92682926829268297"/>
    <n v="0.36170212765957449"/>
    <n v="6"/>
    <n v="30"/>
    <n v="8"/>
    <n v="0.11647727272727272"/>
    <n v="0.10795454545454546"/>
    <n v="6.6761363636363633E-2"/>
    <n v="2.4147727272727272E-2"/>
    <n v="9.1619318181818177E-2"/>
  </r>
  <r>
    <x v="95"/>
    <n v="2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6"/>
    <n v="0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7"/>
    <n v="0"/>
    <n v="84"/>
    <n v="0"/>
    <n v="76"/>
    <n v="1"/>
    <n v="48"/>
    <n v="0"/>
    <n v="17"/>
    <x v="3"/>
    <x v="14"/>
    <n v="0.90476190476190477"/>
    <n v="0.35416666666666669"/>
    <n v="8"/>
    <n v="31"/>
    <n v="10"/>
    <n v="0.11931818181818182"/>
    <n v="0.10795454545454546"/>
    <n v="6.8181818181818177E-2"/>
    <n v="2.4147727272727272E-2"/>
    <n v="9.375E-2"/>
  </r>
  <r>
    <x v="98"/>
    <n v="2"/>
    <n v="86"/>
    <n v="1"/>
    <n v="77"/>
    <n v="2"/>
    <n v="50"/>
    <n v="0"/>
    <n v="17"/>
    <x v="3"/>
    <x v="14"/>
    <n v="0.89534883720930236"/>
    <n v="0.34"/>
    <n v="9"/>
    <n v="33"/>
    <n v="10"/>
    <n v="0.12215909090909091"/>
    <n v="0.109375"/>
    <n v="7.1022727272727279E-2"/>
    <n v="2.4147727272727272E-2"/>
    <n v="9.6590909090909088E-2"/>
  </r>
  <r>
    <x v="99"/>
    <n v="2"/>
    <n v="88"/>
    <n v="2"/>
    <n v="79"/>
    <n v="1"/>
    <n v="51"/>
    <n v="0"/>
    <n v="17"/>
    <x v="3"/>
    <x v="14"/>
    <n v="0.89772727272727271"/>
    <n v="0.33333333333333331"/>
    <n v="9"/>
    <n v="34"/>
    <n v="10"/>
    <n v="0.125"/>
    <n v="0.11221590909090909"/>
    <n v="7.2443181818181823E-2"/>
    <n v="2.4147727272727272E-2"/>
    <n v="9.8721590909090912E-2"/>
  </r>
  <r>
    <x v="100"/>
    <n v="2"/>
    <n v="90"/>
    <n v="1"/>
    <n v="80"/>
    <n v="1"/>
    <n v="52"/>
    <n v="4"/>
    <n v="21"/>
    <x v="3"/>
    <x v="14"/>
    <n v="0.88888888888888884"/>
    <n v="0.40384615384615385"/>
    <n v="10"/>
    <n v="31"/>
    <n v="10"/>
    <n v="0.12784090909090909"/>
    <n v="0.11363636363636363"/>
    <n v="7.3863636363636367E-2"/>
    <n v="2.9829545454545456E-2"/>
    <n v="0.10085227272727273"/>
  </r>
  <r>
    <x v="101"/>
    <n v="2"/>
    <n v="92"/>
    <n v="0"/>
    <n v="80"/>
    <n v="0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3"/>
    <n v="0"/>
    <n v="94"/>
    <n v="0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4"/>
    <n v="0"/>
    <n v="94"/>
    <n v="0"/>
    <n v="86"/>
    <n v="0"/>
    <n v="52"/>
    <n v="0"/>
    <n v="21"/>
    <x v="3"/>
    <x v="15"/>
    <n v="0.91489361702127658"/>
    <n v="0.40384615384615385"/>
    <n v="8"/>
    <n v="31"/>
    <n v="0"/>
    <n v="0.13352272727272727"/>
    <n v="0.12215909090909091"/>
    <n v="7.3863636363636367E-2"/>
    <n v="2.9829545454545456E-2"/>
    <n v="0.10369318181818182"/>
  </r>
  <r>
    <x v="105"/>
    <n v="2"/>
    <n v="96"/>
    <n v="1"/>
    <n v="87"/>
    <n v="0"/>
    <n v="52"/>
    <n v="2"/>
    <n v="23"/>
    <x v="4"/>
    <x v="15"/>
    <n v="0.90625"/>
    <n v="0.44230769230769229"/>
    <n v="9"/>
    <n v="29"/>
    <n v="10"/>
    <n v="0.13636363636363635"/>
    <n v="0.12357954545454546"/>
    <n v="7.3863636363636367E-2"/>
    <n v="3.2670454545454544E-2"/>
    <n v="0.10511363636363635"/>
  </r>
  <r>
    <x v="106"/>
    <n v="2"/>
    <n v="98"/>
    <n v="0"/>
    <n v="87"/>
    <n v="1"/>
    <n v="53"/>
    <n v="0"/>
    <n v="23"/>
    <x v="4"/>
    <x v="15"/>
    <n v="0.88775510204081631"/>
    <n v="0.43396226415094341"/>
    <n v="11"/>
    <n v="30"/>
    <n v="10"/>
    <n v="0.13920454545454544"/>
    <n v="0.12357954545454546"/>
    <n v="7.5284090909090912E-2"/>
    <n v="3.2670454545454544E-2"/>
    <n v="0.10724431818181818"/>
  </r>
  <r>
    <x v="107"/>
    <n v="2"/>
    <n v="100"/>
    <n v="2"/>
    <n v="89"/>
    <n v="4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1"/>
    <n v="58"/>
    <n v="1"/>
    <n v="24"/>
    <x v="4"/>
    <x v="15"/>
    <n v="0.89215686274509809"/>
    <n v="0.41379310344827586"/>
    <n v="11"/>
    <n v="34"/>
    <n v="10"/>
    <n v="0.14488636363636365"/>
    <n v="0.12926136363636365"/>
    <n v="8.2386363636363633E-2"/>
    <n v="3.4090909090909088E-2"/>
    <n v="0.11363636363636365"/>
  </r>
  <r>
    <x v="109"/>
    <n v="2"/>
    <n v="104"/>
    <n v="1"/>
    <n v="92"/>
    <n v="1"/>
    <n v="59"/>
    <n v="2"/>
    <n v="26"/>
    <x v="4"/>
    <x v="15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0"/>
    <n v="0"/>
    <n v="104"/>
    <n v="0"/>
    <n v="92"/>
    <n v="1"/>
    <n v="60"/>
    <n v="0"/>
    <n v="26"/>
    <x v="4"/>
    <x v="15"/>
    <n v="0.88461538461538458"/>
    <n v="0.43333333333333335"/>
    <n v="12"/>
    <n v="34"/>
    <n v="10"/>
    <n v="0.14772727272727273"/>
    <n v="0.13068181818181818"/>
    <n v="8.5227272727272721E-2"/>
    <n v="3.6931818181818184E-2"/>
    <n v="0.11647727272727273"/>
  </r>
  <r>
    <x v="111"/>
    <n v="0"/>
    <n v="104"/>
    <n v="0"/>
    <n v="92"/>
    <n v="2"/>
    <n v="62"/>
    <n v="0"/>
    <n v="26"/>
    <x v="4"/>
    <x v="16"/>
    <n v="0.88461538461538458"/>
    <n v="0.41935483870967744"/>
    <n v="12"/>
    <n v="36"/>
    <n v="10"/>
    <n v="0.14772727272727273"/>
    <n v="0.13068181818181818"/>
    <n v="8.8068181818181823E-2"/>
    <n v="3.6931818181818184E-2"/>
    <n v="0.11789772727272728"/>
  </r>
  <r>
    <x v="112"/>
    <n v="2"/>
    <n v="106"/>
    <n v="2"/>
    <n v="94"/>
    <n v="2"/>
    <n v="64"/>
    <n v="4"/>
    <n v="30"/>
    <x v="4"/>
    <x v="16"/>
    <n v="0.8867924528301887"/>
    <n v="0.46875"/>
    <n v="12"/>
    <n v="34"/>
    <n v="10"/>
    <n v="0.15056818181818182"/>
    <n v="0.13352272727272727"/>
    <n v="9.0909090909090912E-2"/>
    <n v="4.261363636363636E-2"/>
    <n v="0.12073863636363637"/>
  </r>
  <r>
    <x v="113"/>
    <n v="2"/>
    <n v="108"/>
    <n v="0"/>
    <n v="94"/>
    <n v="1"/>
    <n v="65"/>
    <n v="2"/>
    <n v="32"/>
    <x v="4"/>
    <x v="16"/>
    <n v="0.87037037037037035"/>
    <n v="0.49230769230769234"/>
    <n v="14"/>
    <n v="33"/>
    <n v="10"/>
    <n v="0.15340909090909091"/>
    <n v="0.13352272727272727"/>
    <n v="9.2329545454545456E-2"/>
    <n v="4.5454545454545456E-2"/>
    <n v="0.12286931818181818"/>
  </r>
  <r>
    <x v="114"/>
    <n v="2"/>
    <n v="110"/>
    <n v="0"/>
    <n v="94"/>
    <n v="1"/>
    <n v="66"/>
    <n v="0"/>
    <n v="32"/>
    <x v="4"/>
    <x v="16"/>
    <n v="0.8545454545454545"/>
    <n v="0.48484848484848486"/>
    <n v="16"/>
    <n v="34"/>
    <n v="10"/>
    <n v="0.15625"/>
    <n v="0.13352272727272727"/>
    <n v="9.375E-2"/>
    <n v="4.5454545454545456E-2"/>
    <n v="0.125"/>
  </r>
  <r>
    <x v="115"/>
    <n v="2"/>
    <n v="112"/>
    <n v="6"/>
    <n v="100"/>
    <n v="0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0"/>
    <n v="66"/>
    <n v="5"/>
    <n v="38"/>
    <x v="4"/>
    <x v="16"/>
    <n v="0.8771929824561403"/>
    <n v="0.5757575757575758"/>
    <n v="14"/>
    <n v="28"/>
    <n v="10"/>
    <n v="0.16193181818181818"/>
    <n v="0.14204545454545456"/>
    <n v="9.375E-2"/>
    <n v="5.3977272727272728E-2"/>
    <n v="0.12784090909090909"/>
  </r>
  <r>
    <x v="117"/>
    <n v="0"/>
    <n v="114"/>
    <n v="0"/>
    <n v="100"/>
    <n v="3"/>
    <n v="69"/>
    <n v="0"/>
    <n v="38"/>
    <x v="4"/>
    <x v="16"/>
    <n v="0.8771929824561403"/>
    <n v="0.55072463768115942"/>
    <n v="14"/>
    <n v="31"/>
    <n v="10"/>
    <n v="0.16193181818181818"/>
    <n v="0.14204545454545456"/>
    <n v="9.8011363636363633E-2"/>
    <n v="5.3977272727272728E-2"/>
    <n v="0.12997159090909091"/>
  </r>
  <r>
    <x v="118"/>
    <n v="0"/>
    <n v="114"/>
    <n v="0"/>
    <n v="100"/>
    <n v="2"/>
    <n v="71"/>
    <n v="0"/>
    <n v="38"/>
    <x v="4"/>
    <x v="17"/>
    <n v="0.8771929824561403"/>
    <n v="0.53521126760563376"/>
    <n v="14"/>
    <n v="33"/>
    <n v="10"/>
    <n v="0.16193181818181818"/>
    <n v="0.14204545454545456"/>
    <n v="0.10085227272727272"/>
    <n v="5.3977272727272728E-2"/>
    <n v="0.13139204545454544"/>
  </r>
  <r>
    <x v="119"/>
    <n v="2"/>
    <n v="116"/>
    <n v="1"/>
    <n v="101"/>
    <n v="2"/>
    <n v="73"/>
    <n v="1"/>
    <n v="39"/>
    <x v="4"/>
    <x v="17"/>
    <n v="0.87068965517241381"/>
    <n v="0.53424657534246578"/>
    <n v="15"/>
    <n v="34"/>
    <n v="10"/>
    <n v="0.16477272727272727"/>
    <n v="0.14346590909090909"/>
    <n v="0.10369318181818182"/>
    <n v="5.5397727272727272E-2"/>
    <n v="0.13423295454545453"/>
  </r>
  <r>
    <x v="120"/>
    <n v="2"/>
    <n v="118"/>
    <n v="1"/>
    <n v="102"/>
    <n v="2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2"/>
    <n v="108"/>
    <n v="1"/>
    <n v="79"/>
    <n v="1"/>
    <n v="45"/>
    <x v="4"/>
    <x v="17"/>
    <n v="0.87096774193548387"/>
    <n v="0.569620253164557"/>
    <n v="16"/>
    <n v="34"/>
    <n v="10"/>
    <n v="0.17613636363636365"/>
    <n v="0.15340909090909091"/>
    <n v="0.11221590909090909"/>
    <n v="6.3920454545454544E-2"/>
    <n v="0.14417613636363635"/>
  </r>
  <r>
    <x v="124"/>
    <n v="0"/>
    <n v="124"/>
    <n v="0"/>
    <n v="108"/>
    <n v="2"/>
    <n v="81"/>
    <n v="0"/>
    <n v="45"/>
    <x v="4"/>
    <x v="17"/>
    <n v="0.87096774193548387"/>
    <n v="0.55555555555555558"/>
    <n v="16"/>
    <n v="36"/>
    <n v="10"/>
    <n v="0.17613636363636365"/>
    <n v="0.15340909090909091"/>
    <n v="0.11505681818181818"/>
    <n v="6.3920454545454544E-2"/>
    <n v="0.14559659090909091"/>
  </r>
  <r>
    <x v="125"/>
    <n v="0"/>
    <n v="124"/>
    <n v="0"/>
    <n v="108"/>
    <n v="1"/>
    <n v="82"/>
    <n v="0"/>
    <n v="45"/>
    <x v="4"/>
    <x v="18"/>
    <n v="0.87096774193548387"/>
    <n v="0.54878048780487809"/>
    <n v="16"/>
    <n v="37"/>
    <n v="11"/>
    <n v="0.17613636363636365"/>
    <n v="0.15340909090909091"/>
    <n v="0.11647727272727272"/>
    <n v="6.3920454545454544E-2"/>
    <n v="0.14630681818181818"/>
  </r>
  <r>
    <x v="126"/>
    <n v="2"/>
    <n v="126"/>
    <n v="0"/>
    <n v="108"/>
    <n v="1"/>
    <n v="83"/>
    <n v="5"/>
    <n v="50"/>
    <x v="4"/>
    <x v="18"/>
    <n v="0.8571428571428571"/>
    <n v="0.60240963855421692"/>
    <n v="18"/>
    <n v="33"/>
    <n v="11"/>
    <n v="0.17897727272727273"/>
    <n v="0.15340909090909091"/>
    <n v="0.11789772727272728"/>
    <n v="7.1022727272727279E-2"/>
    <n v="0.1484375"/>
  </r>
  <r>
    <x v="127"/>
    <n v="2"/>
    <n v="128"/>
    <n v="3"/>
    <n v="111"/>
    <n v="2"/>
    <n v="85"/>
    <n v="2"/>
    <n v="52"/>
    <x v="4"/>
    <x v="18"/>
    <n v="0.8671875"/>
    <n v="0.61176470588235299"/>
    <n v="17"/>
    <n v="33"/>
    <n v="11"/>
    <n v="0.18181818181818182"/>
    <n v="0.15767045454545456"/>
    <n v="0.12073863636363637"/>
    <n v="7.3863636363636367E-2"/>
    <n v="0.15127840909090909"/>
  </r>
  <r>
    <x v="128"/>
    <n v="2"/>
    <n v="130"/>
    <n v="1"/>
    <n v="112"/>
    <n v="2"/>
    <n v="87"/>
    <n v="1"/>
    <n v="53"/>
    <x v="4"/>
    <x v="18"/>
    <n v="0.86153846153846159"/>
    <n v="0.60919540229885061"/>
    <n v="18"/>
    <n v="34"/>
    <n v="11"/>
    <n v="0.18465909090909091"/>
    <n v="0.15909090909090909"/>
    <n v="0.12357954545454546"/>
    <n v="7.5284090909090912E-2"/>
    <n v="0.15411931818181818"/>
  </r>
  <r>
    <x v="129"/>
    <n v="3"/>
    <n v="133"/>
    <n v="3"/>
    <n v="115"/>
    <n v="1"/>
    <n v="88"/>
    <n v="2"/>
    <n v="55"/>
    <x v="4"/>
    <x v="18"/>
    <n v="0.86466165413533835"/>
    <n v="0.625"/>
    <n v="18"/>
    <n v="33"/>
    <n v="11"/>
    <n v="0.18892045454545456"/>
    <n v="0.16335227272727273"/>
    <n v="0.125"/>
    <n v="7.8125E-2"/>
    <n v="0.15696022727272729"/>
  </r>
  <r>
    <x v="130"/>
    <n v="2"/>
    <n v="135"/>
    <n v="5"/>
    <n v="120"/>
    <n v="1"/>
    <n v="89"/>
    <n v="1"/>
    <n v="56"/>
    <x v="4"/>
    <x v="18"/>
    <n v="0.88888888888888884"/>
    <n v="0.6292134831460674"/>
    <n v="15"/>
    <n v="33"/>
    <n v="11"/>
    <n v="0.19176136363636365"/>
    <n v="0.17045454545454544"/>
    <n v="0.12642045454545456"/>
    <n v="7.9545454545454544E-2"/>
    <n v="0.15909090909090912"/>
  </r>
  <r>
    <x v="131"/>
    <n v="0"/>
    <n v="135"/>
    <n v="0"/>
    <n v="120"/>
    <n v="3"/>
    <n v="92"/>
    <n v="0"/>
    <n v="56"/>
    <x v="4"/>
    <x v="18"/>
    <n v="0.88888888888888884"/>
    <n v="0.60869565217391308"/>
    <n v="15"/>
    <n v="36"/>
    <n v="11"/>
    <n v="0.19176136363636365"/>
    <n v="0.17045454545454544"/>
    <n v="0.13068181818181818"/>
    <n v="7.9545454545454544E-2"/>
    <n v="0.16122159090909091"/>
  </r>
  <r>
    <x v="132"/>
    <n v="0"/>
    <n v="135"/>
    <n v="0"/>
    <n v="120"/>
    <n v="1"/>
    <n v="93"/>
    <n v="0"/>
    <n v="56"/>
    <x v="4"/>
    <x v="19"/>
    <n v="0.88888888888888884"/>
    <n v="0.60215053763440862"/>
    <n v="15"/>
    <n v="37"/>
    <n v="5"/>
    <n v="0.19176136363636365"/>
    <n v="0.17045454545454544"/>
    <n v="0.13210227272727273"/>
    <n v="7.9545454545454544E-2"/>
    <n v="0.16193181818181818"/>
  </r>
  <r>
    <x v="133"/>
    <n v="3"/>
    <n v="138"/>
    <n v="0"/>
    <n v="120"/>
    <n v="1"/>
    <n v="94"/>
    <n v="0"/>
    <n v="56"/>
    <x v="4"/>
    <x v="19"/>
    <n v="0.86956521739130432"/>
    <n v="0.5957446808510638"/>
    <n v="18"/>
    <n v="38"/>
    <n v="5"/>
    <n v="0.19602272727272727"/>
    <n v="0.17045454545454544"/>
    <n v="0.13352272727272727"/>
    <n v="7.9545454545454544E-2"/>
    <n v="0.16477272727272727"/>
  </r>
  <r>
    <x v="134"/>
    <n v="2"/>
    <n v="140"/>
    <n v="0"/>
    <n v="120"/>
    <n v="1"/>
    <n v="95"/>
    <n v="3"/>
    <n v="59"/>
    <x v="4"/>
    <x v="19"/>
    <n v="0.8571428571428571"/>
    <n v="0.62105263157894741"/>
    <n v="20"/>
    <n v="36"/>
    <n v="5"/>
    <n v="0.19886363636363635"/>
    <n v="0.17045454545454544"/>
    <n v="0.13494318181818182"/>
    <n v="8.3806818181818177E-2"/>
    <n v="0.16690340909090909"/>
  </r>
  <r>
    <x v="135"/>
    <n v="3"/>
    <n v="143"/>
    <n v="0"/>
    <n v="120"/>
    <n v="1"/>
    <n v="96"/>
    <n v="2"/>
    <n v="61"/>
    <x v="5"/>
    <x v="19"/>
    <n v="0.83916083916083917"/>
    <n v="0.63541666666666663"/>
    <n v="23"/>
    <n v="35"/>
    <n v="8"/>
    <n v="0.203125"/>
    <n v="0.17045454545454544"/>
    <n v="0.13636363636363635"/>
    <n v="8.6647727272727279E-2"/>
    <n v="0.16974431818181818"/>
  </r>
  <r>
    <x v="136"/>
    <n v="2"/>
    <n v="145"/>
    <n v="3"/>
    <n v="123"/>
    <n v="2"/>
    <n v="98"/>
    <n v="3"/>
    <n v="64"/>
    <x v="5"/>
    <x v="19"/>
    <n v="0.84827586206896555"/>
    <n v="0.65306122448979587"/>
    <n v="22"/>
    <n v="34"/>
    <n v="8"/>
    <n v="0.20596590909090909"/>
    <n v="0.17471590909090909"/>
    <n v="0.13920454545454544"/>
    <n v="9.0909090909090912E-2"/>
    <n v="0.17258522727272727"/>
  </r>
  <r>
    <x v="137"/>
    <n v="3"/>
    <n v="148"/>
    <n v="4"/>
    <n v="127"/>
    <n v="2"/>
    <n v="100"/>
    <n v="3"/>
    <n v="67"/>
    <x v="5"/>
    <x v="19"/>
    <n v="0.85810810810810811"/>
    <n v="0.67"/>
    <n v="21"/>
    <n v="33"/>
    <n v="8"/>
    <n v="0.21022727272727273"/>
    <n v="0.18039772727272727"/>
    <n v="0.14204545454545456"/>
    <n v="9.5170454545454544E-2"/>
    <n v="0.17613636363636365"/>
  </r>
  <r>
    <x v="138"/>
    <n v="0"/>
    <n v="148"/>
    <n v="0"/>
    <n v="127"/>
    <n v="2"/>
    <n v="102"/>
    <n v="0"/>
    <n v="67"/>
    <x v="5"/>
    <x v="19"/>
    <n v="0.85810810810810811"/>
    <n v="0.65686274509803921"/>
    <n v="21"/>
    <n v="35"/>
    <n v="8"/>
    <n v="0.21022727272727273"/>
    <n v="0.18039772727272727"/>
    <n v="0.14488636363636365"/>
    <n v="9.5170454545454544E-2"/>
    <n v="0.17755681818181818"/>
  </r>
  <r>
    <x v="139"/>
    <n v="0"/>
    <n v="148"/>
    <n v="0"/>
    <n v="127"/>
    <n v="1"/>
    <n v="103"/>
    <n v="0"/>
    <n v="67"/>
    <x v="5"/>
    <x v="20"/>
    <n v="0.85810810810810811"/>
    <n v="0.65048543689320393"/>
    <n v="21"/>
    <n v="36"/>
    <n v="12"/>
    <n v="0.21022727272727273"/>
    <n v="0.18039772727272727"/>
    <n v="0.14630681818181818"/>
    <n v="9.5170454545454544E-2"/>
    <n v="0.17826704545454547"/>
  </r>
  <r>
    <x v="140"/>
    <n v="2"/>
    <n v="150"/>
    <n v="0"/>
    <n v="127"/>
    <n v="2"/>
    <n v="105"/>
    <n v="0"/>
    <n v="67"/>
    <x v="5"/>
    <x v="20"/>
    <n v="0.84666666666666668"/>
    <n v="0.63809523809523805"/>
    <n v="23"/>
    <n v="38"/>
    <n v="12"/>
    <n v="0.21306818181818182"/>
    <n v="0.18039772727272727"/>
    <n v="0.14914772727272727"/>
    <n v="9.5170454545454544E-2"/>
    <n v="0.18110795454545453"/>
  </r>
  <r>
    <x v="141"/>
    <n v="3"/>
    <n v="153"/>
    <n v="1"/>
    <n v="128"/>
    <n v="2"/>
    <n v="107"/>
    <n v="4"/>
    <n v="71"/>
    <x v="5"/>
    <x v="20"/>
    <n v="0.83660130718954251"/>
    <n v="0.66355140186915884"/>
    <n v="25"/>
    <n v="36"/>
    <n v="12"/>
    <n v="0.21732954545454544"/>
    <n v="0.18181818181818182"/>
    <n v="0.15198863636363635"/>
    <n v="0.10085227272727272"/>
    <n v="0.18465909090909088"/>
  </r>
  <r>
    <x v="142"/>
    <n v="2"/>
    <n v="155"/>
    <n v="1"/>
    <n v="129"/>
    <n v="1"/>
    <n v="108"/>
    <n v="4"/>
    <n v="75"/>
    <x v="5"/>
    <x v="20"/>
    <n v="0.83225806451612905"/>
    <n v="0.69444444444444442"/>
    <n v="26"/>
    <n v="33"/>
    <n v="12"/>
    <n v="0.22017045454545456"/>
    <n v="0.18323863636363635"/>
    <n v="0.15340909090909091"/>
    <n v="0.10653409090909091"/>
    <n v="0.18678977272727273"/>
  </r>
  <r>
    <x v="143"/>
    <n v="3"/>
    <n v="158"/>
    <n v="4"/>
    <n v="133"/>
    <n v="2"/>
    <n v="110"/>
    <n v="0"/>
    <n v="75"/>
    <x v="5"/>
    <x v="20"/>
    <n v="0.84177215189873422"/>
    <n v="0.68181818181818177"/>
    <n v="25"/>
    <n v="35"/>
    <n v="12"/>
    <n v="0.22443181818181818"/>
    <n v="0.18892045454545456"/>
    <n v="0.15625"/>
    <n v="0.10653409090909091"/>
    <n v="0.19034090909090909"/>
  </r>
  <r>
    <x v="144"/>
    <n v="2"/>
    <n v="160"/>
    <n v="0"/>
    <n v="133"/>
    <n v="1"/>
    <n v="111"/>
    <n v="4"/>
    <n v="79"/>
    <x v="5"/>
    <x v="20"/>
    <n v="0.83125000000000004"/>
    <n v="0.71171171171171166"/>
    <n v="27"/>
    <n v="32"/>
    <n v="12"/>
    <n v="0.22727272727272727"/>
    <n v="0.18892045454545456"/>
    <n v="0.15767045454545456"/>
    <n v="0.11221590909090909"/>
    <n v="0.19247159090909091"/>
  </r>
  <r>
    <x v="145"/>
    <n v="0"/>
    <n v="160"/>
    <n v="0"/>
    <n v="133"/>
    <n v="1"/>
    <n v="112"/>
    <n v="0"/>
    <n v="79"/>
    <x v="5"/>
    <x v="20"/>
    <n v="0.83125000000000004"/>
    <n v="0.7053571428571429"/>
    <n v="27"/>
    <n v="33"/>
    <n v="12"/>
    <n v="0.22727272727272727"/>
    <n v="0.18892045454545456"/>
    <n v="0.15909090909090909"/>
    <n v="0.11221590909090909"/>
    <n v="0.19318181818181818"/>
  </r>
  <r>
    <x v="146"/>
    <n v="0"/>
    <n v="160"/>
    <n v="0"/>
    <n v="133"/>
    <n v="2"/>
    <n v="114"/>
    <n v="0"/>
    <n v="79"/>
    <x v="5"/>
    <x v="21"/>
    <n v="0.83125000000000004"/>
    <n v="0.69298245614035092"/>
    <n v="27"/>
    <n v="35"/>
    <n v="13"/>
    <n v="0.22727272727272727"/>
    <n v="0.18892045454545456"/>
    <n v="0.16193181818181818"/>
    <n v="0.11221590909090909"/>
    <n v="0.19460227272727271"/>
  </r>
  <r>
    <x v="147"/>
    <n v="3"/>
    <n v="163"/>
    <n v="3"/>
    <n v="136"/>
    <n v="2"/>
    <n v="116"/>
    <n v="5"/>
    <n v="84"/>
    <x v="5"/>
    <x v="21"/>
    <n v="0.83435582822085885"/>
    <n v="0.72413793103448276"/>
    <n v="27"/>
    <n v="32"/>
    <n v="13"/>
    <n v="0.23153409090909091"/>
    <n v="0.19318181818181818"/>
    <n v="0.16477272727272727"/>
    <n v="0.11931818181818182"/>
    <n v="0.19815340909090909"/>
  </r>
  <r>
    <x v="148"/>
    <n v="2"/>
    <n v="165"/>
    <n v="3"/>
    <n v="139"/>
    <n v="1"/>
    <n v="117"/>
    <n v="3"/>
    <n v="87"/>
    <x v="5"/>
    <x v="21"/>
    <n v="0.84242424242424241"/>
    <n v="0.74358974358974361"/>
    <n v="26"/>
    <n v="30"/>
    <n v="13"/>
    <n v="0.234375"/>
    <n v="0.19744318181818182"/>
    <n v="0.16619318181818182"/>
    <n v="0.12357954545454546"/>
    <n v="0.20028409090909091"/>
  </r>
  <r>
    <x v="149"/>
    <n v="3"/>
    <n v="168"/>
    <n v="3"/>
    <n v="142"/>
    <n v="1"/>
    <n v="118"/>
    <n v="3"/>
    <n v="90"/>
    <x v="5"/>
    <x v="21"/>
    <n v="0.84523809523809523"/>
    <n v="0.76271186440677963"/>
    <n v="26"/>
    <n v="28"/>
    <n v="13"/>
    <n v="0.23863636363636365"/>
    <n v="0.20170454545454544"/>
    <n v="0.16761363636363635"/>
    <n v="0.12784090909090909"/>
    <n v="0.203125"/>
  </r>
  <r>
    <x v="150"/>
    <n v="2"/>
    <n v="170"/>
    <n v="0"/>
    <n v="142"/>
    <n v="3"/>
    <n v="121"/>
    <n v="0"/>
    <n v="90"/>
    <x v="5"/>
    <x v="21"/>
    <n v="0.83529411764705885"/>
    <n v="0.74380165289256195"/>
    <n v="28"/>
    <n v="31"/>
    <n v="13"/>
    <n v="0.24147727272727273"/>
    <n v="0.20170454545454544"/>
    <n v="0.171875"/>
    <n v="0.12784090909090909"/>
    <n v="0.20667613636363635"/>
  </r>
  <r>
    <x v="151"/>
    <n v="3"/>
    <n v="173"/>
    <n v="2"/>
    <n v="144"/>
    <n v="3"/>
    <n v="124"/>
    <n v="0"/>
    <n v="90"/>
    <x v="5"/>
    <x v="21"/>
    <n v="0.83236994219653182"/>
    <n v="0.72580645161290325"/>
    <n v="29"/>
    <n v="34"/>
    <n v="13"/>
    <n v="0.24573863636363635"/>
    <n v="0.20454545454545456"/>
    <n v="0.17613636363636365"/>
    <n v="0.12784090909090909"/>
    <n v="0.2109375"/>
  </r>
  <r>
    <x v="152"/>
    <n v="0"/>
    <n v="173"/>
    <n v="0"/>
    <n v="144"/>
    <n v="0"/>
    <n v="124"/>
    <n v="0"/>
    <n v="90"/>
    <x v="5"/>
    <x v="21"/>
    <n v="0.83236994219653182"/>
    <n v="0.72580645161290325"/>
    <n v="29"/>
    <n v="34"/>
    <n v="13"/>
    <n v="0.24573863636363635"/>
    <n v="0.20454545454545456"/>
    <n v="0.17613636363636365"/>
    <n v="0.12784090909090909"/>
    <n v="0.2109375"/>
  </r>
  <r>
    <x v="153"/>
    <n v="0"/>
    <n v="173"/>
    <n v="0"/>
    <n v="144"/>
    <n v="1"/>
    <n v="125"/>
    <n v="0"/>
    <n v="90"/>
    <x v="5"/>
    <x v="22"/>
    <n v="0.83236994219653182"/>
    <n v="0.72"/>
    <n v="29"/>
    <n v="35"/>
    <n v="12"/>
    <n v="0.24573863636363635"/>
    <n v="0.20454545454545456"/>
    <n v="0.17755681818181818"/>
    <n v="0.12784090909090909"/>
    <n v="0.21164772727272727"/>
  </r>
  <r>
    <x v="154"/>
    <n v="2"/>
    <n v="175"/>
    <n v="0"/>
    <n v="144"/>
    <n v="1"/>
    <n v="126"/>
    <n v="0"/>
    <n v="90"/>
    <x v="5"/>
    <x v="22"/>
    <n v="0.82285714285714284"/>
    <n v="0.7142857142857143"/>
    <n v="31"/>
    <n v="36"/>
    <n v="12"/>
    <n v="0.24857954545454544"/>
    <n v="0.20454545454545456"/>
    <n v="0.17897727272727273"/>
    <n v="0.12784090909090909"/>
    <n v="0.21377840909090909"/>
  </r>
  <r>
    <x v="155"/>
    <n v="3"/>
    <n v="178"/>
    <n v="4"/>
    <n v="148"/>
    <n v="3"/>
    <n v="129"/>
    <n v="2"/>
    <n v="92"/>
    <x v="5"/>
    <x v="22"/>
    <n v="0.8314606741573034"/>
    <n v="0.71317829457364346"/>
    <n v="30"/>
    <n v="37"/>
    <n v="12"/>
    <n v="0.25284090909090912"/>
    <n v="0.21022727272727273"/>
    <n v="0.18323863636363635"/>
    <n v="0.13068181818181818"/>
    <n v="0.21803977272727273"/>
  </r>
  <r>
    <x v="156"/>
    <n v="2"/>
    <n v="180"/>
    <n v="2"/>
    <n v="150"/>
    <n v="2"/>
    <n v="131"/>
    <n v="5"/>
    <n v="97"/>
    <x v="5"/>
    <x v="22"/>
    <n v="0.83333333333333337"/>
    <n v="0.74045801526717558"/>
    <n v="30"/>
    <n v="34"/>
    <n v="12"/>
    <n v="0.25568181818181818"/>
    <n v="0.21306818181818182"/>
    <n v="0.18607954545454544"/>
    <n v="0.13778409090909091"/>
    <n v="0.22088068181818182"/>
  </r>
  <r>
    <x v="157"/>
    <n v="3"/>
    <n v="183"/>
    <n v="2"/>
    <n v="152"/>
    <n v="2"/>
    <n v="133"/>
    <n v="2"/>
    <n v="99"/>
    <x v="5"/>
    <x v="22"/>
    <n v="0.8306010928961749"/>
    <n v="0.74436090225563911"/>
    <n v="31"/>
    <n v="34"/>
    <n v="12"/>
    <n v="0.25994318181818182"/>
    <n v="0.21590909090909091"/>
    <n v="0.18892045454545456"/>
    <n v="0.140625"/>
    <n v="0.22443181818181818"/>
  </r>
  <r>
    <x v="158"/>
    <n v="2"/>
    <n v="185"/>
    <n v="2"/>
    <n v="154"/>
    <n v="2"/>
    <n v="135"/>
    <n v="3"/>
    <n v="102"/>
    <x v="5"/>
    <x v="22"/>
    <n v="0.83243243243243248"/>
    <n v="0.75555555555555554"/>
    <n v="31"/>
    <n v="33"/>
    <n v="12"/>
    <n v="0.26278409090909088"/>
    <n v="0.21875"/>
    <n v="0.19176136363636365"/>
    <n v="0.14488636363636365"/>
    <n v="0.22727272727272727"/>
  </r>
  <r>
    <x v="159"/>
    <n v="0"/>
    <n v="185"/>
    <n v="0"/>
    <n v="154"/>
    <n v="1"/>
    <n v="136"/>
    <n v="0"/>
    <n v="102"/>
    <x v="5"/>
    <x v="22"/>
    <n v="0.83243243243243248"/>
    <n v="0.75"/>
    <n v="31"/>
    <n v="34"/>
    <n v="12"/>
    <n v="0.26278409090909088"/>
    <n v="0.21875"/>
    <n v="0.19318181818181818"/>
    <n v="0.14488636363636365"/>
    <n v="0.22798295454545453"/>
  </r>
  <r>
    <x v="160"/>
    <n v="0"/>
    <n v="185"/>
    <n v="0"/>
    <n v="154"/>
    <n v="2"/>
    <n v="138"/>
    <n v="0"/>
    <n v="102"/>
    <x v="5"/>
    <x v="23"/>
    <n v="0.83243243243243248"/>
    <n v="0.73913043478260865"/>
    <n v="31"/>
    <n v="36"/>
    <n v="13"/>
    <n v="0.26278409090909088"/>
    <n v="0.21875"/>
    <n v="0.19602272727272727"/>
    <n v="0.14488636363636365"/>
    <n v="0.22940340909090906"/>
  </r>
  <r>
    <x v="161"/>
    <n v="3"/>
    <n v="188"/>
    <n v="2"/>
    <n v="156"/>
    <n v="2"/>
    <n v="140"/>
    <n v="3"/>
    <n v="105"/>
    <x v="5"/>
    <x v="23"/>
    <n v="0.82978723404255317"/>
    <n v="0.75"/>
    <n v="32"/>
    <n v="35"/>
    <n v="13"/>
    <n v="0.26704545454545453"/>
    <n v="0.22159090909090909"/>
    <n v="0.19886363636363635"/>
    <n v="0.14914772727272727"/>
    <n v="0.23295454545454544"/>
  </r>
  <r>
    <x v="162"/>
    <n v="2"/>
    <n v="190"/>
    <n v="4"/>
    <n v="160"/>
    <n v="3"/>
    <n v="143"/>
    <n v="1"/>
    <n v="106"/>
    <x v="5"/>
    <x v="23"/>
    <n v="0.84210526315789469"/>
    <n v="0.74125874125874125"/>
    <n v="30"/>
    <n v="37"/>
    <n v="13"/>
    <n v="0.26988636363636365"/>
    <n v="0.22727272727272727"/>
    <n v="0.203125"/>
    <n v="0.15056818181818182"/>
    <n v="0.23650568181818182"/>
  </r>
  <r>
    <x v="163"/>
    <n v="3"/>
    <n v="193"/>
    <n v="0"/>
    <n v="160"/>
    <n v="2"/>
    <n v="145"/>
    <n v="3"/>
    <n v="109"/>
    <x v="5"/>
    <x v="23"/>
    <n v="0.82901554404145072"/>
    <n v="0.75172413793103443"/>
    <n v="33"/>
    <n v="36"/>
    <n v="13"/>
    <n v="0.27414772727272729"/>
    <n v="0.22727272727272727"/>
    <n v="0.20596590909090909"/>
    <n v="0.15482954545454544"/>
    <n v="0.24005681818181818"/>
  </r>
  <r>
    <x v="164"/>
    <n v="2"/>
    <n v="195"/>
    <n v="0"/>
    <n v="160"/>
    <n v="0"/>
    <n v="145"/>
    <n v="0"/>
    <n v="109"/>
    <x v="5"/>
    <x v="23"/>
    <n v="0.82051282051282048"/>
    <n v="0.75172413793103443"/>
    <n v="35"/>
    <n v="36"/>
    <n v="13"/>
    <n v="0.27698863636363635"/>
    <n v="0.22727272727272727"/>
    <n v="0.20596590909090909"/>
    <n v="0.15482954545454544"/>
    <n v="0.24147727272727271"/>
  </r>
  <r>
    <x v="165"/>
    <n v="3"/>
    <n v="198"/>
    <n v="0"/>
    <n v="160"/>
    <n v="3"/>
    <n v="148"/>
    <n v="0"/>
    <n v="109"/>
    <x v="5"/>
    <x v="23"/>
    <n v="0.80808080808080807"/>
    <n v="0.73648648648648651"/>
    <n v="38"/>
    <n v="39"/>
    <n v="13"/>
    <n v="0.28125"/>
    <n v="0.22727272727272727"/>
    <n v="0.21022727272727273"/>
    <n v="0.15482954545454544"/>
    <n v="0.24573863636363635"/>
  </r>
  <r>
    <x v="166"/>
    <n v="0"/>
    <n v="198"/>
    <n v="0"/>
    <n v="160"/>
    <n v="2"/>
    <n v="150"/>
    <n v="0"/>
    <n v="109"/>
    <x v="6"/>
    <x v="23"/>
    <n v="0.80808080808080807"/>
    <n v="0.72666666666666668"/>
    <n v="38"/>
    <n v="41"/>
    <n v="0"/>
    <n v="0.28125"/>
    <n v="0.22727272727272727"/>
    <n v="0.21306818181818182"/>
    <n v="0.15482954545454544"/>
    <n v="0.24715909090909091"/>
  </r>
  <r>
    <x v="167"/>
    <n v="0"/>
    <n v="198"/>
    <n v="0"/>
    <n v="160"/>
    <n v="3"/>
    <n v="153"/>
    <n v="0"/>
    <n v="109"/>
    <x v="6"/>
    <x v="24"/>
    <n v="0.80808080808080807"/>
    <n v="0.71241830065359479"/>
    <n v="38"/>
    <n v="44"/>
    <n v="12"/>
    <n v="0.28125"/>
    <n v="0.22727272727272727"/>
    <n v="0.21732954545454544"/>
    <n v="0.15482954545454544"/>
    <n v="0.24928977272727271"/>
  </r>
  <r>
    <x v="168"/>
    <n v="2"/>
    <n v="200"/>
    <n v="0"/>
    <n v="160"/>
    <n v="2"/>
    <n v="155"/>
    <n v="0"/>
    <n v="109"/>
    <x v="6"/>
    <x v="24"/>
    <n v="0.8"/>
    <n v="0.70322580645161292"/>
    <n v="40"/>
    <n v="46"/>
    <n v="12"/>
    <n v="0.28409090909090912"/>
    <n v="0.22727272727272727"/>
    <n v="0.22017045454545456"/>
    <n v="0.15482954545454544"/>
    <n v="0.25213068181818182"/>
  </r>
  <r>
    <x v="169"/>
    <n v="3"/>
    <n v="203"/>
    <n v="0"/>
    <n v="160"/>
    <n v="3"/>
    <n v="158"/>
    <n v="0"/>
    <n v="109"/>
    <x v="6"/>
    <x v="24"/>
    <n v="0.78817733990147787"/>
    <n v="0.689873417721519"/>
    <n v="43"/>
    <n v="49"/>
    <n v="12"/>
    <n v="0.28835227272727271"/>
    <n v="0.22727272727272727"/>
    <n v="0.22443181818181818"/>
    <n v="0.15482954545454544"/>
    <n v="0.25639204545454541"/>
  </r>
  <r>
    <x v="170"/>
    <n v="2"/>
    <n v="205"/>
    <n v="0"/>
    <n v="160"/>
    <n v="1"/>
    <n v="159"/>
    <n v="0"/>
    <n v="109"/>
    <x v="6"/>
    <x v="24"/>
    <n v="0.78048780487804881"/>
    <n v="0.68553459119496851"/>
    <n v="45"/>
    <n v="50"/>
    <n v="12"/>
    <n v="0.29119318181818182"/>
    <n v="0.22727272727272727"/>
    <n v="0.22585227272727273"/>
    <n v="0.15482954545454544"/>
    <n v="0.25852272727272729"/>
  </r>
  <r>
    <x v="171"/>
    <n v="3"/>
    <n v="208"/>
    <n v="0"/>
    <n v="160"/>
    <n v="2"/>
    <n v="161"/>
    <n v="0"/>
    <n v="109"/>
    <x v="6"/>
    <x v="24"/>
    <n v="0.76923076923076927"/>
    <n v="0.67701863354037262"/>
    <n v="48"/>
    <n v="52"/>
    <n v="12"/>
    <n v="0.29545454545454547"/>
    <n v="0.22727272727272727"/>
    <n v="0.22869318181818182"/>
    <n v="0.15482954545454544"/>
    <n v="0.26207386363636365"/>
  </r>
  <r>
    <x v="172"/>
    <n v="2"/>
    <n v="210"/>
    <n v="0"/>
    <n v="160"/>
    <n v="1"/>
    <n v="162"/>
    <n v="0"/>
    <n v="109"/>
    <x v="6"/>
    <x v="24"/>
    <n v="0.76190476190476186"/>
    <n v="0.6728395061728395"/>
    <n v="50"/>
    <n v="53"/>
    <n v="12"/>
    <n v="0.29829545454545453"/>
    <n v="0.22727272727272727"/>
    <n v="0.23011363636363635"/>
    <n v="0.15482954545454544"/>
    <n v="0.26420454545454541"/>
  </r>
  <r>
    <x v="173"/>
    <n v="0"/>
    <n v="210"/>
    <n v="0"/>
    <n v="160"/>
    <n v="1"/>
    <n v="163"/>
    <n v="0"/>
    <n v="109"/>
    <x v="6"/>
    <x v="24"/>
    <n v="0.76190476190476186"/>
    <n v="0.66871165644171782"/>
    <n v="50"/>
    <n v="54"/>
    <n v="12"/>
    <n v="0.29829545454545453"/>
    <n v="0.22727272727272727"/>
    <n v="0.23153409090909091"/>
    <n v="0.15482954545454544"/>
    <n v="0.26491477272727271"/>
  </r>
  <r>
    <x v="174"/>
    <n v="0"/>
    <n v="210"/>
    <n v="0"/>
    <n v="160"/>
    <n v="2"/>
    <n v="165"/>
    <n v="0"/>
    <n v="109"/>
    <x v="6"/>
    <x v="25"/>
    <n v="0.76190476190476186"/>
    <n v="0.66060606060606064"/>
    <n v="50"/>
    <n v="56"/>
    <n v="13"/>
    <n v="0.29829545454545453"/>
    <n v="0.22727272727272727"/>
    <n v="0.234375"/>
    <n v="0.15482954545454544"/>
    <n v="0.26633522727272729"/>
  </r>
  <r>
    <x v="175"/>
    <n v="3"/>
    <n v="213"/>
    <n v="0"/>
    <n v="160"/>
    <n v="3"/>
    <n v="168"/>
    <n v="0"/>
    <n v="109"/>
    <x v="6"/>
    <x v="25"/>
    <n v="0.75117370892018775"/>
    <n v="0.64880952380952384"/>
    <n v="53"/>
    <n v="59"/>
    <n v="13"/>
    <n v="0.30255681818181818"/>
    <n v="0.22727272727272727"/>
    <n v="0.23863636363636365"/>
    <n v="0.15482954545454544"/>
    <n v="0.27059659090909094"/>
  </r>
  <r>
    <x v="176"/>
    <n v="2"/>
    <n v="215"/>
    <n v="0"/>
    <n v="160"/>
    <n v="2"/>
    <n v="170"/>
    <n v="0"/>
    <n v="109"/>
    <x v="6"/>
    <x v="25"/>
    <n v="0.7441860465116279"/>
    <n v="0.64117647058823535"/>
    <n v="55"/>
    <n v="61"/>
    <n v="13"/>
    <n v="0.30539772727272729"/>
    <n v="0.22727272727272727"/>
    <n v="0.24147727272727273"/>
    <n v="0.15482954545454544"/>
    <n v="0.2734375"/>
  </r>
  <r>
    <x v="177"/>
    <n v="3"/>
    <n v="218"/>
    <n v="0"/>
    <n v="160"/>
    <n v="3"/>
    <n v="173"/>
    <n v="0"/>
    <n v="109"/>
    <x v="6"/>
    <x v="25"/>
    <n v="0.73394495412844041"/>
    <n v="0.63005780346820806"/>
    <n v="58"/>
    <n v="64"/>
    <n v="13"/>
    <n v="0.30965909090909088"/>
    <n v="0.22727272727272727"/>
    <n v="0.24573863636363635"/>
    <n v="0.15482954545454544"/>
    <n v="0.27769886363636365"/>
  </r>
  <r>
    <x v="178"/>
    <n v="2"/>
    <n v="220"/>
    <n v="0"/>
    <n v="160"/>
    <n v="2"/>
    <n v="175"/>
    <n v="0"/>
    <n v="109"/>
    <x v="6"/>
    <x v="25"/>
    <n v="0.72727272727272729"/>
    <n v="0.62285714285714289"/>
    <n v="60"/>
    <n v="66"/>
    <n v="13"/>
    <n v="0.3125"/>
    <n v="0.22727272727272727"/>
    <n v="0.24857954545454544"/>
    <n v="0.15482954545454544"/>
    <n v="0.28053977272727271"/>
  </r>
  <r>
    <x v="179"/>
    <n v="3"/>
    <n v="223"/>
    <n v="0"/>
    <n v="160"/>
    <n v="2"/>
    <n v="177"/>
    <n v="0"/>
    <n v="109"/>
    <x v="6"/>
    <x v="25"/>
    <n v="0.71748878923766812"/>
    <n v="0.61581920903954801"/>
    <n v="63"/>
    <n v="68"/>
    <n v="13"/>
    <n v="0.31676136363636365"/>
    <n v="0.22727272727272727"/>
    <n v="0.25142045454545453"/>
    <n v="0.15482954545454544"/>
    <n v="0.28409090909090906"/>
  </r>
  <r>
    <x v="180"/>
    <n v="0"/>
    <n v="223"/>
    <n v="0"/>
    <n v="160"/>
    <n v="1"/>
    <n v="178"/>
    <n v="0"/>
    <n v="109"/>
    <x v="6"/>
    <x v="25"/>
    <n v="0.71748878923766812"/>
    <n v="0.61235955056179781"/>
    <n v="63"/>
    <n v="69"/>
    <n v="13"/>
    <n v="0.31676136363636365"/>
    <n v="0.22727272727272727"/>
    <n v="0.25284090909090912"/>
    <n v="0.15482954545454544"/>
    <n v="0.28480113636363635"/>
  </r>
  <r>
    <x v="181"/>
    <n v="0"/>
    <n v="223"/>
    <n v="0"/>
    <n v="160"/>
    <n v="2"/>
    <n v="180"/>
    <n v="0"/>
    <n v="109"/>
    <x v="6"/>
    <x v="26"/>
    <n v="0.71748878923766812"/>
    <n v="0.60555555555555551"/>
    <n v="63"/>
    <n v="71"/>
    <n v="12"/>
    <n v="0.31676136363636365"/>
    <n v="0.22727272727272727"/>
    <n v="0.25568181818181818"/>
    <n v="0.15482954545454544"/>
    <n v="0.28622159090909094"/>
  </r>
  <r>
    <x v="182"/>
    <n v="2"/>
    <n v="225"/>
    <n v="0"/>
    <n v="160"/>
    <n v="1"/>
    <n v="181"/>
    <n v="0"/>
    <n v="109"/>
    <x v="6"/>
    <x v="26"/>
    <n v="0.71111111111111114"/>
    <n v="0.60220994475138123"/>
    <n v="65"/>
    <n v="72"/>
    <n v="12"/>
    <n v="0.31960227272727271"/>
    <n v="0.22727272727272727"/>
    <n v="0.25710227272727271"/>
    <n v="0.15482954545454544"/>
    <n v="0.28835227272727271"/>
  </r>
  <r>
    <x v="183"/>
    <n v="3"/>
    <n v="228"/>
    <n v="0"/>
    <n v="160"/>
    <n v="2"/>
    <n v="183"/>
    <n v="0"/>
    <n v="109"/>
    <x v="6"/>
    <x v="26"/>
    <n v="0.70175438596491224"/>
    <n v="0.59562841530054644"/>
    <n v="68"/>
    <n v="74"/>
    <n v="12"/>
    <n v="0.32386363636363635"/>
    <n v="0.22727272727272727"/>
    <n v="0.25994318181818182"/>
    <n v="0.15482954545454544"/>
    <n v="0.29190340909090906"/>
  </r>
  <r>
    <x v="184"/>
    <n v="2"/>
    <n v="230"/>
    <n v="0"/>
    <n v="160"/>
    <n v="2"/>
    <n v="185"/>
    <n v="0"/>
    <n v="109"/>
    <x v="6"/>
    <x v="26"/>
    <n v="0.69565217391304346"/>
    <n v="0.58918918918918917"/>
    <n v="70"/>
    <n v="76"/>
    <n v="12"/>
    <n v="0.32670454545454547"/>
    <n v="0.22727272727272727"/>
    <n v="0.26278409090909088"/>
    <n v="0.15482954545454544"/>
    <n v="0.29474431818181818"/>
  </r>
  <r>
    <x v="185"/>
    <n v="3"/>
    <n v="233"/>
    <n v="0"/>
    <n v="160"/>
    <n v="3"/>
    <n v="188"/>
    <n v="0"/>
    <n v="109"/>
    <x v="6"/>
    <x v="26"/>
    <n v="0.68669527896995708"/>
    <n v="0.57978723404255317"/>
    <n v="73"/>
    <n v="79"/>
    <n v="12"/>
    <n v="0.33096590909090912"/>
    <n v="0.22727272727272727"/>
    <n v="0.26704545454545453"/>
    <n v="0.15482954545454544"/>
    <n v="0.29900568181818182"/>
  </r>
  <r>
    <x v="186"/>
    <n v="2"/>
    <n v="235"/>
    <n v="0"/>
    <n v="160"/>
    <n v="1"/>
    <n v="189"/>
    <n v="0"/>
    <n v="109"/>
    <x v="6"/>
    <x v="26"/>
    <n v="0.68085106382978722"/>
    <n v="0.57671957671957674"/>
    <n v="75"/>
    <n v="80"/>
    <n v="12"/>
    <n v="0.33380681818181818"/>
    <n v="0.22727272727272727"/>
    <n v="0.26846590909090912"/>
    <n v="0.15482954545454544"/>
    <n v="0.30113636363636365"/>
  </r>
  <r>
    <x v="187"/>
    <n v="0"/>
    <n v="235"/>
    <n v="0"/>
    <n v="160"/>
    <n v="2"/>
    <n v="191"/>
    <n v="0"/>
    <n v="109"/>
    <x v="6"/>
    <x v="26"/>
    <n v="0.68085106382978722"/>
    <n v="0.5706806282722513"/>
    <n v="75"/>
    <n v="82"/>
    <n v="12"/>
    <n v="0.33380681818181818"/>
    <n v="0.22727272727272727"/>
    <n v="0.27130681818181818"/>
    <n v="0.15482954545454544"/>
    <n v="0.30255681818181818"/>
  </r>
  <r>
    <x v="188"/>
    <n v="0"/>
    <n v="235"/>
    <n v="0"/>
    <n v="160"/>
    <n v="1"/>
    <n v="192"/>
    <n v="0"/>
    <n v="109"/>
    <x v="6"/>
    <x v="27"/>
    <n v="0.68085106382978722"/>
    <n v="0.56770833333333337"/>
    <n v="75"/>
    <n v="83"/>
    <n v="13"/>
    <n v="0.33380681818181818"/>
    <n v="0.22727272727272727"/>
    <n v="0.27272727272727271"/>
    <n v="0.15482954545454544"/>
    <n v="0.30326704545454541"/>
  </r>
  <r>
    <x v="189"/>
    <n v="3"/>
    <n v="238"/>
    <n v="0"/>
    <n v="160"/>
    <n v="1"/>
    <n v="193"/>
    <n v="0"/>
    <n v="109"/>
    <x v="6"/>
    <x v="27"/>
    <n v="0.67226890756302526"/>
    <n v="0.56476683937823835"/>
    <n v="78"/>
    <n v="84"/>
    <n v="13"/>
    <n v="0.33806818181818182"/>
    <n v="0.22727272727272727"/>
    <n v="0.27414772727272729"/>
    <n v="0.15482954545454544"/>
    <n v="0.30610795454545459"/>
  </r>
  <r>
    <x v="190"/>
    <n v="2"/>
    <n v="240"/>
    <n v="0"/>
    <n v="160"/>
    <n v="2"/>
    <n v="195"/>
    <n v="0"/>
    <n v="109"/>
    <x v="6"/>
    <x v="27"/>
    <n v="0.66666666666666663"/>
    <n v="0.55897435897435899"/>
    <n v="80"/>
    <n v="86"/>
    <n v="13"/>
    <n v="0.34090909090909088"/>
    <n v="0.22727272727272727"/>
    <n v="0.27698863636363635"/>
    <n v="0.15482954545454544"/>
    <n v="0.30894886363636365"/>
  </r>
  <r>
    <x v="191"/>
    <n v="3"/>
    <n v="243"/>
    <n v="0"/>
    <n v="160"/>
    <n v="3"/>
    <n v="198"/>
    <n v="0"/>
    <n v="109"/>
    <x v="6"/>
    <x v="27"/>
    <n v="0.65843621399176955"/>
    <n v="0.5505050505050505"/>
    <n v="83"/>
    <n v="89"/>
    <n v="13"/>
    <n v="0.34517045454545453"/>
    <n v="0.22727272727272727"/>
    <n v="0.28125"/>
    <n v="0.15482954545454544"/>
    <n v="0.31321022727272729"/>
  </r>
  <r>
    <x v="192"/>
    <n v="2"/>
    <n v="245"/>
    <n v="0"/>
    <n v="160"/>
    <n v="2"/>
    <n v="200"/>
    <n v="0"/>
    <n v="109"/>
    <x v="6"/>
    <x v="27"/>
    <n v="0.65306122448979587"/>
    <n v="0.54500000000000004"/>
    <n v="85"/>
    <n v="91"/>
    <n v="13"/>
    <n v="0.34801136363636365"/>
    <n v="0.22727272727272727"/>
    <n v="0.28409090909090912"/>
    <n v="0.15482954545454544"/>
    <n v="0.31605113636363635"/>
  </r>
  <r>
    <x v="193"/>
    <n v="3"/>
    <n v="248"/>
    <n v="0"/>
    <n v="160"/>
    <n v="1"/>
    <n v="201"/>
    <n v="0"/>
    <n v="109"/>
    <x v="6"/>
    <x v="27"/>
    <n v="0.64516129032258063"/>
    <n v="0.54228855721393032"/>
    <n v="88"/>
    <n v="92"/>
    <n v="13"/>
    <n v="0.35227272727272729"/>
    <n v="0.22727272727272727"/>
    <n v="0.28551136363636365"/>
    <n v="0.15482954545454544"/>
    <n v="0.31889204545454547"/>
  </r>
  <r>
    <x v="194"/>
    <n v="0"/>
    <n v="248"/>
    <n v="0"/>
    <n v="160"/>
    <n v="2"/>
    <n v="203"/>
    <n v="0"/>
    <n v="109"/>
    <x v="6"/>
    <x v="27"/>
    <n v="0.64516129032258063"/>
    <n v="0.53694581280788178"/>
    <n v="88"/>
    <n v="94"/>
    <n v="13"/>
    <n v="0.35227272727272729"/>
    <n v="0.22727272727272727"/>
    <n v="0.28835227272727271"/>
    <n v="0.15482954545454544"/>
    <n v="0.3203125"/>
  </r>
  <r>
    <x v="195"/>
    <n v="0"/>
    <n v="248"/>
    <n v="0"/>
    <n v="160"/>
    <n v="3"/>
    <n v="206"/>
    <n v="0"/>
    <n v="109"/>
    <x v="6"/>
    <x v="28"/>
    <n v="0.64516129032258063"/>
    <n v="0.529126213592233"/>
    <n v="88"/>
    <n v="97"/>
    <n v="2"/>
    <n v="0.35227272727272729"/>
    <n v="0.22727272727272727"/>
    <n v="0.29261363636363635"/>
    <n v="0.15482954545454544"/>
    <n v="0.32244318181818182"/>
  </r>
  <r>
    <x v="196"/>
    <n v="2"/>
    <n v="250"/>
    <n v="0"/>
    <n v="160"/>
    <n v="0"/>
    <n v="206"/>
    <n v="0"/>
    <n v="109"/>
    <x v="6"/>
    <x v="28"/>
    <n v="0.64"/>
    <n v="0.529126213592233"/>
    <n v="90"/>
    <n v="97"/>
    <n v="2"/>
    <n v="0.35511363636363635"/>
    <n v="0.22727272727272727"/>
    <n v="0.29261363636363635"/>
    <n v="0.15482954545454544"/>
    <n v="0.32386363636363635"/>
  </r>
  <r>
    <x v="197"/>
    <n v="3"/>
    <n v="253"/>
    <n v="0"/>
    <n v="160"/>
    <n v="2"/>
    <n v="208"/>
    <n v="0"/>
    <n v="109"/>
    <x v="7"/>
    <x v="28"/>
    <n v="0.6324110671936759"/>
    <n v="0.52403846153846156"/>
    <n v="93"/>
    <n v="99"/>
    <n v="12"/>
    <n v="0.359375"/>
    <n v="0.22727272727272727"/>
    <n v="0.29545454545454547"/>
    <n v="0.15482954545454544"/>
    <n v="0.32741477272727271"/>
  </r>
  <r>
    <x v="198"/>
    <n v="3"/>
    <n v="256"/>
    <n v="0"/>
    <n v="160"/>
    <n v="2"/>
    <n v="210"/>
    <n v="0"/>
    <n v="109"/>
    <x v="7"/>
    <x v="28"/>
    <n v="0.625"/>
    <n v="0.51904761904761909"/>
    <n v="96"/>
    <n v="101"/>
    <n v="12"/>
    <n v="0.36363636363636365"/>
    <n v="0.22727272727272727"/>
    <n v="0.29829545454545453"/>
    <n v="0.15482954545454544"/>
    <n v="0.33096590909090906"/>
  </r>
  <r>
    <x v="199"/>
    <n v="3"/>
    <n v="259"/>
    <n v="0"/>
    <n v="160"/>
    <n v="3"/>
    <n v="213"/>
    <n v="0"/>
    <n v="109"/>
    <x v="7"/>
    <x v="28"/>
    <n v="0.61776061776061775"/>
    <n v="0.51173708920187788"/>
    <n v="99"/>
    <n v="104"/>
    <n v="12"/>
    <n v="0.36789772727272729"/>
    <n v="0.22727272727272727"/>
    <n v="0.30255681818181818"/>
    <n v="0.15482954545454544"/>
    <n v="0.33522727272727271"/>
  </r>
  <r>
    <x v="200"/>
    <n v="3"/>
    <n v="262"/>
    <n v="0"/>
    <n v="160"/>
    <n v="0"/>
    <n v="213"/>
    <n v="0"/>
    <n v="109"/>
    <x v="7"/>
    <x v="28"/>
    <n v="0.61068702290076338"/>
    <n v="0.51173708920187788"/>
    <n v="102"/>
    <n v="104"/>
    <n v="12"/>
    <n v="0.37215909090909088"/>
    <n v="0.22727272727272727"/>
    <n v="0.30255681818181818"/>
    <n v="0.15482954545454544"/>
    <n v="0.33735795454545453"/>
  </r>
  <r>
    <x v="201"/>
    <n v="0"/>
    <n v="262"/>
    <n v="0"/>
    <n v="160"/>
    <n v="2"/>
    <n v="215"/>
    <n v="0"/>
    <n v="109"/>
    <x v="7"/>
    <x v="28"/>
    <n v="0.61068702290076338"/>
    <n v="0.50697674418604655"/>
    <n v="102"/>
    <n v="106"/>
    <n v="12"/>
    <n v="0.37215909090909088"/>
    <n v="0.22727272727272727"/>
    <n v="0.30539772727272729"/>
    <n v="0.15482954545454544"/>
    <n v="0.33877840909090906"/>
  </r>
  <r>
    <x v="202"/>
    <n v="0"/>
    <n v="262"/>
    <n v="0"/>
    <n v="160"/>
    <n v="3"/>
    <n v="218"/>
    <n v="0"/>
    <n v="109"/>
    <x v="7"/>
    <x v="29"/>
    <n v="0.61068702290076338"/>
    <n v="0.5"/>
    <n v="102"/>
    <n v="109"/>
    <n v="15"/>
    <n v="0.37215909090909088"/>
    <n v="0.22727272727272727"/>
    <n v="0.30965909090909088"/>
    <n v="0.15482954545454544"/>
    <n v="0.34090909090909088"/>
  </r>
  <r>
    <x v="203"/>
    <n v="3"/>
    <n v="265"/>
    <n v="0"/>
    <n v="160"/>
    <n v="1"/>
    <n v="219"/>
    <n v="0"/>
    <n v="109"/>
    <x v="7"/>
    <x v="29"/>
    <n v="0.60377358490566035"/>
    <n v="0.49771689497716892"/>
    <n v="105"/>
    <n v="110"/>
    <n v="15"/>
    <n v="0.37642045454545453"/>
    <n v="0.22727272727272727"/>
    <n v="0.31107954545454547"/>
    <n v="0.15482954545454544"/>
    <n v="0.34375"/>
  </r>
  <r>
    <x v="204"/>
    <n v="3"/>
    <n v="268"/>
    <n v="0"/>
    <n v="160"/>
    <n v="1"/>
    <n v="220"/>
    <n v="0"/>
    <n v="109"/>
    <x v="7"/>
    <x v="29"/>
    <n v="0.59701492537313428"/>
    <n v="0.49545454545454548"/>
    <n v="108"/>
    <n v="111"/>
    <n v="15"/>
    <n v="0.38068181818181818"/>
    <n v="0.22727272727272727"/>
    <n v="0.3125"/>
    <n v="0.15482954545454544"/>
    <n v="0.34659090909090906"/>
  </r>
  <r>
    <x v="205"/>
    <n v="3"/>
    <n v="271"/>
    <n v="0"/>
    <n v="160"/>
    <n v="3"/>
    <n v="223"/>
    <n v="0"/>
    <n v="109"/>
    <x v="7"/>
    <x v="29"/>
    <n v="0.59040590405904059"/>
    <n v="0.48878923766816146"/>
    <n v="111"/>
    <n v="114"/>
    <n v="15"/>
    <n v="0.38494318181818182"/>
    <n v="0.22727272727272727"/>
    <n v="0.31676136363636365"/>
    <n v="0.15482954545454544"/>
    <n v="0.35085227272727271"/>
  </r>
  <r>
    <x v="206"/>
    <n v="3"/>
    <n v="274"/>
    <n v="0"/>
    <n v="160"/>
    <n v="2"/>
    <n v="225"/>
    <n v="0"/>
    <n v="109"/>
    <x v="7"/>
    <x v="29"/>
    <n v="0.58394160583941601"/>
    <n v="0.48444444444444446"/>
    <n v="114"/>
    <n v="116"/>
    <n v="15"/>
    <n v="0.38920454545454547"/>
    <n v="0.22727272727272727"/>
    <n v="0.31960227272727271"/>
    <n v="0.15482954545454544"/>
    <n v="0.35440340909090906"/>
  </r>
  <r>
    <x v="207"/>
    <n v="3"/>
    <n v="277"/>
    <n v="0"/>
    <n v="160"/>
    <n v="1"/>
    <n v="226"/>
    <n v="0"/>
    <n v="109"/>
    <x v="7"/>
    <x v="29"/>
    <n v="0.57761732851985559"/>
    <n v="0.48230088495575218"/>
    <n v="117"/>
    <n v="117"/>
    <n v="15"/>
    <n v="0.39346590909090912"/>
    <n v="0.22727272727272727"/>
    <n v="0.32102272727272729"/>
    <n v="0.15482954545454544"/>
    <n v="0.35724431818181823"/>
  </r>
  <r>
    <x v="208"/>
    <n v="0"/>
    <n v="277"/>
    <n v="0"/>
    <n v="160"/>
    <n v="1"/>
    <n v="227"/>
    <n v="0"/>
    <n v="109"/>
    <x v="7"/>
    <x v="29"/>
    <n v="0.57761732851985559"/>
    <n v="0.48017621145374451"/>
    <n v="117"/>
    <n v="118"/>
    <n v="15"/>
    <n v="0.39346590909090912"/>
    <n v="0.22727272727272727"/>
    <n v="0.32244318181818182"/>
    <n v="0.15482954545454544"/>
    <n v="0.35795454545454547"/>
  </r>
  <r>
    <x v="209"/>
    <n v="0"/>
    <n v="277"/>
    <n v="0"/>
    <n v="160"/>
    <n v="4"/>
    <n v="231"/>
    <n v="0"/>
    <n v="109"/>
    <x v="7"/>
    <x v="30"/>
    <n v="0.57761732851985559"/>
    <n v="0.47186147186147187"/>
    <n v="117"/>
    <n v="122"/>
    <n v="6"/>
    <n v="0.39346590909090912"/>
    <n v="0.22727272727272727"/>
    <n v="0.328125"/>
    <n v="0.15482954545454544"/>
    <n v="0.36079545454545459"/>
  </r>
  <r>
    <x v="210"/>
    <n v="3"/>
    <n v="280"/>
    <n v="0"/>
    <n v="160"/>
    <n v="1"/>
    <n v="232"/>
    <n v="0"/>
    <n v="109"/>
    <x v="7"/>
    <x v="30"/>
    <n v="0.5714285714285714"/>
    <n v="0.46982758620689657"/>
    <n v="120"/>
    <n v="123"/>
    <n v="6"/>
    <n v="0.39772727272727271"/>
    <n v="0.22727272727272727"/>
    <n v="0.32954545454545453"/>
    <n v="0.15482954545454544"/>
    <n v="0.36363636363636365"/>
  </r>
  <r>
    <x v="211"/>
    <n v="3"/>
    <n v="283"/>
    <n v="0"/>
    <n v="160"/>
    <n v="1"/>
    <n v="233"/>
    <n v="0"/>
    <n v="109"/>
    <x v="7"/>
    <x v="30"/>
    <n v="0.56537102473498235"/>
    <n v="0.46781115879828328"/>
    <n v="123"/>
    <n v="124"/>
    <n v="6"/>
    <n v="0.40198863636363635"/>
    <n v="0.22727272727272727"/>
    <n v="0.33096590909090912"/>
    <n v="0.15482954545454544"/>
    <n v="0.36647727272727271"/>
  </r>
  <r>
    <x v="212"/>
    <n v="0"/>
    <n v="283"/>
    <n v="0"/>
    <n v="160"/>
    <n v="2"/>
    <n v="235"/>
    <n v="0"/>
    <n v="109"/>
    <x v="7"/>
    <x v="30"/>
    <n v="0.56537102473498235"/>
    <n v="0.46382978723404256"/>
    <n v="123"/>
    <n v="126"/>
    <n v="6"/>
    <n v="0.40198863636363635"/>
    <n v="0.22727272727272727"/>
    <n v="0.33380681818181818"/>
    <n v="0.15482954545454544"/>
    <n v="0.36789772727272729"/>
  </r>
  <r>
    <x v="213"/>
    <n v="0"/>
    <n v="283"/>
    <n v="0"/>
    <n v="160"/>
    <n v="3"/>
    <n v="238"/>
    <n v="0"/>
    <n v="109"/>
    <x v="7"/>
    <x v="30"/>
    <n v="0.56537102473498235"/>
    <n v="0.45798319327731091"/>
    <n v="123"/>
    <n v="129"/>
    <n v="6"/>
    <n v="0.40198863636363635"/>
    <n v="0.22727272727272727"/>
    <n v="0.33806818181818182"/>
    <n v="0.15482954545454544"/>
    <n v="0.37002840909090906"/>
  </r>
  <r>
    <x v="214"/>
    <n v="0"/>
    <n v="283"/>
    <n v="0"/>
    <n v="160"/>
    <n v="1"/>
    <n v="239"/>
    <n v="0"/>
    <n v="109"/>
    <x v="7"/>
    <x v="30"/>
    <n v="0.56537102473498235"/>
    <n v="0.45606694560669458"/>
    <n v="123"/>
    <n v="130"/>
    <n v="6"/>
    <n v="0.40198863636363635"/>
    <n v="0.22727272727272727"/>
    <n v="0.33948863636363635"/>
    <n v="0.15482954545454544"/>
    <n v="0.37073863636363635"/>
  </r>
  <r>
    <x v="215"/>
    <n v="0"/>
    <n v="283"/>
    <n v="0"/>
    <n v="160"/>
    <n v="1"/>
    <n v="240"/>
    <n v="0"/>
    <n v="109"/>
    <x v="7"/>
    <x v="30"/>
    <n v="0.56537102473498235"/>
    <n v="0.45416666666666666"/>
    <n v="123"/>
    <n v="131"/>
    <n v="6"/>
    <n v="0.40198863636363635"/>
    <n v="0.22727272727272727"/>
    <n v="0.34090909090909088"/>
    <n v="0.15482954545454544"/>
    <n v="0.37144886363636365"/>
  </r>
  <r>
    <x v="216"/>
    <n v="0"/>
    <n v="283"/>
    <n v="0"/>
    <n v="160"/>
    <n v="3"/>
    <n v="243"/>
    <n v="0"/>
    <n v="109"/>
    <x v="7"/>
    <x v="31"/>
    <n v="0.56537102473498235"/>
    <n v="0.44855967078189302"/>
    <n v="123"/>
    <n v="134"/>
    <n v="15"/>
    <n v="0.40198863636363635"/>
    <n v="0.22727272727272727"/>
    <n v="0.34517045454545453"/>
    <n v="0.15482954545454544"/>
    <n v="0.37357954545454541"/>
  </r>
  <r>
    <x v="217"/>
    <n v="3"/>
    <n v="286"/>
    <n v="0"/>
    <n v="160"/>
    <n v="2"/>
    <n v="245"/>
    <n v="0"/>
    <n v="109"/>
    <x v="7"/>
    <x v="31"/>
    <n v="0.55944055944055948"/>
    <n v="0.44489795918367347"/>
    <n v="126"/>
    <n v="136"/>
    <n v="15"/>
    <n v="0.40625"/>
    <n v="0.22727272727272727"/>
    <n v="0.34801136363636365"/>
    <n v="0.15482954545454544"/>
    <n v="0.37713068181818182"/>
  </r>
  <r>
    <x v="218"/>
    <n v="3"/>
    <n v="289"/>
    <n v="0"/>
    <n v="160"/>
    <n v="1"/>
    <n v="246"/>
    <n v="0"/>
    <n v="109"/>
    <x v="7"/>
    <x v="31"/>
    <n v="0.55363321799307963"/>
    <n v="0.44308943089430897"/>
    <n v="129"/>
    <n v="137"/>
    <n v="15"/>
    <n v="0.41051136363636365"/>
    <n v="0.22727272727272727"/>
    <n v="0.34943181818181818"/>
    <n v="0.15482954545454544"/>
    <n v="0.37997159090909094"/>
  </r>
  <r>
    <x v="219"/>
    <n v="3"/>
    <n v="292"/>
    <n v="0"/>
    <n v="160"/>
    <n v="2"/>
    <n v="248"/>
    <n v="0"/>
    <n v="109"/>
    <x v="7"/>
    <x v="31"/>
    <n v="0.54794520547945202"/>
    <n v="0.43951612903225806"/>
    <n v="132"/>
    <n v="139"/>
    <n v="15"/>
    <n v="0.41477272727272729"/>
    <n v="0.22727272727272727"/>
    <n v="0.35227272727272729"/>
    <n v="0.15482954545454544"/>
    <n v="0.38352272727272729"/>
  </r>
  <r>
    <x v="220"/>
    <n v="3"/>
    <n v="295"/>
    <n v="0"/>
    <n v="160"/>
    <n v="3"/>
    <n v="251"/>
    <n v="0"/>
    <n v="109"/>
    <x v="7"/>
    <x v="31"/>
    <n v="0.5423728813559322"/>
    <n v="0.43426294820717132"/>
    <n v="135"/>
    <n v="142"/>
    <n v="15"/>
    <n v="0.41903409090909088"/>
    <n v="0.22727272727272727"/>
    <n v="0.35653409090909088"/>
    <n v="0.15482954545454544"/>
    <n v="0.38778409090909088"/>
  </r>
  <r>
    <x v="221"/>
    <n v="3"/>
    <n v="298"/>
    <n v="0"/>
    <n v="160"/>
    <n v="2"/>
    <n v="253"/>
    <n v="0"/>
    <n v="109"/>
    <x v="7"/>
    <x v="31"/>
    <n v="0.53691275167785235"/>
    <n v="0.43083003952569171"/>
    <n v="138"/>
    <n v="144"/>
    <n v="15"/>
    <n v="0.42329545454545453"/>
    <n v="0.22727272727272727"/>
    <n v="0.359375"/>
    <n v="0.15482954545454544"/>
    <n v="0.39133522727272729"/>
  </r>
  <r>
    <x v="222"/>
    <n v="0"/>
    <n v="298"/>
    <n v="0"/>
    <n v="160"/>
    <n v="0"/>
    <n v="253"/>
    <n v="0"/>
    <n v="109"/>
    <x v="7"/>
    <x v="31"/>
    <n v="0.53691275167785235"/>
    <n v="0.43083003952569171"/>
    <n v="138"/>
    <n v="144"/>
    <n v="15"/>
    <n v="0.42329545454545453"/>
    <n v="0.22727272727272727"/>
    <n v="0.359375"/>
    <n v="0.15482954545454544"/>
    <n v="0.39133522727272729"/>
  </r>
  <r>
    <x v="223"/>
    <n v="0"/>
    <n v="298"/>
    <n v="0"/>
    <n v="160"/>
    <n v="4"/>
    <n v="257"/>
    <n v="0"/>
    <n v="109"/>
    <x v="7"/>
    <x v="32"/>
    <n v="0.53691275167785235"/>
    <n v="0.42412451361867703"/>
    <n v="138"/>
    <n v="148"/>
    <n v="9"/>
    <n v="0.42329545454545453"/>
    <n v="0.22727272727272727"/>
    <n v="0.36505681818181818"/>
    <n v="0.15482954545454544"/>
    <n v="0.39417613636363635"/>
  </r>
  <r>
    <x v="224"/>
    <n v="3"/>
    <n v="301"/>
    <n v="0"/>
    <n v="160"/>
    <n v="1"/>
    <n v="258"/>
    <n v="0"/>
    <n v="109"/>
    <x v="7"/>
    <x v="32"/>
    <n v="0.53156146179401997"/>
    <n v="0.42248062015503873"/>
    <n v="141"/>
    <n v="149"/>
    <n v="9"/>
    <n v="0.42755681818181818"/>
    <n v="0.22727272727272727"/>
    <n v="0.36647727272727271"/>
    <n v="0.15482954545454544"/>
    <n v="0.39701704545454541"/>
  </r>
  <r>
    <x v="225"/>
    <n v="3"/>
    <n v="304"/>
    <n v="0"/>
    <n v="160"/>
    <n v="1"/>
    <n v="259"/>
    <n v="0"/>
    <n v="109"/>
    <x v="7"/>
    <x v="32"/>
    <n v="0.52631578947368418"/>
    <n v="0.42084942084942084"/>
    <n v="144"/>
    <n v="150"/>
    <n v="9"/>
    <n v="0.43181818181818182"/>
    <n v="0.22727272727272727"/>
    <n v="0.36789772727272729"/>
    <n v="0.15482954545454544"/>
    <n v="0.39985795454545459"/>
  </r>
  <r>
    <x v="226"/>
    <n v="3"/>
    <n v="307"/>
    <n v="0"/>
    <n v="160"/>
    <n v="3"/>
    <n v="262"/>
    <n v="0"/>
    <n v="109"/>
    <x v="7"/>
    <x v="32"/>
    <n v="0.52117263843648209"/>
    <n v="0.41603053435114506"/>
    <n v="147"/>
    <n v="153"/>
    <n v="9"/>
    <n v="0.43607954545454547"/>
    <n v="0.22727272727272727"/>
    <n v="0.37215909090909088"/>
    <n v="0.15482954545454544"/>
    <n v="0.40411931818181818"/>
  </r>
  <r>
    <x v="227"/>
    <n v="3"/>
    <n v="310"/>
    <n v="0"/>
    <n v="160"/>
    <n v="3"/>
    <n v="265"/>
    <n v="0"/>
    <n v="109"/>
    <x v="8"/>
    <x v="32"/>
    <n v="0.5161290322580645"/>
    <n v="0.41132075471698115"/>
    <n v="150"/>
    <n v="156"/>
    <n v="6"/>
    <n v="0.44034090909090912"/>
    <n v="0.22727272727272727"/>
    <n v="0.37642045454545453"/>
    <n v="0.15482954545454544"/>
    <n v="0.40838068181818182"/>
  </r>
  <r>
    <x v="228"/>
    <n v="3"/>
    <n v="313"/>
    <n v="0"/>
    <n v="160"/>
    <n v="2"/>
    <n v="267"/>
    <n v="0"/>
    <n v="109"/>
    <x v="8"/>
    <x v="32"/>
    <n v="0.51118210862619806"/>
    <n v="0.40823970037453183"/>
    <n v="153"/>
    <n v="158"/>
    <n v="6"/>
    <n v="0.44460227272727271"/>
    <n v="0.22727272727272727"/>
    <n v="0.37926136363636365"/>
    <n v="0.15482954545454544"/>
    <n v="0.41193181818181818"/>
  </r>
  <r>
    <x v="229"/>
    <n v="0"/>
    <n v="313"/>
    <n v="0"/>
    <n v="160"/>
    <n v="2"/>
    <n v="269"/>
    <n v="0"/>
    <n v="109"/>
    <x v="8"/>
    <x v="32"/>
    <n v="0.51118210862619806"/>
    <n v="0.40520446096654272"/>
    <n v="153"/>
    <n v="160"/>
    <n v="6"/>
    <n v="0.44460227272727271"/>
    <n v="0.22727272727272727"/>
    <n v="0.38210227272727271"/>
    <n v="0.15482954545454544"/>
    <n v="0.41335227272727271"/>
  </r>
  <r>
    <x v="230"/>
    <n v="0"/>
    <n v="313"/>
    <n v="0"/>
    <n v="160"/>
    <n v="2"/>
    <n v="271"/>
    <n v="0"/>
    <n v="109"/>
    <x v="8"/>
    <x v="33"/>
    <n v="0.51118210862619806"/>
    <n v="0.40221402214022139"/>
    <n v="153"/>
    <n v="162"/>
    <n v="15"/>
    <n v="0.44460227272727271"/>
    <n v="0.22727272727272727"/>
    <n v="0.38494318181818182"/>
    <n v="0.15482954545454544"/>
    <n v="0.41477272727272729"/>
  </r>
  <r>
    <x v="231"/>
    <n v="3"/>
    <n v="316"/>
    <n v="0"/>
    <n v="160"/>
    <n v="1"/>
    <n v="272"/>
    <n v="0"/>
    <n v="109"/>
    <x v="8"/>
    <x v="33"/>
    <n v="0.50632911392405067"/>
    <n v="0.40073529411764708"/>
    <n v="156"/>
    <n v="163"/>
    <n v="15"/>
    <n v="0.44886363636363635"/>
    <n v="0.22727272727272727"/>
    <n v="0.38636363636363635"/>
    <n v="0.15482954545454544"/>
    <n v="0.41761363636363635"/>
  </r>
  <r>
    <x v="232"/>
    <n v="3"/>
    <n v="319"/>
    <n v="0"/>
    <n v="160"/>
    <n v="0"/>
    <n v="272"/>
    <n v="0"/>
    <n v="109"/>
    <x v="8"/>
    <x v="33"/>
    <n v="0.50156739811912221"/>
    <n v="0.40073529411764708"/>
    <n v="159"/>
    <n v="163"/>
    <n v="15"/>
    <n v="0.453125"/>
    <n v="0.22727272727272727"/>
    <n v="0.38636363636363635"/>
    <n v="0.15482954545454544"/>
    <n v="0.41974431818181818"/>
  </r>
  <r>
    <x v="233"/>
    <n v="3"/>
    <n v="322"/>
    <n v="0"/>
    <n v="160"/>
    <n v="1"/>
    <n v="273"/>
    <n v="0"/>
    <n v="109"/>
    <x v="8"/>
    <x v="33"/>
    <n v="0.49689440993788819"/>
    <n v="0.39926739926739929"/>
    <n v="162"/>
    <n v="164"/>
    <n v="15"/>
    <n v="0.45738636363636365"/>
    <n v="0.22727272727272727"/>
    <n v="0.38778409090909088"/>
    <n v="0.15482954545454544"/>
    <n v="0.42258522727272729"/>
  </r>
  <r>
    <x v="234"/>
    <n v="3"/>
    <n v="325"/>
    <n v="0"/>
    <n v="160"/>
    <n v="2"/>
    <n v="275"/>
    <n v="0"/>
    <n v="109"/>
    <x v="8"/>
    <x v="33"/>
    <n v="0.49230769230769234"/>
    <n v="0.39636363636363636"/>
    <n v="165"/>
    <n v="166"/>
    <n v="15"/>
    <n v="0.46164772727272729"/>
    <n v="0.22727272727272727"/>
    <n v="0.390625"/>
    <n v="0.15482954545454544"/>
    <n v="0.42613636363636365"/>
  </r>
  <r>
    <x v="235"/>
    <n v="3"/>
    <n v="328"/>
    <n v="0"/>
    <n v="160"/>
    <n v="2"/>
    <n v="277"/>
    <n v="0"/>
    <n v="109"/>
    <x v="8"/>
    <x v="33"/>
    <n v="0.48780487804878048"/>
    <n v="0.39350180505415161"/>
    <n v="168"/>
    <n v="168"/>
    <n v="15"/>
    <n v="0.46590909090909088"/>
    <n v="0.22727272727272727"/>
    <n v="0.39346590909090912"/>
    <n v="0.15482954545454544"/>
    <n v="0.4296875"/>
  </r>
  <r>
    <x v="236"/>
    <n v="0"/>
    <n v="328"/>
    <n v="0"/>
    <n v="160"/>
    <n v="1"/>
    <n v="278"/>
    <n v="0"/>
    <n v="109"/>
    <x v="8"/>
    <x v="33"/>
    <n v="0.48780487804878048"/>
    <n v="0.3920863309352518"/>
    <n v="168"/>
    <n v="169"/>
    <n v="15"/>
    <n v="0.46590909090909088"/>
    <n v="0.22727272727272727"/>
    <n v="0.39488636363636365"/>
    <n v="0.15482954545454544"/>
    <n v="0.43039772727272729"/>
  </r>
  <r>
    <x v="237"/>
    <n v="0"/>
    <n v="328"/>
    <n v="0"/>
    <n v="160"/>
    <n v="3"/>
    <n v="281"/>
    <n v="0"/>
    <n v="109"/>
    <x v="8"/>
    <x v="34"/>
    <n v="0.48780487804878048"/>
    <n v="0.38790035587188609"/>
    <n v="168"/>
    <n v="172"/>
    <n v="15"/>
    <n v="0.46590909090909088"/>
    <n v="0.22727272727272727"/>
    <n v="0.39914772727272729"/>
    <n v="0.15482954545454544"/>
    <n v="0.43252840909090906"/>
  </r>
  <r>
    <x v="238"/>
    <n v="3"/>
    <n v="331"/>
    <n v="0"/>
    <n v="160"/>
    <n v="2"/>
    <n v="283"/>
    <n v="0"/>
    <n v="109"/>
    <x v="8"/>
    <x v="34"/>
    <n v="0.48338368580060426"/>
    <n v="0.38515901060070673"/>
    <n v="171"/>
    <n v="174"/>
    <n v="15"/>
    <n v="0.47017045454545453"/>
    <n v="0.22727272727272727"/>
    <n v="0.40198863636363635"/>
    <n v="0.15482954545454544"/>
    <n v="0.43607954545454541"/>
  </r>
  <r>
    <x v="239"/>
    <n v="3"/>
    <n v="334"/>
    <n v="0"/>
    <n v="160"/>
    <n v="1"/>
    <n v="284"/>
    <n v="0"/>
    <n v="109"/>
    <x v="8"/>
    <x v="34"/>
    <n v="0.47904191616766467"/>
    <n v="0.38380281690140844"/>
    <n v="174"/>
    <n v="175"/>
    <n v="15"/>
    <n v="0.47443181818181818"/>
    <n v="0.22727272727272727"/>
    <n v="0.40340909090909088"/>
    <n v="0.15482954545454544"/>
    <n v="0.43892045454545453"/>
  </r>
  <r>
    <x v="240"/>
    <n v="3"/>
    <n v="337"/>
    <n v="0"/>
    <n v="160"/>
    <n v="3"/>
    <n v="287"/>
    <n v="0"/>
    <n v="109"/>
    <x v="8"/>
    <x v="34"/>
    <n v="0.47477744807121663"/>
    <n v="0.37979094076655051"/>
    <n v="177"/>
    <n v="178"/>
    <n v="15"/>
    <n v="0.47869318181818182"/>
    <n v="0.22727272727272727"/>
    <n v="0.40767045454545453"/>
    <n v="0.15482954545454544"/>
    <n v="0.44318181818181818"/>
  </r>
  <r>
    <x v="241"/>
    <n v="3"/>
    <n v="340"/>
    <n v="0"/>
    <n v="160"/>
    <n v="4"/>
    <n v="291"/>
    <n v="0"/>
    <n v="109"/>
    <x v="8"/>
    <x v="34"/>
    <n v="0.47058823529411764"/>
    <n v="0.37457044673539519"/>
    <n v="180"/>
    <n v="182"/>
    <n v="15"/>
    <n v="0.48295454545454547"/>
    <n v="0.22727272727272727"/>
    <n v="0.41335227272727271"/>
    <n v="0.15482954545454544"/>
    <n v="0.44815340909090906"/>
  </r>
  <r>
    <x v="242"/>
    <n v="3"/>
    <n v="343"/>
    <n v="0"/>
    <n v="160"/>
    <n v="0"/>
    <n v="291"/>
    <n v="0"/>
    <n v="109"/>
    <x v="8"/>
    <x v="34"/>
    <n v="0.46647230320699706"/>
    <n v="0.37457044673539519"/>
    <n v="183"/>
    <n v="182"/>
    <n v="15"/>
    <n v="0.48721590909090912"/>
    <n v="0.22727272727272727"/>
    <n v="0.41335227272727271"/>
    <n v="0.15482954545454544"/>
    <n v="0.45028409090909094"/>
  </r>
  <r>
    <x v="243"/>
    <n v="0"/>
    <n v="343"/>
    <n v="0"/>
    <n v="160"/>
    <n v="0"/>
    <n v="291"/>
    <n v="0"/>
    <n v="109"/>
    <x v="8"/>
    <x v="34"/>
    <n v="0.46647230320699706"/>
    <n v="0.37457044673539519"/>
    <n v="183"/>
    <n v="182"/>
    <n v="15"/>
    <n v="0.48721590909090912"/>
    <n v="0.22727272727272727"/>
    <n v="0.41335227272727271"/>
    <n v="0.15482954545454544"/>
    <n v="0.45028409090909094"/>
  </r>
  <r>
    <x v="244"/>
    <n v="0"/>
    <n v="343"/>
    <n v="0"/>
    <n v="160"/>
    <n v="2"/>
    <n v="293"/>
    <n v="0"/>
    <n v="109"/>
    <x v="8"/>
    <x v="35"/>
    <n v="0.46647230320699706"/>
    <n v="0.37201365187713309"/>
    <n v="183"/>
    <n v="184"/>
    <n v="15"/>
    <n v="0.48721590909090912"/>
    <n v="0.22727272727272727"/>
    <n v="0.41619318181818182"/>
    <n v="0.15482954545454544"/>
    <n v="0.45170454545454547"/>
  </r>
  <r>
    <x v="245"/>
    <n v="3"/>
    <n v="346"/>
    <n v="0"/>
    <n v="160"/>
    <n v="1"/>
    <n v="294"/>
    <n v="0"/>
    <n v="109"/>
    <x v="8"/>
    <x v="35"/>
    <n v="0.46242774566473988"/>
    <n v="0.37074829931972791"/>
    <n v="186"/>
    <n v="185"/>
    <n v="15"/>
    <n v="0.49147727272727271"/>
    <n v="0.22727272727272727"/>
    <n v="0.41761363636363635"/>
    <n v="0.15482954545454544"/>
    <n v="0.45454545454545453"/>
  </r>
  <r>
    <x v="246"/>
    <n v="3"/>
    <n v="349"/>
    <n v="0"/>
    <n v="160"/>
    <n v="1"/>
    <n v="295"/>
    <n v="0"/>
    <n v="109"/>
    <x v="8"/>
    <x v="35"/>
    <n v="0.45845272206303728"/>
    <n v="0.36949152542372882"/>
    <n v="189"/>
    <n v="186"/>
    <n v="15"/>
    <n v="0.49573863636363635"/>
    <n v="0.22727272727272727"/>
    <n v="0.41903409090909088"/>
    <n v="0.15482954545454544"/>
    <n v="0.45738636363636365"/>
  </r>
  <r>
    <x v="247"/>
    <n v="3"/>
    <n v="352"/>
    <n v="0"/>
    <n v="160"/>
    <n v="3"/>
    <n v="298"/>
    <n v="0"/>
    <n v="109"/>
    <x v="8"/>
    <x v="35"/>
    <n v="0.45454545454545453"/>
    <n v="0.36577181208053694"/>
    <n v="192"/>
    <n v="189"/>
    <n v="15"/>
    <n v="0.5"/>
    <n v="0.22727272727272727"/>
    <n v="0.42329545454545453"/>
    <n v="0.15482954545454544"/>
    <n v="0.46164772727272729"/>
  </r>
  <r>
    <x v="248"/>
    <n v="3"/>
    <n v="355"/>
    <n v="0"/>
    <n v="160"/>
    <n v="3"/>
    <n v="301"/>
    <n v="0"/>
    <n v="109"/>
    <x v="8"/>
    <x v="35"/>
    <n v="0.45070422535211269"/>
    <n v="0.36212624584717606"/>
    <n v="195"/>
    <n v="192"/>
    <n v="15"/>
    <n v="0.50426136363636365"/>
    <n v="0.22727272727272727"/>
    <n v="0.42755681818181818"/>
    <n v="0.15482954545454544"/>
    <n v="0.46590909090909094"/>
  </r>
  <r>
    <x v="249"/>
    <n v="3"/>
    <n v="358"/>
    <n v="0"/>
    <n v="160"/>
    <n v="2"/>
    <n v="303"/>
    <n v="0"/>
    <n v="109"/>
    <x v="8"/>
    <x v="35"/>
    <n v="0.44692737430167595"/>
    <n v="0.35973597359735976"/>
    <n v="198"/>
    <n v="194"/>
    <n v="15"/>
    <n v="0.50852272727272729"/>
    <n v="0.22727272727272727"/>
    <n v="0.43039772727272729"/>
    <n v="0.15482954545454544"/>
    <n v="0.46946022727272729"/>
  </r>
  <r>
    <x v="250"/>
    <n v="0"/>
    <n v="358"/>
    <n v="0"/>
    <n v="160"/>
    <n v="2"/>
    <n v="305"/>
    <n v="0"/>
    <n v="109"/>
    <x v="8"/>
    <x v="35"/>
    <n v="0.44692737430167595"/>
    <n v="0.35737704918032787"/>
    <n v="198"/>
    <n v="196"/>
    <n v="15"/>
    <n v="0.50852272727272729"/>
    <n v="0.22727272727272727"/>
    <n v="0.43323863636363635"/>
    <n v="0.15482954545454544"/>
    <n v="0.47088068181818182"/>
  </r>
  <r>
    <x v="251"/>
    <n v="0"/>
    <n v="358"/>
    <n v="0"/>
    <n v="160"/>
    <n v="2"/>
    <n v="307"/>
    <n v="0"/>
    <n v="109"/>
    <x v="8"/>
    <x v="36"/>
    <n v="0.44692737430167595"/>
    <n v="0.35504885993485341"/>
    <n v="198"/>
    <n v="198"/>
    <n v="15"/>
    <n v="0.50852272727272729"/>
    <n v="0.22727272727272727"/>
    <n v="0.43607954545454547"/>
    <n v="0.15482954545454544"/>
    <n v="0.47230113636363635"/>
  </r>
  <r>
    <x v="252"/>
    <n v="3"/>
    <n v="361"/>
    <n v="0"/>
    <n v="160"/>
    <n v="1"/>
    <n v="308"/>
    <n v="0"/>
    <n v="109"/>
    <x v="8"/>
    <x v="36"/>
    <n v="0.44321329639889195"/>
    <n v="0.35389610389610388"/>
    <n v="201"/>
    <n v="199"/>
    <n v="15"/>
    <n v="0.51278409090909094"/>
    <n v="0.22727272727272727"/>
    <n v="0.4375"/>
    <n v="0.15482954545454544"/>
    <n v="0.47514204545454547"/>
  </r>
  <r>
    <x v="253"/>
    <n v="3"/>
    <n v="364"/>
    <n v="0"/>
    <n v="160"/>
    <n v="2"/>
    <n v="310"/>
    <n v="0"/>
    <n v="109"/>
    <x v="8"/>
    <x v="36"/>
    <n v="0.43956043956043955"/>
    <n v="0.35161290322580646"/>
    <n v="204"/>
    <n v="201"/>
    <n v="15"/>
    <n v="0.51704545454545459"/>
    <n v="0.22727272727272727"/>
    <n v="0.44034090909090912"/>
    <n v="0.15482954545454544"/>
    <n v="0.47869318181818188"/>
  </r>
  <r>
    <x v="254"/>
    <n v="3"/>
    <n v="367"/>
    <n v="0"/>
    <n v="160"/>
    <n v="3"/>
    <n v="313"/>
    <n v="0"/>
    <n v="109"/>
    <x v="8"/>
    <x v="36"/>
    <n v="0.43596730245231607"/>
    <n v="0.34824281150159747"/>
    <n v="207"/>
    <n v="204"/>
    <n v="15"/>
    <n v="0.52130681818181823"/>
    <n v="0.22727272727272727"/>
    <n v="0.44460227272727271"/>
    <n v="0.15482954545454544"/>
    <n v="0.48295454545454547"/>
  </r>
  <r>
    <x v="255"/>
    <n v="3"/>
    <n v="370"/>
    <n v="0"/>
    <n v="160"/>
    <n v="3"/>
    <n v="316"/>
    <n v="0"/>
    <n v="109"/>
    <x v="8"/>
    <x v="36"/>
    <n v="0.43243243243243246"/>
    <n v="0.3449367088607595"/>
    <n v="210"/>
    <n v="207"/>
    <n v="15"/>
    <n v="0.52556818181818177"/>
    <n v="0.22727272727272727"/>
    <n v="0.44886363636363635"/>
    <n v="0.15482954545454544"/>
    <n v="0.48721590909090906"/>
  </r>
  <r>
    <x v="256"/>
    <n v="3"/>
    <n v="373"/>
    <n v="0"/>
    <n v="160"/>
    <n v="2"/>
    <n v="318"/>
    <n v="0"/>
    <n v="109"/>
    <x v="8"/>
    <x v="36"/>
    <n v="0.42895442359249331"/>
    <n v="0.34276729559748426"/>
    <n v="213"/>
    <n v="209"/>
    <n v="15"/>
    <n v="0.52982954545454541"/>
    <n v="0.22727272727272727"/>
    <n v="0.45170454545454547"/>
    <n v="0.15482954545454544"/>
    <n v="0.49076704545454541"/>
  </r>
  <r>
    <x v="257"/>
    <n v="0"/>
    <n v="373"/>
    <n v="0"/>
    <n v="160"/>
    <n v="1"/>
    <n v="319"/>
    <n v="0"/>
    <n v="109"/>
    <x v="8"/>
    <x v="36"/>
    <n v="0.42895442359249331"/>
    <n v="0.34169278996865204"/>
    <n v="213"/>
    <n v="210"/>
    <n v="15"/>
    <n v="0.52982954545454541"/>
    <n v="0.22727272727272727"/>
    <n v="0.453125"/>
    <n v="0.15482954545454544"/>
    <n v="0.49147727272727271"/>
  </r>
  <r>
    <x v="258"/>
    <n v="0"/>
    <n v="373"/>
    <n v="0"/>
    <n v="160"/>
    <n v="2"/>
    <n v="321"/>
    <n v="0"/>
    <n v="109"/>
    <x v="9"/>
    <x v="37"/>
    <n v="0.42895442359249331"/>
    <n v="0.33956386292834889"/>
    <n v="213"/>
    <n v="212"/>
    <n v="15"/>
    <n v="0.52982954545454541"/>
    <n v="0.22727272727272727"/>
    <n v="0.45596590909090912"/>
    <n v="0.15482954545454544"/>
    <n v="0.49289772727272729"/>
  </r>
  <r>
    <x v="259"/>
    <n v="3"/>
    <n v="376"/>
    <n v="0"/>
    <n v="160"/>
    <n v="2"/>
    <n v="323"/>
    <n v="0"/>
    <n v="109"/>
    <x v="9"/>
    <x v="37"/>
    <n v="0.42553191489361702"/>
    <n v="0.33746130030959753"/>
    <n v="216"/>
    <n v="214"/>
    <n v="15"/>
    <n v="0.53409090909090906"/>
    <n v="0.22727272727272727"/>
    <n v="0.45880681818181818"/>
    <n v="0.15482954545454544"/>
    <n v="0.49644886363636365"/>
  </r>
  <r>
    <x v="260"/>
    <n v="3"/>
    <n v="379"/>
    <n v="0"/>
    <n v="160"/>
    <n v="2"/>
    <n v="325"/>
    <n v="0"/>
    <n v="109"/>
    <x v="9"/>
    <x v="37"/>
    <n v="0.42216358839050133"/>
    <n v="0.33538461538461539"/>
    <n v="219"/>
    <n v="216"/>
    <n v="15"/>
    <n v="0.53835227272727271"/>
    <n v="0.22727272727272727"/>
    <n v="0.46164772727272729"/>
    <n v="0.15482954545454544"/>
    <n v="0.5"/>
  </r>
  <r>
    <x v="261"/>
    <n v="3"/>
    <n v="382"/>
    <n v="0"/>
    <n v="160"/>
    <n v="3"/>
    <n v="328"/>
    <n v="0"/>
    <n v="109"/>
    <x v="9"/>
    <x v="37"/>
    <n v="0.41884816753926701"/>
    <n v="0.33231707317073172"/>
    <n v="222"/>
    <n v="219"/>
    <n v="15"/>
    <n v="0.54261363636363635"/>
    <n v="0.22727272727272727"/>
    <n v="0.46590909090909088"/>
    <n v="0.15482954545454544"/>
    <n v="0.50426136363636365"/>
  </r>
  <r>
    <x v="262"/>
    <n v="3"/>
    <n v="385"/>
    <n v="0"/>
    <n v="160"/>
    <n v="3"/>
    <n v="331"/>
    <n v="0"/>
    <n v="109"/>
    <x v="9"/>
    <x v="37"/>
    <n v="0.41558441558441561"/>
    <n v="0.32930513595166161"/>
    <n v="225"/>
    <n v="222"/>
    <n v="15"/>
    <n v="0.546875"/>
    <n v="0.22727272727272727"/>
    <n v="0.47017045454545453"/>
    <n v="0.15482954545454544"/>
    <n v="0.50852272727272729"/>
  </r>
  <r>
    <x v="263"/>
    <n v="3"/>
    <n v="388"/>
    <n v="0"/>
    <n v="160"/>
    <n v="1"/>
    <n v="332"/>
    <n v="0"/>
    <n v="109"/>
    <x v="9"/>
    <x v="37"/>
    <n v="0.41237113402061853"/>
    <n v="0.32831325301204817"/>
    <n v="228"/>
    <n v="223"/>
    <n v="15"/>
    <n v="0.55113636363636365"/>
    <n v="0.22727272727272727"/>
    <n v="0.47159090909090912"/>
    <n v="0.15482954545454544"/>
    <n v="0.51136363636363635"/>
  </r>
  <r>
    <x v="264"/>
    <n v="0"/>
    <n v="388"/>
    <n v="0"/>
    <n v="160"/>
    <n v="1"/>
    <n v="333"/>
    <n v="0"/>
    <n v="109"/>
    <x v="9"/>
    <x v="37"/>
    <n v="0.41237113402061853"/>
    <n v="0.32732732732732733"/>
    <n v="228"/>
    <n v="224"/>
    <n v="15"/>
    <n v="0.55113636363636365"/>
    <n v="0.22727272727272727"/>
    <n v="0.47301136363636365"/>
    <n v="0.15482954545454544"/>
    <n v="0.51207386363636365"/>
  </r>
  <r>
    <x v="265"/>
    <n v="0"/>
    <n v="388"/>
    <n v="0"/>
    <n v="160"/>
    <n v="4"/>
    <n v="337"/>
    <n v="0"/>
    <n v="109"/>
    <x v="9"/>
    <x v="38"/>
    <n v="0.41237113402061853"/>
    <n v="0.32344213649851633"/>
    <n v="228"/>
    <n v="228"/>
    <n v="15"/>
    <n v="0.55113636363636365"/>
    <n v="0.22727272727272727"/>
    <n v="0.47869318181818182"/>
    <n v="0.15482954545454544"/>
    <n v="0.51491477272727271"/>
  </r>
  <r>
    <x v="266"/>
    <n v="3"/>
    <n v="391"/>
    <n v="0"/>
    <n v="160"/>
    <n v="2"/>
    <n v="339"/>
    <n v="0"/>
    <n v="109"/>
    <x v="9"/>
    <x v="38"/>
    <n v="0.40920716112531969"/>
    <n v="0.32153392330383479"/>
    <n v="231"/>
    <n v="230"/>
    <n v="15"/>
    <n v="0.55539772727272729"/>
    <n v="0.22727272727272727"/>
    <n v="0.48153409090909088"/>
    <n v="0.15482954545454544"/>
    <n v="0.51846590909090906"/>
  </r>
  <r>
    <x v="267"/>
    <n v="3"/>
    <n v="394"/>
    <n v="0"/>
    <n v="160"/>
    <n v="1"/>
    <n v="340"/>
    <n v="0"/>
    <n v="109"/>
    <x v="9"/>
    <x v="38"/>
    <n v="0.40609137055837563"/>
    <n v="0.32058823529411767"/>
    <n v="234"/>
    <n v="231"/>
    <n v="15"/>
    <n v="0.55965909090909094"/>
    <n v="0.22727272727272727"/>
    <n v="0.48295454545454547"/>
    <n v="0.15482954545454544"/>
    <n v="0.52130681818181823"/>
  </r>
  <r>
    <x v="268"/>
    <n v="3"/>
    <n v="397"/>
    <n v="0"/>
    <n v="160"/>
    <n v="3"/>
    <n v="343"/>
    <n v="0"/>
    <n v="109"/>
    <x v="9"/>
    <x v="38"/>
    <n v="0.40302267002518893"/>
    <n v="0.31778425655976678"/>
    <n v="237"/>
    <n v="234"/>
    <n v="15"/>
    <n v="0.56392045454545459"/>
    <n v="0.22727272727272727"/>
    <n v="0.48721590909090912"/>
    <n v="0.15482954545454544"/>
    <n v="0.52556818181818188"/>
  </r>
  <r>
    <x v="269"/>
    <n v="3"/>
    <n v="400"/>
    <n v="0"/>
    <n v="160"/>
    <n v="3"/>
    <n v="346"/>
    <n v="0"/>
    <n v="109"/>
    <x v="9"/>
    <x v="38"/>
    <n v="0.4"/>
    <n v="0.31502890173410403"/>
    <n v="240"/>
    <n v="237"/>
    <n v="15"/>
    <n v="0.56818181818181823"/>
    <n v="0.22727272727272727"/>
    <n v="0.49147727272727271"/>
    <n v="0.15482954545454544"/>
    <n v="0.52982954545454541"/>
  </r>
  <r>
    <x v="270"/>
    <n v="3"/>
    <n v="403"/>
    <n v="0"/>
    <n v="160"/>
    <n v="1"/>
    <n v="347"/>
    <n v="0"/>
    <n v="109"/>
    <x v="9"/>
    <x v="38"/>
    <n v="0.3970223325062035"/>
    <n v="0.31412103746397696"/>
    <n v="243"/>
    <n v="238"/>
    <n v="15"/>
    <n v="0.57244318181818177"/>
    <n v="0.22727272727272727"/>
    <n v="0.49289772727272729"/>
    <n v="0.15482954545454544"/>
    <n v="0.53267045454545459"/>
  </r>
  <r>
    <x v="271"/>
    <n v="0"/>
    <n v="403"/>
    <n v="0"/>
    <n v="160"/>
    <n v="2"/>
    <n v="349"/>
    <n v="0"/>
    <n v="109"/>
    <x v="9"/>
    <x v="38"/>
    <n v="0.3970223325062035"/>
    <n v="0.31232091690544411"/>
    <n v="243"/>
    <n v="240"/>
    <n v="15"/>
    <n v="0.57244318181818177"/>
    <n v="0.22727272727272727"/>
    <n v="0.49573863636363635"/>
    <n v="0.15482954545454544"/>
    <n v="0.53409090909090906"/>
  </r>
  <r>
    <x v="272"/>
    <n v="0"/>
    <n v="403"/>
    <n v="0"/>
    <n v="160"/>
    <n v="4"/>
    <n v="353"/>
    <n v="0"/>
    <n v="109"/>
    <x v="9"/>
    <x v="39"/>
    <n v="0.3970223325062035"/>
    <n v="0.30878186968838528"/>
    <n v="243"/>
    <n v="244"/>
    <n v="15"/>
    <n v="0.57244318181818177"/>
    <n v="0.22727272727272727"/>
    <n v="0.50142045454545459"/>
    <n v="0.15482954545454544"/>
    <n v="0.53693181818181812"/>
  </r>
  <r>
    <x v="273"/>
    <n v="3"/>
    <n v="406"/>
    <n v="0"/>
    <n v="160"/>
    <n v="1"/>
    <n v="354"/>
    <n v="0"/>
    <n v="109"/>
    <x v="9"/>
    <x v="39"/>
    <n v="0.39408866995073893"/>
    <n v="0.30790960451977401"/>
    <n v="246"/>
    <n v="245"/>
    <n v="15"/>
    <n v="0.57670454545454541"/>
    <n v="0.22727272727272727"/>
    <n v="0.50284090909090906"/>
    <n v="0.15482954545454544"/>
    <n v="0.53977272727272729"/>
  </r>
  <r>
    <x v="274"/>
    <n v="3"/>
    <n v="409"/>
    <n v="0"/>
    <n v="160"/>
    <n v="1"/>
    <n v="355"/>
    <n v="0"/>
    <n v="109"/>
    <x v="9"/>
    <x v="39"/>
    <n v="0.39119804400977998"/>
    <n v="0.30704225352112674"/>
    <n v="249"/>
    <n v="246"/>
    <n v="15"/>
    <n v="0.58096590909090906"/>
    <n v="0.22727272727272727"/>
    <n v="0.50426136363636365"/>
    <n v="0.15482954545454544"/>
    <n v="0.54261363636363635"/>
  </r>
  <r>
    <x v="275"/>
    <n v="3"/>
    <n v="412"/>
    <n v="0"/>
    <n v="160"/>
    <n v="3"/>
    <n v="358"/>
    <n v="0"/>
    <n v="109"/>
    <x v="9"/>
    <x v="39"/>
    <n v="0.38834951456310679"/>
    <n v="0.30446927374301674"/>
    <n v="252"/>
    <n v="249"/>
    <n v="15"/>
    <n v="0.58522727272727271"/>
    <n v="0.22727272727272727"/>
    <n v="0.50852272727272729"/>
    <n v="0.15482954545454544"/>
    <n v="0.546875"/>
  </r>
  <r>
    <x v="276"/>
    <n v="3"/>
    <n v="415"/>
    <n v="0"/>
    <n v="160"/>
    <n v="3"/>
    <n v="361"/>
    <n v="0"/>
    <n v="109"/>
    <x v="9"/>
    <x v="39"/>
    <n v="0.38554216867469882"/>
    <n v="0.30193905817174516"/>
    <n v="255"/>
    <n v="252"/>
    <n v="15"/>
    <n v="0.58948863636363635"/>
    <n v="0.22727272727272727"/>
    <n v="0.51278409090909094"/>
    <n v="0.15482954545454544"/>
    <n v="0.55113636363636365"/>
  </r>
  <r>
    <x v="277"/>
    <n v="3"/>
    <n v="418"/>
    <n v="0"/>
    <n v="160"/>
    <n v="2"/>
    <n v="363"/>
    <n v="0"/>
    <n v="109"/>
    <x v="9"/>
    <x v="39"/>
    <n v="0.38277511961722488"/>
    <n v="0.30027548209366389"/>
    <n v="258"/>
    <n v="254"/>
    <n v="15"/>
    <n v="0.59375"/>
    <n v="0.22727272727272727"/>
    <n v="0.515625"/>
    <n v="0.15482954545454544"/>
    <n v="0.5546875"/>
  </r>
  <r>
    <x v="278"/>
    <n v="0"/>
    <n v="418"/>
    <n v="0"/>
    <n v="160"/>
    <n v="2"/>
    <n v="365"/>
    <n v="0"/>
    <n v="109"/>
    <x v="9"/>
    <x v="39"/>
    <n v="0.38277511961722488"/>
    <n v="0.29863013698630136"/>
    <n v="258"/>
    <n v="256"/>
    <n v="15"/>
    <n v="0.59375"/>
    <n v="0.22727272727272727"/>
    <n v="0.51846590909090906"/>
    <n v="0.15482954545454544"/>
    <n v="0.55610795454545459"/>
  </r>
  <r>
    <x v="279"/>
    <n v="0"/>
    <n v="418"/>
    <n v="0"/>
    <n v="160"/>
    <n v="2"/>
    <n v="367"/>
    <n v="0"/>
    <n v="109"/>
    <x v="9"/>
    <x v="40"/>
    <n v="0.38277511961722488"/>
    <n v="0.29700272479564033"/>
    <n v="258"/>
    <n v="258"/>
    <n v="15"/>
    <n v="0.59375"/>
    <n v="0.22727272727272727"/>
    <n v="0.52130681818181823"/>
    <n v="0.15482954545454544"/>
    <n v="0.55752840909090917"/>
  </r>
  <r>
    <x v="280"/>
    <n v="3"/>
    <n v="421"/>
    <n v="0"/>
    <n v="160"/>
    <n v="1"/>
    <n v="368"/>
    <n v="0"/>
    <n v="109"/>
    <x v="9"/>
    <x v="40"/>
    <n v="0.38004750593824227"/>
    <n v="0.29619565217391303"/>
    <n v="261"/>
    <n v="259"/>
    <n v="15"/>
    <n v="0.59801136363636365"/>
    <n v="0.22727272727272727"/>
    <n v="0.52272727272727271"/>
    <n v="0.15482954545454544"/>
    <n v="0.56036931818181812"/>
  </r>
  <r>
    <x v="281"/>
    <n v="3"/>
    <n v="424"/>
    <n v="0"/>
    <n v="160"/>
    <n v="2"/>
    <n v="370"/>
    <n v="0"/>
    <n v="109"/>
    <x v="9"/>
    <x v="40"/>
    <n v="0.37735849056603776"/>
    <n v="0.29459459459459458"/>
    <n v="264"/>
    <n v="261"/>
    <n v="15"/>
    <n v="0.60227272727272729"/>
    <n v="0.22727272727272727"/>
    <n v="0.52556818181818177"/>
    <n v="0.15482954545454544"/>
    <n v="0.56392045454545459"/>
  </r>
  <r>
    <x v="282"/>
    <n v="3"/>
    <n v="427"/>
    <n v="0"/>
    <n v="160"/>
    <n v="3"/>
    <n v="373"/>
    <n v="0"/>
    <n v="109"/>
    <x v="9"/>
    <x v="40"/>
    <n v="0.37470725995316162"/>
    <n v="0.29222520107238603"/>
    <n v="267"/>
    <n v="264"/>
    <n v="15"/>
    <n v="0.60653409090909094"/>
    <n v="0.22727272727272727"/>
    <n v="0.52982954545454541"/>
    <n v="0.15482954545454544"/>
    <n v="0.56818181818181812"/>
  </r>
  <r>
    <x v="283"/>
    <n v="3"/>
    <n v="430"/>
    <n v="0"/>
    <n v="160"/>
    <n v="3"/>
    <n v="376"/>
    <n v="0"/>
    <n v="109"/>
    <x v="9"/>
    <x v="40"/>
    <n v="0.37209302325581395"/>
    <n v="0.28989361702127658"/>
    <n v="270"/>
    <n v="267"/>
    <n v="15"/>
    <n v="0.61079545454545459"/>
    <n v="0.22727272727272727"/>
    <n v="0.53409090909090906"/>
    <n v="0.15482954545454544"/>
    <n v="0.57244318181818188"/>
  </r>
  <r>
    <x v="284"/>
    <n v="3"/>
    <n v="433"/>
    <n v="0"/>
    <n v="160"/>
    <n v="2"/>
    <n v="378"/>
    <n v="0"/>
    <n v="109"/>
    <x v="9"/>
    <x v="40"/>
    <n v="0.36951501154734412"/>
    <n v="0.28835978835978837"/>
    <n v="273"/>
    <n v="269"/>
    <n v="15"/>
    <n v="0.61505681818181823"/>
    <n v="0.22727272727272727"/>
    <n v="0.53693181818181823"/>
    <n v="0.15482954545454544"/>
    <n v="0.57599431818181823"/>
  </r>
  <r>
    <x v="285"/>
    <n v="0"/>
    <n v="433"/>
    <n v="0"/>
    <n v="160"/>
    <n v="1"/>
    <n v="379"/>
    <n v="0"/>
    <n v="109"/>
    <x v="9"/>
    <x v="40"/>
    <n v="0.36951501154734412"/>
    <n v="0.28759894459102903"/>
    <n v="273"/>
    <n v="270"/>
    <n v="15"/>
    <n v="0.61505681818181823"/>
    <n v="0.22727272727272727"/>
    <n v="0.53835227272727271"/>
    <n v="0.15482954545454544"/>
    <n v="0.57670454545454541"/>
  </r>
  <r>
    <x v="286"/>
    <n v="0"/>
    <n v="433"/>
    <n v="0"/>
    <n v="160"/>
    <n v="2"/>
    <n v="381"/>
    <n v="0"/>
    <n v="109"/>
    <x v="9"/>
    <x v="41"/>
    <n v="0.36951501154734412"/>
    <n v="0.28608923884514437"/>
    <n v="273"/>
    <n v="272"/>
    <n v="3"/>
    <n v="0.61505681818181823"/>
    <n v="0.22727272727272727"/>
    <n v="0.54119318181818177"/>
    <n v="0.15482954545454544"/>
    <n v="0.578125"/>
  </r>
  <r>
    <x v="287"/>
    <n v="3"/>
    <n v="436"/>
    <n v="0"/>
    <n v="160"/>
    <n v="2"/>
    <n v="383"/>
    <n v="0"/>
    <n v="109"/>
    <x v="9"/>
    <x v="41"/>
    <n v="0.3669724770642202"/>
    <n v="0.28459530026109658"/>
    <n v="276"/>
    <n v="274"/>
    <n v="3"/>
    <n v="0.61931818181818177"/>
    <n v="0.22727272727272727"/>
    <n v="0.54403409090909094"/>
    <n v="0.15482954545454544"/>
    <n v="0.58167613636363635"/>
  </r>
  <r>
    <x v="288"/>
    <n v="3"/>
    <n v="439"/>
    <n v="0"/>
    <n v="160"/>
    <n v="2"/>
    <n v="385"/>
    <n v="0"/>
    <n v="109"/>
    <x v="10"/>
    <x v="41"/>
    <n v="0.36446469248291574"/>
    <n v="0.2831168831168831"/>
    <n v="279"/>
    <n v="276"/>
    <n v="12"/>
    <n v="0.62357954545454541"/>
    <n v="0.22727272727272727"/>
    <n v="0.546875"/>
    <n v="0.15482954545454544"/>
    <n v="0.58522727272727271"/>
  </r>
  <r>
    <x v="289"/>
    <n v="3"/>
    <n v="442"/>
    <n v="0"/>
    <n v="160"/>
    <n v="3"/>
    <n v="388"/>
    <n v="0"/>
    <n v="109"/>
    <x v="10"/>
    <x v="41"/>
    <n v="0.36199095022624433"/>
    <n v="0.28092783505154639"/>
    <n v="282"/>
    <n v="279"/>
    <n v="12"/>
    <n v="0.62784090909090906"/>
    <n v="0.22727272727272727"/>
    <n v="0.55113636363636365"/>
    <n v="0.15482954545454544"/>
    <n v="0.58948863636363635"/>
  </r>
  <r>
    <x v="290"/>
    <n v="3"/>
    <n v="445"/>
    <n v="0"/>
    <n v="160"/>
    <n v="3"/>
    <n v="391"/>
    <n v="0"/>
    <n v="109"/>
    <x v="10"/>
    <x v="41"/>
    <n v="0.3595505617977528"/>
    <n v="0.27877237851662406"/>
    <n v="285"/>
    <n v="282"/>
    <n v="12"/>
    <n v="0.63210227272727271"/>
    <n v="0.22727272727272727"/>
    <n v="0.55539772727272729"/>
    <n v="0.15482954545454544"/>
    <n v="0.59375"/>
  </r>
  <r>
    <x v="291"/>
    <n v="3"/>
    <n v="448"/>
    <n v="0"/>
    <n v="160"/>
    <n v="1"/>
    <n v="392"/>
    <n v="0"/>
    <n v="109"/>
    <x v="10"/>
    <x v="41"/>
    <n v="0.35714285714285715"/>
    <n v="0.27806122448979592"/>
    <n v="288"/>
    <n v="283"/>
    <n v="12"/>
    <n v="0.63636363636363635"/>
    <n v="0.22727272727272727"/>
    <n v="0.55681818181818177"/>
    <n v="0.15482954545454544"/>
    <n v="0.59659090909090906"/>
  </r>
  <r>
    <x v="292"/>
    <n v="0"/>
    <n v="448"/>
    <n v="0"/>
    <n v="160"/>
    <n v="1"/>
    <n v="393"/>
    <n v="0"/>
    <n v="109"/>
    <x v="10"/>
    <x v="41"/>
    <n v="0.35714285714285715"/>
    <n v="0.27735368956743001"/>
    <n v="288"/>
    <n v="284"/>
    <n v="12"/>
    <n v="0.63636363636363635"/>
    <n v="0.22727272727272727"/>
    <n v="0.55823863636363635"/>
    <n v="0.15482954545454544"/>
    <n v="0.59730113636363635"/>
  </r>
  <r>
    <x v="293"/>
    <n v="0"/>
    <n v="448"/>
    <n v="0"/>
    <n v="160"/>
    <n v="4"/>
    <n v="397"/>
    <n v="0"/>
    <n v="109"/>
    <x v="10"/>
    <x v="42"/>
    <n v="0.35714285714285715"/>
    <n v="0.27455919395465994"/>
    <n v="288"/>
    <n v="288"/>
    <n v="12"/>
    <n v="0.63636363636363635"/>
    <n v="0.22727272727272727"/>
    <n v="0.56392045454545459"/>
    <n v="0.15482954545454544"/>
    <n v="0.60014204545454541"/>
  </r>
  <r>
    <x v="294"/>
    <n v="3"/>
    <n v="451"/>
    <n v="0"/>
    <n v="160"/>
    <n v="2"/>
    <n v="399"/>
    <n v="0"/>
    <n v="109"/>
    <x v="10"/>
    <x v="42"/>
    <n v="0.35476718403547675"/>
    <n v="0.27318295739348369"/>
    <n v="291"/>
    <n v="290"/>
    <n v="12"/>
    <n v="0.640625"/>
    <n v="0.22727272727272727"/>
    <n v="0.56676136363636365"/>
    <n v="0.15482954545454544"/>
    <n v="0.60369318181818188"/>
  </r>
  <r>
    <x v="295"/>
    <n v="0"/>
    <n v="451"/>
    <n v="0"/>
    <n v="160"/>
    <n v="1"/>
    <n v="400"/>
    <n v="0"/>
    <n v="109"/>
    <x v="10"/>
    <x v="42"/>
    <n v="0.35476718403547675"/>
    <n v="0.27250000000000002"/>
    <n v="291"/>
    <n v="291"/>
    <n v="12"/>
    <n v="0.640625"/>
    <n v="0.22727272727272727"/>
    <n v="0.56818181818181823"/>
    <n v="0.15482954545454544"/>
    <n v="0.60440340909090917"/>
  </r>
  <r>
    <x v="296"/>
    <n v="3"/>
    <n v="454"/>
    <n v="0"/>
    <n v="160"/>
    <n v="3"/>
    <n v="403"/>
    <n v="0"/>
    <n v="109"/>
    <x v="10"/>
    <x v="42"/>
    <n v="0.3524229074889868"/>
    <n v="0.27047146401985112"/>
    <n v="294"/>
    <n v="294"/>
    <n v="12"/>
    <n v="0.64488636363636365"/>
    <n v="0.22727272727272727"/>
    <n v="0.57244318181818177"/>
    <n v="0.15482954545454544"/>
    <n v="0.60866477272727271"/>
  </r>
  <r>
    <x v="297"/>
    <n v="3"/>
    <n v="457"/>
    <n v="0"/>
    <n v="160"/>
    <n v="3"/>
    <n v="406"/>
    <n v="0"/>
    <n v="109"/>
    <x v="10"/>
    <x v="42"/>
    <n v="0.35010940919037198"/>
    <n v="0.26847290640394089"/>
    <n v="297"/>
    <n v="297"/>
    <n v="12"/>
    <n v="0.64914772727272729"/>
    <n v="0.22727272727272727"/>
    <n v="0.57670454545454541"/>
    <n v="0.15482954545454544"/>
    <n v="0.61292613636363635"/>
  </r>
  <r>
    <x v="298"/>
    <n v="3"/>
    <n v="460"/>
    <n v="0"/>
    <n v="160"/>
    <n v="1"/>
    <n v="407"/>
    <n v="0"/>
    <n v="109"/>
    <x v="10"/>
    <x v="42"/>
    <n v="0.34782608695652173"/>
    <n v="0.26781326781326781"/>
    <n v="300"/>
    <n v="298"/>
    <n v="12"/>
    <n v="0.65340909090909094"/>
    <n v="0.22727272727272727"/>
    <n v="0.578125"/>
    <n v="0.15482954545454544"/>
    <n v="0.61576704545454541"/>
  </r>
  <r>
    <x v="299"/>
    <n v="0"/>
    <n v="460"/>
    <n v="0"/>
    <n v="160"/>
    <n v="2"/>
    <n v="409"/>
    <n v="0"/>
    <n v="109"/>
    <x v="10"/>
    <x v="42"/>
    <n v="0.34782608695652173"/>
    <n v="0.2665036674816626"/>
    <n v="300"/>
    <n v="300"/>
    <n v="12"/>
    <n v="0.65340909090909094"/>
    <n v="0.22727272727272727"/>
    <n v="0.58096590909090906"/>
    <n v="0.15482954545454544"/>
    <n v="0.6171875"/>
  </r>
  <r>
    <x v="300"/>
    <n v="0"/>
    <n v="460"/>
    <n v="0"/>
    <n v="160"/>
    <n v="4"/>
    <n v="413"/>
    <n v="0"/>
    <n v="109"/>
    <x v="10"/>
    <x v="43"/>
    <n v="0.34782608695652173"/>
    <n v="0.26392251815980627"/>
    <n v="300"/>
    <n v="304"/>
    <n v="15"/>
    <n v="0.65340909090909094"/>
    <n v="0.22727272727272727"/>
    <n v="0.58664772727272729"/>
    <n v="0.15482954545454544"/>
    <n v="0.62002840909090917"/>
  </r>
  <r>
    <x v="301"/>
    <n v="3"/>
    <n v="463"/>
    <n v="0"/>
    <n v="160"/>
    <n v="1"/>
    <n v="414"/>
    <n v="0"/>
    <n v="109"/>
    <x v="10"/>
    <x v="43"/>
    <n v="0.34557235421166305"/>
    <n v="0.26328502415458938"/>
    <n v="303"/>
    <n v="305"/>
    <n v="15"/>
    <n v="0.65767045454545459"/>
    <n v="0.22727272727272727"/>
    <n v="0.58806818181818177"/>
    <n v="0.15482954545454544"/>
    <n v="0.62286931818181812"/>
  </r>
  <r>
    <x v="302"/>
    <n v="3"/>
    <n v="466"/>
    <n v="0"/>
    <n v="160"/>
    <n v="1"/>
    <n v="415"/>
    <n v="0"/>
    <n v="109"/>
    <x v="10"/>
    <x v="43"/>
    <n v="0.34334763948497854"/>
    <n v="0.26265060240963856"/>
    <n v="306"/>
    <n v="306"/>
    <n v="15"/>
    <n v="0.66193181818181823"/>
    <n v="0.22727272727272727"/>
    <n v="0.58948863636363635"/>
    <n v="0.15482954545454544"/>
    <n v="0.62571022727272729"/>
  </r>
  <r>
    <x v="303"/>
    <n v="3"/>
    <n v="469"/>
    <n v="0"/>
    <n v="160"/>
    <n v="3"/>
    <n v="418"/>
    <n v="0"/>
    <n v="109"/>
    <x v="10"/>
    <x v="43"/>
    <n v="0.34115138592750532"/>
    <n v="0.26076555023923442"/>
    <n v="309"/>
    <n v="309"/>
    <n v="15"/>
    <n v="0.66619318181818177"/>
    <n v="0.22727272727272727"/>
    <n v="0.59375"/>
    <n v="0.15482954545454544"/>
    <n v="0.62997159090909083"/>
  </r>
  <r>
    <x v="304"/>
    <n v="3"/>
    <n v="472"/>
    <n v="0"/>
    <n v="160"/>
    <n v="3"/>
    <n v="421"/>
    <n v="0"/>
    <n v="109"/>
    <x v="10"/>
    <x v="43"/>
    <n v="0.33898305084745761"/>
    <n v="0.25890736342042753"/>
    <n v="312"/>
    <n v="312"/>
    <n v="15"/>
    <n v="0.67045454545454541"/>
    <n v="0.22727272727272727"/>
    <n v="0.59801136363636365"/>
    <n v="0.15482954545454544"/>
    <n v="0.63423295454545459"/>
  </r>
  <r>
    <x v="305"/>
    <n v="3"/>
    <n v="475"/>
    <n v="0"/>
    <n v="160"/>
    <n v="2"/>
    <n v="423"/>
    <n v="0"/>
    <n v="109"/>
    <x v="10"/>
    <x v="43"/>
    <n v="0.33684210526315789"/>
    <n v="0.25768321513002362"/>
    <n v="315"/>
    <n v="314"/>
    <n v="15"/>
    <n v="0.67471590909090906"/>
    <n v="0.22727272727272727"/>
    <n v="0.60085227272727271"/>
    <n v="0.15482954545454544"/>
    <n v="0.63778409090909083"/>
  </r>
  <r>
    <x v="306"/>
    <n v="0"/>
    <n v="475"/>
    <n v="0"/>
    <n v="160"/>
    <n v="2"/>
    <n v="425"/>
    <n v="0"/>
    <n v="109"/>
    <x v="10"/>
    <x v="43"/>
    <n v="0.33684210526315789"/>
    <n v="0.25647058823529412"/>
    <n v="315"/>
    <n v="316"/>
    <n v="15"/>
    <n v="0.67471590909090906"/>
    <n v="0.22727272727272727"/>
    <n v="0.60369318181818177"/>
    <n v="0.15482954545454544"/>
    <n v="0.63920454545454541"/>
  </r>
  <r>
    <x v="307"/>
    <n v="0"/>
    <n v="475"/>
    <n v="0"/>
    <n v="160"/>
    <n v="2"/>
    <n v="427"/>
    <n v="0"/>
    <n v="109"/>
    <x v="10"/>
    <x v="44"/>
    <n v="0.33684210526315789"/>
    <n v="0.25526932084309134"/>
    <n v="315"/>
    <n v="318"/>
    <n v="9"/>
    <n v="0.67471590909090906"/>
    <n v="0.22727272727272727"/>
    <n v="0.60653409090909094"/>
    <n v="0.15482954545454544"/>
    <n v="0.640625"/>
  </r>
  <r>
    <x v="308"/>
    <n v="3"/>
    <n v="478"/>
    <n v="0"/>
    <n v="160"/>
    <n v="1"/>
    <n v="428"/>
    <n v="0"/>
    <n v="109"/>
    <x v="10"/>
    <x v="44"/>
    <n v="0.33472803347280333"/>
    <n v="0.25467289719626168"/>
    <n v="318"/>
    <n v="319"/>
    <n v="9"/>
    <n v="0.67897727272727271"/>
    <n v="0.22727272727272727"/>
    <n v="0.60795454545454541"/>
    <n v="0.15482954545454544"/>
    <n v="0.64346590909090906"/>
  </r>
  <r>
    <x v="309"/>
    <n v="3"/>
    <n v="481"/>
    <n v="0"/>
    <n v="160"/>
    <n v="2"/>
    <n v="430"/>
    <n v="0"/>
    <n v="109"/>
    <x v="10"/>
    <x v="44"/>
    <n v="0.33264033264033266"/>
    <n v="0.25348837209302327"/>
    <n v="321"/>
    <n v="321"/>
    <n v="9"/>
    <n v="0.68323863636363635"/>
    <n v="0.22727272727272727"/>
    <n v="0.61079545454545459"/>
    <n v="0.15482954545454544"/>
    <n v="0.64701704545454541"/>
  </r>
  <r>
    <x v="310"/>
    <n v="3"/>
    <n v="484"/>
    <n v="0"/>
    <n v="160"/>
    <n v="3"/>
    <n v="433"/>
    <n v="0"/>
    <n v="109"/>
    <x v="10"/>
    <x v="44"/>
    <n v="0.33057851239669422"/>
    <n v="0.25173210161662818"/>
    <n v="324"/>
    <n v="324"/>
    <n v="9"/>
    <n v="0.6875"/>
    <n v="0.22727272727272727"/>
    <n v="0.61505681818181823"/>
    <n v="0.15482954545454544"/>
    <n v="0.65127840909090917"/>
  </r>
  <r>
    <x v="311"/>
    <n v="0"/>
    <n v="484"/>
    <n v="0"/>
    <n v="160"/>
    <n v="3"/>
    <n v="436"/>
    <n v="0"/>
    <n v="109"/>
    <x v="10"/>
    <x v="44"/>
    <n v="0.33057851239669422"/>
    <n v="0.25"/>
    <n v="324"/>
    <n v="327"/>
    <n v="9"/>
    <n v="0.6875"/>
    <n v="0.22727272727272727"/>
    <n v="0.61931818181818177"/>
    <n v="0.15482954545454544"/>
    <n v="0.65340909090909083"/>
  </r>
  <r>
    <x v="312"/>
    <n v="0"/>
    <n v="484"/>
    <n v="0"/>
    <n v="160"/>
    <n v="2"/>
    <n v="438"/>
    <n v="0"/>
    <n v="109"/>
    <x v="10"/>
    <x v="44"/>
    <n v="0.33057851239669422"/>
    <n v="0.24885844748858446"/>
    <n v="324"/>
    <n v="329"/>
    <n v="9"/>
    <n v="0.6875"/>
    <n v="0.22727272727272727"/>
    <n v="0.62215909090909094"/>
    <n v="0.15482954545454544"/>
    <n v="0.65482954545454541"/>
  </r>
  <r>
    <x v="313"/>
    <n v="0"/>
    <n v="484"/>
    <n v="0"/>
    <n v="160"/>
    <n v="1"/>
    <n v="439"/>
    <n v="0"/>
    <n v="109"/>
    <x v="10"/>
    <x v="44"/>
    <n v="0.33057851239669422"/>
    <n v="0.24829157175398633"/>
    <n v="324"/>
    <n v="330"/>
    <n v="9"/>
    <n v="0.6875"/>
    <n v="0.22727272727272727"/>
    <n v="0.62357954545454541"/>
    <n v="0.15482954545454544"/>
    <n v="0.65553977272727271"/>
  </r>
  <r>
    <x v="314"/>
    <n v="0"/>
    <n v="484"/>
    <n v="0"/>
    <n v="160"/>
    <n v="2"/>
    <n v="441"/>
    <n v="0"/>
    <n v="109"/>
    <x v="10"/>
    <x v="45"/>
    <n v="0.33057851239669422"/>
    <n v="0.2471655328798186"/>
    <n v="324"/>
    <n v="332"/>
    <n v="9"/>
    <n v="0.6875"/>
    <n v="0.22727272727272727"/>
    <n v="0.62642045454545459"/>
    <n v="0.15482954545454544"/>
    <n v="0.65696022727272729"/>
  </r>
  <r>
    <x v="315"/>
    <n v="3"/>
    <n v="487"/>
    <n v="0"/>
    <n v="160"/>
    <n v="0"/>
    <n v="441"/>
    <n v="0"/>
    <n v="109"/>
    <x v="10"/>
    <x v="45"/>
    <n v="0.32854209445585214"/>
    <n v="0.2471655328798186"/>
    <n v="327"/>
    <n v="332"/>
    <n v="9"/>
    <n v="0.69176136363636365"/>
    <n v="0.22727272727272727"/>
    <n v="0.62642045454545459"/>
    <n v="0.15482954545454544"/>
    <n v="0.65909090909090917"/>
  </r>
  <r>
    <x v="316"/>
    <n v="3"/>
    <n v="490"/>
    <n v="0"/>
    <n v="160"/>
    <n v="2"/>
    <n v="443"/>
    <n v="0"/>
    <n v="109"/>
    <x v="10"/>
    <x v="45"/>
    <n v="0.32653061224489793"/>
    <n v="0.24604966139954854"/>
    <n v="330"/>
    <n v="334"/>
    <n v="9"/>
    <n v="0.69602272727272729"/>
    <n v="0.22727272727272727"/>
    <n v="0.62926136363636365"/>
    <n v="0.15482954545454544"/>
    <n v="0.66264204545454541"/>
  </r>
  <r>
    <x v="317"/>
    <n v="3"/>
    <n v="493"/>
    <n v="0"/>
    <n v="160"/>
    <n v="4"/>
    <n v="447"/>
    <n v="0"/>
    <n v="109"/>
    <x v="10"/>
    <x v="45"/>
    <n v="0.32454361054766734"/>
    <n v="0.24384787472035793"/>
    <n v="333"/>
    <n v="338"/>
    <n v="9"/>
    <n v="0.70028409090909094"/>
    <n v="0.22727272727272727"/>
    <n v="0.63494318181818177"/>
    <n v="0.15482954545454544"/>
    <n v="0.66761363636363635"/>
  </r>
  <r>
    <x v="318"/>
    <n v="0"/>
    <n v="493"/>
    <n v="0"/>
    <n v="160"/>
    <n v="3"/>
    <n v="450"/>
    <n v="0"/>
    <n v="109"/>
    <x v="10"/>
    <x v="45"/>
    <n v="0.32454361054766734"/>
    <n v="0.24222222222222223"/>
    <n v="333"/>
    <n v="341"/>
    <n v="9"/>
    <n v="0.70028409090909094"/>
    <n v="0.22727272727272727"/>
    <n v="0.63920454545454541"/>
    <n v="0.15482954545454544"/>
    <n v="0.66974431818181812"/>
  </r>
  <r>
    <x v="319"/>
    <n v="0"/>
    <n v="493"/>
    <n v="0"/>
    <n v="160"/>
    <n v="1"/>
    <n v="451"/>
    <n v="0"/>
    <n v="109"/>
    <x v="11"/>
    <x v="46"/>
    <n v="0.32454361054766734"/>
    <n v="0.24168514412416853"/>
    <n v="333"/>
    <n v="342"/>
    <n v="0"/>
    <n v="0.70028409090909094"/>
    <n v="0.22727272727272727"/>
    <n v="0.640625"/>
    <n v="0.15482954545454544"/>
    <n v="0.67045454545454541"/>
  </r>
  <r>
    <x v="320"/>
    <n v="0"/>
    <n v="493"/>
    <n v="0"/>
    <n v="160"/>
    <n v="1"/>
    <n v="452"/>
    <n v="0"/>
    <n v="109"/>
    <x v="11"/>
    <x v="46"/>
    <n v="0.32454361054766734"/>
    <n v="0.24115044247787609"/>
    <n v="333"/>
    <n v="343"/>
    <n v="0"/>
    <n v="0.70028409090909094"/>
    <n v="0.22727272727272727"/>
    <n v="0.64204545454545459"/>
    <n v="0.15482954545454544"/>
    <n v="0.67116477272727271"/>
  </r>
  <r>
    <x v="321"/>
    <n v="0"/>
    <n v="493"/>
    <n v="0"/>
    <n v="160"/>
    <n v="3"/>
    <n v="455"/>
    <n v="0"/>
    <n v="109"/>
    <x v="11"/>
    <x v="47"/>
    <n v="0.32454361054766734"/>
    <n v="0.23956043956043957"/>
    <n v="333"/>
    <n v="346"/>
    <n v="15"/>
    <n v="0.70028409090909094"/>
    <n v="0.22727272727272727"/>
    <n v="0.64630681818181823"/>
    <n v="0.15482954545454544"/>
    <n v="0.67329545454545459"/>
  </r>
  <r>
    <x v="322"/>
    <n v="3"/>
    <n v="496"/>
    <n v="0"/>
    <n v="160"/>
    <n v="2"/>
    <n v="457"/>
    <n v="0"/>
    <n v="109"/>
    <x v="11"/>
    <x v="47"/>
    <n v="0.32258064516129031"/>
    <n v="0.23851203501094093"/>
    <n v="336"/>
    <n v="348"/>
    <n v="15"/>
    <n v="0.70454545454545459"/>
    <n v="0.22727272727272727"/>
    <n v="0.64914772727272729"/>
    <n v="0.15482954545454544"/>
    <n v="0.67684659090909094"/>
  </r>
  <r>
    <x v="323"/>
    <n v="3"/>
    <n v="499"/>
    <n v="0"/>
    <n v="160"/>
    <n v="2"/>
    <n v="459"/>
    <n v="0"/>
    <n v="109"/>
    <x v="11"/>
    <x v="47"/>
    <n v="0.32064128256513025"/>
    <n v="0.23747276688453159"/>
    <n v="339"/>
    <n v="350"/>
    <n v="15"/>
    <n v="0.70880681818181823"/>
    <n v="0.22727272727272727"/>
    <n v="0.65198863636363635"/>
    <n v="0.15482954545454544"/>
    <n v="0.68039772727272729"/>
  </r>
  <r>
    <x v="324"/>
    <n v="3"/>
    <n v="502"/>
    <n v="0"/>
    <n v="160"/>
    <n v="3"/>
    <n v="462"/>
    <n v="0"/>
    <n v="109"/>
    <x v="11"/>
    <x v="47"/>
    <n v="0.31872509960159362"/>
    <n v="0.23593073593073594"/>
    <n v="342"/>
    <n v="353"/>
    <n v="15"/>
    <n v="0.71306818181818177"/>
    <n v="0.22727272727272727"/>
    <n v="0.65625"/>
    <n v="0.15482954545454544"/>
    <n v="0.68465909090909083"/>
  </r>
  <r>
    <x v="325"/>
    <n v="3"/>
    <n v="505"/>
    <n v="0"/>
    <n v="160"/>
    <n v="1"/>
    <n v="463"/>
    <n v="0"/>
    <n v="109"/>
    <x v="11"/>
    <x v="47"/>
    <n v="0.31683168316831684"/>
    <n v="0.23542116630669546"/>
    <n v="345"/>
    <n v="354"/>
    <n v="15"/>
    <n v="0.71732954545454541"/>
    <n v="0.22727272727272727"/>
    <n v="0.65767045454545459"/>
    <n v="0.15482954545454544"/>
    <n v="0.6875"/>
  </r>
  <r>
    <x v="326"/>
    <n v="3"/>
    <n v="508"/>
    <n v="0"/>
    <n v="160"/>
    <n v="1"/>
    <n v="464"/>
    <n v="0"/>
    <n v="109"/>
    <x v="11"/>
    <x v="47"/>
    <n v="0.31496062992125984"/>
    <n v="0.23491379310344829"/>
    <n v="348"/>
    <n v="355"/>
    <n v="15"/>
    <n v="0.72159090909090906"/>
    <n v="0.22727272727272727"/>
    <n v="0.65909090909090906"/>
    <n v="0.15482954545454544"/>
    <n v="0.69034090909090906"/>
  </r>
  <r>
    <x v="327"/>
    <n v="0"/>
    <n v="508"/>
    <n v="0"/>
    <n v="160"/>
    <n v="1"/>
    <n v="465"/>
    <n v="0"/>
    <n v="109"/>
    <x v="11"/>
    <x v="47"/>
    <n v="0.31496062992125984"/>
    <n v="0.23440860215053763"/>
    <n v="348"/>
    <n v="356"/>
    <n v="15"/>
    <n v="0.72159090909090906"/>
    <n v="0.22727272727272727"/>
    <n v="0.66051136363636365"/>
    <n v="0.15482954545454544"/>
    <n v="0.69105113636363635"/>
  </r>
  <r>
    <x v="328"/>
    <n v="0"/>
    <n v="508"/>
    <n v="0"/>
    <n v="160"/>
    <n v="4"/>
    <n v="469"/>
    <n v="0"/>
    <n v="109"/>
    <x v="11"/>
    <x v="48"/>
    <n v="0.31496062992125984"/>
    <n v="0.23240938166311301"/>
    <n v="348"/>
    <n v="360"/>
    <n v="15"/>
    <n v="0.72159090909090906"/>
    <n v="0.22727272727272727"/>
    <n v="0.66619318181818177"/>
    <n v="0.15482954545454544"/>
    <n v="0.69389204545454541"/>
  </r>
  <r>
    <x v="329"/>
    <n v="3"/>
    <n v="511"/>
    <n v="0"/>
    <n v="160"/>
    <n v="2"/>
    <n v="471"/>
    <n v="0"/>
    <n v="109"/>
    <x v="11"/>
    <x v="48"/>
    <n v="0.3131115459882583"/>
    <n v="0.23142250530785563"/>
    <n v="351"/>
    <n v="362"/>
    <n v="15"/>
    <n v="0.72585227272727271"/>
    <n v="0.22727272727272727"/>
    <n v="0.66903409090909094"/>
    <n v="0.15482954545454544"/>
    <n v="0.69744318181818188"/>
  </r>
  <r>
    <x v="330"/>
    <n v="3"/>
    <n v="514"/>
    <n v="0"/>
    <n v="160"/>
    <n v="1"/>
    <n v="472"/>
    <n v="0"/>
    <n v="109"/>
    <x v="11"/>
    <x v="48"/>
    <n v="0.31128404669260701"/>
    <n v="0.2309322033898305"/>
    <n v="354"/>
    <n v="363"/>
    <n v="15"/>
    <n v="0.73011363636363635"/>
    <n v="0.22727272727272727"/>
    <n v="0.67045454545454541"/>
    <n v="0.15482954545454544"/>
    <n v="0.70028409090909083"/>
  </r>
  <r>
    <x v="331"/>
    <n v="3"/>
    <n v="517"/>
    <n v="0"/>
    <n v="160"/>
    <n v="2"/>
    <n v="474"/>
    <n v="0"/>
    <n v="109"/>
    <x v="11"/>
    <x v="48"/>
    <n v="0.30947775628626695"/>
    <n v="0.22995780590717299"/>
    <n v="357"/>
    <n v="365"/>
    <n v="15"/>
    <n v="0.734375"/>
    <n v="0.22727272727272727"/>
    <n v="0.67329545454545459"/>
    <n v="0.15482954545454544"/>
    <n v="0.70383522727272729"/>
  </r>
  <r>
    <x v="332"/>
    <n v="3"/>
    <n v="520"/>
    <n v="0"/>
    <n v="160"/>
    <n v="1"/>
    <n v="475"/>
    <n v="0"/>
    <n v="109"/>
    <x v="11"/>
    <x v="48"/>
    <n v="0.30769230769230771"/>
    <n v="0.2294736842105263"/>
    <n v="360"/>
    <n v="366"/>
    <n v="15"/>
    <n v="0.73863636363636365"/>
    <n v="0.22727272727272727"/>
    <n v="0.67471590909090906"/>
    <n v="0.15482954545454544"/>
    <n v="0.70667613636363635"/>
  </r>
  <r>
    <x v="333"/>
    <n v="3"/>
    <n v="523"/>
    <n v="0"/>
    <n v="160"/>
    <n v="1"/>
    <n v="476"/>
    <n v="0"/>
    <n v="109"/>
    <x v="11"/>
    <x v="48"/>
    <n v="0.30592734225621415"/>
    <n v="0.22899159663865545"/>
    <n v="363"/>
    <n v="367"/>
    <n v="15"/>
    <n v="0.74289772727272729"/>
    <n v="0.22727272727272727"/>
    <n v="0.67613636363636365"/>
    <n v="0.15482954545454544"/>
    <n v="0.70951704545454541"/>
  </r>
  <r>
    <x v="334"/>
    <n v="0"/>
    <n v="523"/>
    <n v="0"/>
    <n v="160"/>
    <n v="2"/>
    <n v="478"/>
    <n v="0"/>
    <n v="109"/>
    <x v="11"/>
    <x v="48"/>
    <n v="0.30592734225621415"/>
    <n v="0.22803347280334729"/>
    <n v="363"/>
    <n v="369"/>
    <n v="15"/>
    <n v="0.74289772727272729"/>
    <n v="0.22727272727272727"/>
    <n v="0.67897727272727271"/>
    <n v="0.15482954545454544"/>
    <n v="0.7109375"/>
  </r>
  <r>
    <x v="335"/>
    <n v="0"/>
    <n v="523"/>
    <n v="0"/>
    <n v="160"/>
    <n v="3"/>
    <n v="481"/>
    <n v="0"/>
    <n v="109"/>
    <x v="11"/>
    <x v="49"/>
    <n v="0.30592734225621415"/>
    <n v="0.22661122661122662"/>
    <n v="363"/>
    <n v="372"/>
    <n v="15"/>
    <n v="0.74289772727272729"/>
    <n v="0.22727272727272727"/>
    <n v="0.68323863636363635"/>
    <n v="0.15482954545454544"/>
    <n v="0.71306818181818188"/>
  </r>
  <r>
    <x v="336"/>
    <n v="3"/>
    <n v="526"/>
    <n v="0"/>
    <n v="160"/>
    <n v="2"/>
    <n v="483"/>
    <n v="0"/>
    <n v="109"/>
    <x v="11"/>
    <x v="49"/>
    <n v="0.30418250950570341"/>
    <n v="0.22567287784679088"/>
    <n v="366"/>
    <n v="374"/>
    <n v="15"/>
    <n v="0.74715909090909094"/>
    <n v="0.22727272727272727"/>
    <n v="0.68607954545454541"/>
    <n v="0.15482954545454544"/>
    <n v="0.71661931818181812"/>
  </r>
  <r>
    <x v="337"/>
    <n v="3"/>
    <n v="529"/>
    <n v="0"/>
    <n v="160"/>
    <n v="2"/>
    <n v="485"/>
    <n v="0"/>
    <n v="109"/>
    <x v="11"/>
    <x v="49"/>
    <n v="0.30245746691871456"/>
    <n v="0.22474226804123712"/>
    <n v="369"/>
    <n v="376"/>
    <n v="15"/>
    <n v="0.75142045454545459"/>
    <n v="0.22727272727272727"/>
    <n v="0.68892045454545459"/>
    <n v="0.15482954545454544"/>
    <n v="0.72017045454545459"/>
  </r>
  <r>
    <x v="338"/>
    <n v="3"/>
    <n v="532"/>
    <n v="0"/>
    <n v="160"/>
    <n v="1"/>
    <n v="486"/>
    <n v="0"/>
    <n v="109"/>
    <x v="11"/>
    <x v="49"/>
    <n v="0.3007518796992481"/>
    <n v="0.22427983539094651"/>
    <n v="372"/>
    <n v="377"/>
    <n v="15"/>
    <n v="0.75568181818181823"/>
    <n v="0.22727272727272727"/>
    <n v="0.69034090909090906"/>
    <n v="0.15482954545454544"/>
    <n v="0.72301136363636365"/>
  </r>
  <r>
    <x v="339"/>
    <n v="3"/>
    <n v="535"/>
    <n v="0"/>
    <n v="160"/>
    <n v="1"/>
    <n v="487"/>
    <n v="0"/>
    <n v="109"/>
    <x v="11"/>
    <x v="49"/>
    <n v="0.29906542056074764"/>
    <n v="0.22381930184804927"/>
    <n v="375"/>
    <n v="378"/>
    <n v="15"/>
    <n v="0.75994318181818177"/>
    <n v="0.22727272727272727"/>
    <n v="0.69176136363636365"/>
    <n v="0.15482954545454544"/>
    <n v="0.72585227272727271"/>
  </r>
  <r>
    <x v="340"/>
    <n v="3"/>
    <n v="538"/>
    <n v="0"/>
    <n v="160"/>
    <n v="2"/>
    <n v="489"/>
    <n v="0"/>
    <n v="109"/>
    <x v="11"/>
    <x v="49"/>
    <n v="0.29739776951672864"/>
    <n v="0.22290388548057261"/>
    <n v="378"/>
    <n v="380"/>
    <n v="15"/>
    <n v="0.76420454545454541"/>
    <n v="0.22727272727272727"/>
    <n v="0.69460227272727271"/>
    <n v="0.15482954545454544"/>
    <n v="0.72940340909090906"/>
  </r>
  <r>
    <x v="341"/>
    <n v="0"/>
    <n v="538"/>
    <n v="0"/>
    <n v="160"/>
    <n v="0"/>
    <n v="489"/>
    <n v="0"/>
    <n v="109"/>
    <x v="11"/>
    <x v="49"/>
    <n v="0.29739776951672864"/>
    <n v="0.22290388548057261"/>
    <n v="378"/>
    <n v="380"/>
    <n v="15"/>
    <n v="0.76420454545454541"/>
    <n v="0.22727272727272727"/>
    <n v="0.69460227272727271"/>
    <n v="0.15482954545454544"/>
    <n v="0.72940340909090906"/>
  </r>
  <r>
    <x v="342"/>
    <n v="0"/>
    <n v="538"/>
    <n v="0"/>
    <n v="160"/>
    <n v="1"/>
    <n v="490"/>
    <n v="0"/>
    <n v="109"/>
    <x v="11"/>
    <x v="50"/>
    <n v="0.29739776951672864"/>
    <n v="0.22244897959183674"/>
    <n v="378"/>
    <n v="381"/>
    <n v="15"/>
    <n v="0.76420454545454541"/>
    <n v="0.22727272727272727"/>
    <n v="0.69602272727272729"/>
    <n v="0.15482954545454544"/>
    <n v="0.73011363636363635"/>
  </r>
  <r>
    <x v="343"/>
    <n v="3"/>
    <n v="541"/>
    <n v="0"/>
    <n v="160"/>
    <n v="1"/>
    <n v="491"/>
    <n v="0"/>
    <n v="109"/>
    <x v="11"/>
    <x v="50"/>
    <n v="0.29574861367837341"/>
    <n v="0.2219959266802444"/>
    <n v="381"/>
    <n v="382"/>
    <n v="15"/>
    <n v="0.76846590909090906"/>
    <n v="0.22727272727272727"/>
    <n v="0.69744318181818177"/>
    <n v="0.15482954545454544"/>
    <n v="0.73295454545454541"/>
  </r>
  <r>
    <x v="344"/>
    <n v="3"/>
    <n v="544"/>
    <n v="0"/>
    <n v="160"/>
    <n v="2"/>
    <n v="493"/>
    <n v="0"/>
    <n v="109"/>
    <x v="11"/>
    <x v="50"/>
    <n v="0.29411764705882354"/>
    <n v="0.22109533468559839"/>
    <n v="384"/>
    <n v="384"/>
    <n v="15"/>
    <n v="0.77272727272727271"/>
    <n v="0.22727272727272727"/>
    <n v="0.70028409090909094"/>
    <n v="0.15482954545454544"/>
    <n v="0.73650568181818188"/>
  </r>
  <r>
    <x v="345"/>
    <n v="3"/>
    <n v="547"/>
    <n v="0"/>
    <n v="160"/>
    <n v="4"/>
    <n v="497"/>
    <n v="0"/>
    <n v="109"/>
    <x v="11"/>
    <x v="50"/>
    <n v="0.29250457038391225"/>
    <n v="0.21931589537223339"/>
    <n v="387"/>
    <n v="388"/>
    <n v="15"/>
    <n v="0.77698863636363635"/>
    <n v="0.22727272727272727"/>
    <n v="0.70596590909090906"/>
    <n v="0.15482954545454544"/>
    <n v="0.74147727272727271"/>
  </r>
  <r>
    <x v="346"/>
    <n v="3"/>
    <n v="550"/>
    <n v="0"/>
    <n v="160"/>
    <n v="2"/>
    <n v="499"/>
    <n v="0"/>
    <n v="109"/>
    <x v="11"/>
    <x v="50"/>
    <n v="0.29090909090909089"/>
    <n v="0.21843687374749499"/>
    <n v="390"/>
    <n v="390"/>
    <n v="15"/>
    <n v="0.78125"/>
    <n v="0.22727272727272727"/>
    <n v="0.70880681818181823"/>
    <n v="0.15482954545454544"/>
    <n v="0.74502840909090917"/>
  </r>
  <r>
    <x v="347"/>
    <n v="3"/>
    <n v="553"/>
    <n v="0"/>
    <n v="160"/>
    <n v="1"/>
    <n v="500"/>
    <n v="0"/>
    <n v="109"/>
    <x v="11"/>
    <x v="50"/>
    <n v="0.28933092224231466"/>
    <n v="0.218"/>
    <n v="393"/>
    <n v="391"/>
    <n v="15"/>
    <n v="0.78551136363636365"/>
    <n v="0.22727272727272727"/>
    <n v="0.71022727272727271"/>
    <n v="0.15482954545454544"/>
    <n v="0.74786931818181812"/>
  </r>
  <r>
    <x v="348"/>
    <n v="0"/>
    <n v="553"/>
    <n v="0"/>
    <n v="160"/>
    <n v="0"/>
    <n v="500"/>
    <n v="0"/>
    <n v="109"/>
    <x v="11"/>
    <x v="50"/>
    <n v="0.28933092224231466"/>
    <n v="0.218"/>
    <n v="393"/>
    <n v="391"/>
    <n v="15"/>
    <n v="0.78551136363636365"/>
    <n v="0.22727272727272727"/>
    <n v="0.71022727272727271"/>
    <n v="0.15482954545454544"/>
    <n v="0.74786931818181812"/>
  </r>
  <r>
    <x v="349"/>
    <n v="0"/>
    <n v="553"/>
    <n v="0"/>
    <n v="160"/>
    <n v="1"/>
    <n v="501"/>
    <n v="0"/>
    <n v="109"/>
    <x v="11"/>
    <x v="51"/>
    <n v="0.28933092224231466"/>
    <n v="0.21756487025948104"/>
    <n v="393"/>
    <n v="392"/>
    <n v="0"/>
    <n v="0.78551136363636365"/>
    <n v="0.22727272727272727"/>
    <n v="0.71164772727272729"/>
    <n v="0.15482954545454544"/>
    <n v="0.74857954545454541"/>
  </r>
  <r>
    <x v="350"/>
    <n v="3"/>
    <n v="556"/>
    <n v="0"/>
    <n v="160"/>
    <n v="2"/>
    <n v="503"/>
    <n v="0"/>
    <n v="109"/>
    <x v="0"/>
    <x v="51"/>
    <n v="0.28776978417266186"/>
    <n v="0.21669980119284293"/>
    <n v="396"/>
    <n v="394"/>
    <n v="15"/>
    <n v="0.78977272727272729"/>
    <n v="0.22727272727272727"/>
    <n v="0.71448863636363635"/>
    <n v="0.15482954545454544"/>
    <n v="0.75213068181818188"/>
  </r>
  <r>
    <x v="351"/>
    <n v="3"/>
    <n v="559"/>
    <n v="0"/>
    <n v="160"/>
    <n v="2"/>
    <n v="505"/>
    <n v="0"/>
    <n v="109"/>
    <x v="0"/>
    <x v="51"/>
    <n v="0.28622540250447226"/>
    <n v="0.21584158415841584"/>
    <n v="399"/>
    <n v="396"/>
    <n v="15"/>
    <n v="0.79403409090909094"/>
    <n v="0.22727272727272727"/>
    <n v="0.71732954545454541"/>
    <n v="0.15482954545454544"/>
    <n v="0.75568181818181812"/>
  </r>
  <r>
    <x v="352"/>
    <n v="3"/>
    <n v="562"/>
    <n v="0"/>
    <n v="160"/>
    <n v="3"/>
    <n v="508"/>
    <n v="0"/>
    <n v="109"/>
    <x v="0"/>
    <x v="51"/>
    <n v="0.28469750889679718"/>
    <n v="0.21456692913385828"/>
    <n v="402"/>
    <n v="399"/>
    <n v="15"/>
    <n v="0.79829545454545459"/>
    <n v="0.22727272727272727"/>
    <n v="0.72159090909090906"/>
    <n v="0.15482954545454544"/>
    <n v="0.75994318181818188"/>
  </r>
  <r>
    <x v="353"/>
    <n v="3"/>
    <n v="565"/>
    <n v="0"/>
    <n v="160"/>
    <n v="3"/>
    <n v="511"/>
    <n v="0"/>
    <n v="109"/>
    <x v="0"/>
    <x v="51"/>
    <n v="0.2831858407079646"/>
    <n v="0.21330724070450097"/>
    <n v="405"/>
    <n v="402"/>
    <n v="15"/>
    <n v="0.80255681818181823"/>
    <n v="0.22727272727272727"/>
    <n v="0.72585227272727271"/>
    <n v="0.15482954545454544"/>
    <n v="0.76420454545454541"/>
  </r>
  <r>
    <x v="354"/>
    <n v="3"/>
    <n v="568"/>
    <n v="0"/>
    <n v="160"/>
    <n v="1"/>
    <n v="512"/>
    <n v="0"/>
    <n v="109"/>
    <x v="0"/>
    <x v="51"/>
    <n v="0.28169014084507044"/>
    <n v="0.212890625"/>
    <n v="408"/>
    <n v="403"/>
    <n v="15"/>
    <n v="0.80681818181818177"/>
    <n v="0.22727272727272727"/>
    <n v="0.72727272727272729"/>
    <n v="0.15482954545454544"/>
    <n v="0.76704545454545459"/>
  </r>
  <r>
    <x v="355"/>
    <n v="0"/>
    <n v="568"/>
    <n v="0"/>
    <n v="160"/>
    <n v="1"/>
    <n v="513"/>
    <n v="0"/>
    <n v="109"/>
    <x v="0"/>
    <x v="51"/>
    <n v="0.28169014084507044"/>
    <n v="0.2124756335282651"/>
    <n v="408"/>
    <n v="404"/>
    <n v="15"/>
    <n v="0.80681818181818177"/>
    <n v="0.22727272727272727"/>
    <n v="0.72869318181818177"/>
    <n v="0.15482954545454544"/>
    <n v="0.76775568181818177"/>
  </r>
  <r>
    <x v="356"/>
    <n v="0"/>
    <n v="568"/>
    <n v="0"/>
    <n v="160"/>
    <n v="4"/>
    <n v="517"/>
    <n v="0"/>
    <n v="109"/>
    <x v="0"/>
    <x v="52"/>
    <n v="0.28169014084507044"/>
    <n v="0.21083172147001933"/>
    <n v="408"/>
    <n v="408"/>
    <n v="15"/>
    <n v="0.80681818181818177"/>
    <n v="0.22727272727272727"/>
    <n v="0.734375"/>
    <n v="0.15482954545454544"/>
    <n v="0.77059659090909083"/>
  </r>
  <r>
    <x v="357"/>
    <n v="3"/>
    <n v="571"/>
    <n v="0"/>
    <n v="160"/>
    <n v="2"/>
    <n v="519"/>
    <n v="0"/>
    <n v="109"/>
    <x v="0"/>
    <x v="52"/>
    <n v="0.28021015761821366"/>
    <n v="0.21001926782273603"/>
    <n v="411"/>
    <n v="410"/>
    <n v="15"/>
    <n v="0.81107954545454541"/>
    <n v="0.22727272727272727"/>
    <n v="0.73721590909090906"/>
    <n v="0.15482954545454544"/>
    <n v="0.77414772727272729"/>
  </r>
  <r>
    <x v="358"/>
    <n v="3"/>
    <n v="574"/>
    <n v="0"/>
    <n v="160"/>
    <n v="1"/>
    <n v="520"/>
    <n v="0"/>
    <n v="109"/>
    <x v="0"/>
    <x v="52"/>
    <n v="0.27874564459930312"/>
    <n v="0.20961538461538462"/>
    <n v="414"/>
    <n v="411"/>
    <n v="15"/>
    <n v="0.81534090909090906"/>
    <n v="0.22727272727272727"/>
    <n v="0.73863636363636365"/>
    <n v="0.15482954545454544"/>
    <n v="0.77698863636363635"/>
  </r>
  <r>
    <x v="359"/>
    <n v="3"/>
    <n v="577"/>
    <n v="0"/>
    <n v="160"/>
    <n v="3"/>
    <n v="523"/>
    <n v="0"/>
    <n v="109"/>
    <x v="0"/>
    <x v="52"/>
    <n v="0.27729636048526862"/>
    <n v="0.2084130019120459"/>
    <n v="417"/>
    <n v="414"/>
    <n v="15"/>
    <n v="0.81960227272727271"/>
    <n v="0.22727272727272727"/>
    <n v="0.74289772727272729"/>
    <n v="0.15482954545454544"/>
    <n v="0.78125"/>
  </r>
  <r>
    <x v="360"/>
    <n v="3"/>
    <n v="580"/>
    <n v="0"/>
    <n v="160"/>
    <n v="3"/>
    <n v="526"/>
    <n v="0"/>
    <n v="109"/>
    <x v="0"/>
    <x v="52"/>
    <n v="0.27586206896551724"/>
    <n v="0.20722433460076045"/>
    <n v="420"/>
    <n v="417"/>
    <n v="15"/>
    <n v="0.82386363636363635"/>
    <n v="0.22727272727272727"/>
    <n v="0.74715909090909094"/>
    <n v="0.15482954545454544"/>
    <n v="0.78551136363636365"/>
  </r>
  <r>
    <x v="361"/>
    <n v="3"/>
    <n v="583"/>
    <n v="0"/>
    <n v="160"/>
    <n v="1"/>
    <n v="527"/>
    <n v="0"/>
    <n v="109"/>
    <x v="0"/>
    <x v="52"/>
    <n v="0.274442538593482"/>
    <n v="0.20683111954459202"/>
    <n v="423"/>
    <n v="418"/>
    <n v="15"/>
    <n v="0.828125"/>
    <n v="0.22727272727272727"/>
    <n v="0.74857954545454541"/>
    <n v="0.15482954545454544"/>
    <n v="0.78835227272727271"/>
  </r>
  <r>
    <x v="362"/>
    <n v="0"/>
    <n v="583"/>
    <n v="0"/>
    <n v="160"/>
    <n v="2"/>
    <n v="529"/>
    <n v="0"/>
    <n v="109"/>
    <x v="0"/>
    <x v="52"/>
    <n v="0.274442538593482"/>
    <n v="0.20604914933837429"/>
    <n v="423"/>
    <n v="420"/>
    <n v="15"/>
    <n v="0.828125"/>
    <n v="0.22727272727272727"/>
    <n v="0.75142045454545459"/>
    <n v="0.15482954545454544"/>
    <n v="0.78977272727272729"/>
  </r>
  <r>
    <x v="363"/>
    <n v="0"/>
    <n v="583"/>
    <n v="0"/>
    <n v="160"/>
    <n v="4"/>
    <n v="533"/>
    <n v="0"/>
    <n v="109"/>
    <x v="0"/>
    <x v="0"/>
    <n v="0.274442538593482"/>
    <n v="0.20450281425891181"/>
    <n v="423"/>
    <n v="424"/>
    <n v="15"/>
    <n v="0.828125"/>
    <n v="0.22727272727272727"/>
    <n v="0.75710227272727271"/>
    <n v="0.15482954545454544"/>
    <n v="0.79261363636363635"/>
  </r>
  <r>
    <x v="364"/>
    <n v="3"/>
    <n v="586"/>
    <n v="0"/>
    <n v="160"/>
    <n v="1"/>
    <n v="534"/>
    <n v="0"/>
    <n v="109"/>
    <x v="0"/>
    <x v="0"/>
    <n v="0.27303754266211605"/>
    <n v="0.20411985018726592"/>
    <n v="426"/>
    <n v="425"/>
    <n v="15"/>
    <n v="0.83238636363636365"/>
    <n v="0.22727272727272727"/>
    <n v="0.75852272727272729"/>
    <n v="0.15482954545454544"/>
    <n v="0.79545454545454541"/>
  </r>
  <r>
    <x v="365"/>
    <n v="3"/>
    <n v="589"/>
    <n v="0"/>
    <n v="160"/>
    <n v="1"/>
    <n v="535"/>
    <n v="0"/>
    <n v="109"/>
    <x v="0"/>
    <x v="0"/>
    <n v="0.27164685908319186"/>
    <n v="0.20373831775700935"/>
    <n v="429"/>
    <n v="426"/>
    <n v="15"/>
    <n v="0.83664772727272729"/>
    <n v="0.22727272727272727"/>
    <n v="0.75994318181818177"/>
    <n v="0.15482954545454544"/>
    <n v="0.79829545454545459"/>
  </r>
  <r>
    <x v="366"/>
    <n v="3"/>
    <n v="592"/>
    <n v="0"/>
    <n v="160"/>
    <n v="3"/>
    <n v="538"/>
    <n v="0"/>
    <n v="109"/>
    <x v="0"/>
    <x v="0"/>
    <n v="0.27027027027027029"/>
    <n v="0.20260223048327136"/>
    <n v="432"/>
    <n v="429"/>
    <n v="15"/>
    <n v="0.84090909090909094"/>
    <n v="0.22727272727272727"/>
    <n v="0.76420454545454541"/>
    <n v="0.15482954545454544"/>
    <n v="0.80255681818181812"/>
  </r>
  <r>
    <x v="367"/>
    <n v="3"/>
    <n v="595"/>
    <n v="0"/>
    <n v="160"/>
    <n v="3"/>
    <n v="541"/>
    <n v="0"/>
    <n v="109"/>
    <x v="0"/>
    <x v="0"/>
    <n v="0.26890756302521007"/>
    <n v="0.20147874306839186"/>
    <n v="435"/>
    <n v="432"/>
    <n v="15"/>
    <n v="0.84517045454545459"/>
    <n v="0.22727272727272727"/>
    <n v="0.76846590909090906"/>
    <n v="0.15482954545454544"/>
    <n v="0.80681818181818188"/>
  </r>
  <r>
    <x v="368"/>
    <n v="3"/>
    <n v="598"/>
    <n v="0"/>
    <n v="160"/>
    <n v="2"/>
    <n v="543"/>
    <n v="0"/>
    <n v="109"/>
    <x v="0"/>
    <x v="0"/>
    <n v="0.26755852842809363"/>
    <n v="0.20073664825046039"/>
    <n v="438"/>
    <n v="434"/>
    <n v="15"/>
    <n v="0.84943181818181823"/>
    <n v="0.22727272727272727"/>
    <n v="0.77130681818181823"/>
    <n v="0.15482954545454544"/>
    <n v="0.81036931818181823"/>
  </r>
  <r>
    <x v="369"/>
    <n v="0"/>
    <n v="598"/>
    <n v="0"/>
    <n v="160"/>
    <n v="2"/>
    <n v="545"/>
    <n v="0"/>
    <n v="109"/>
    <x v="0"/>
    <x v="0"/>
    <n v="0.26755852842809363"/>
    <n v="0.2"/>
    <n v="438"/>
    <n v="436"/>
    <n v="15"/>
    <n v="0.84943181818181823"/>
    <n v="0.22727272727272727"/>
    <n v="0.77414772727272729"/>
    <n v="0.15482954545454544"/>
    <n v="0.81178977272727271"/>
  </r>
  <r>
    <x v="370"/>
    <n v="0"/>
    <n v="598"/>
    <n v="0"/>
    <n v="160"/>
    <n v="2"/>
    <n v="547"/>
    <n v="0"/>
    <n v="109"/>
    <x v="0"/>
    <x v="1"/>
    <n v="0.26755852842809363"/>
    <n v="0.19926873857404023"/>
    <n v="438"/>
    <n v="438"/>
    <n v="15"/>
    <n v="0.84943181818181823"/>
    <n v="0.22727272727272727"/>
    <n v="0.77698863636363635"/>
    <n v="0.15482954545454544"/>
    <n v="0.81321022727272729"/>
  </r>
  <r>
    <x v="371"/>
    <n v="3"/>
    <n v="601"/>
    <n v="0"/>
    <n v="160"/>
    <n v="1"/>
    <n v="548"/>
    <n v="0"/>
    <n v="109"/>
    <x v="0"/>
    <x v="1"/>
    <n v="0.26622296173044924"/>
    <n v="0.1989051094890511"/>
    <n v="441"/>
    <n v="439"/>
    <n v="15"/>
    <n v="0.85369318181818177"/>
    <n v="0.22727272727272727"/>
    <n v="0.77840909090909094"/>
    <n v="0.15482954545454544"/>
    <n v="0.81605113636363635"/>
  </r>
  <r>
    <x v="372"/>
    <n v="3"/>
    <n v="604"/>
    <n v="0"/>
    <n v="160"/>
    <n v="2"/>
    <n v="550"/>
    <n v="0"/>
    <n v="109"/>
    <x v="0"/>
    <x v="1"/>
    <n v="0.26490066225165565"/>
    <n v="0.19818181818181818"/>
    <n v="444"/>
    <n v="441"/>
    <n v="15"/>
    <n v="0.85795454545454541"/>
    <n v="0.22727272727272727"/>
    <n v="0.78125"/>
    <n v="0.15482954545454544"/>
    <n v="0.81960227272727271"/>
  </r>
  <r>
    <x v="373"/>
    <n v="3"/>
    <n v="607"/>
    <n v="0"/>
    <n v="160"/>
    <n v="3"/>
    <n v="553"/>
    <n v="0"/>
    <n v="109"/>
    <x v="0"/>
    <x v="1"/>
    <n v="0.26359143327841844"/>
    <n v="0.19710669077757687"/>
    <n v="447"/>
    <n v="444"/>
    <n v="15"/>
    <n v="0.86221590909090906"/>
    <n v="0.22727272727272727"/>
    <n v="0.78551136363636365"/>
    <n v="0.15482954545454544"/>
    <n v="0.82386363636363635"/>
  </r>
  <r>
    <x v="374"/>
    <n v="3"/>
    <n v="610"/>
    <n v="0"/>
    <n v="160"/>
    <n v="3"/>
    <n v="556"/>
    <n v="0"/>
    <n v="109"/>
    <x v="0"/>
    <x v="1"/>
    <n v="0.26229508196721313"/>
    <n v="0.1960431654676259"/>
    <n v="450"/>
    <n v="447"/>
    <n v="15"/>
    <n v="0.86647727272727271"/>
    <n v="0.22727272727272727"/>
    <n v="0.78977272727272729"/>
    <n v="0.15482954545454544"/>
    <n v="0.828125"/>
  </r>
  <r>
    <x v="375"/>
    <n v="3"/>
    <n v="613"/>
    <n v="0"/>
    <n v="160"/>
    <n v="2"/>
    <n v="558"/>
    <n v="0"/>
    <n v="109"/>
    <x v="0"/>
    <x v="1"/>
    <n v="0.26101141924959215"/>
    <n v="0.19534050179211471"/>
    <n v="453"/>
    <n v="449"/>
    <n v="15"/>
    <n v="0.87073863636363635"/>
    <n v="0.22727272727272727"/>
    <n v="0.79261363636363635"/>
    <n v="0.15482954545454544"/>
    <n v="0.83167613636363635"/>
  </r>
  <r>
    <x v="376"/>
    <n v="0"/>
    <n v="613"/>
    <n v="0"/>
    <n v="160"/>
    <n v="1"/>
    <n v="559"/>
    <n v="0"/>
    <n v="109"/>
    <x v="0"/>
    <x v="1"/>
    <n v="0.26101141924959215"/>
    <n v="0.19499105545617174"/>
    <n v="453"/>
    <n v="450"/>
    <n v="15"/>
    <n v="0.87073863636363635"/>
    <n v="0.22727272727272727"/>
    <n v="0.79403409090909094"/>
    <n v="0.15482954545454544"/>
    <n v="0.83238636363636365"/>
  </r>
  <r>
    <x v="377"/>
    <n v="0"/>
    <n v="613"/>
    <n v="0"/>
    <n v="160"/>
    <n v="2"/>
    <n v="561"/>
    <n v="0"/>
    <n v="109"/>
    <x v="0"/>
    <x v="2"/>
    <n v="0.26101141924959215"/>
    <n v="0.19429590017825313"/>
    <n v="453"/>
    <n v="452"/>
    <n v="0"/>
    <n v="0.87073863636363635"/>
    <n v="0.22727272727272727"/>
    <n v="0.796875"/>
    <n v="0.15482954545454544"/>
    <n v="0.83380681818181812"/>
  </r>
  <r>
    <x v="378"/>
    <n v="3"/>
    <n v="616"/>
    <n v="0"/>
    <n v="160"/>
    <n v="2"/>
    <n v="563"/>
    <n v="0"/>
    <n v="109"/>
    <x v="1"/>
    <x v="2"/>
    <n v="0.25974025974025972"/>
    <n v="0.19360568383658969"/>
    <n v="456"/>
    <n v="454"/>
    <n v="15"/>
    <n v="0.875"/>
    <n v="0.22727272727272727"/>
    <n v="0.79971590909090906"/>
    <n v="0.15482954545454544"/>
    <n v="0.83735795454545459"/>
  </r>
  <r>
    <x v="379"/>
    <n v="3"/>
    <n v="619"/>
    <n v="0"/>
    <n v="160"/>
    <n v="2"/>
    <n v="565"/>
    <n v="0"/>
    <n v="109"/>
    <x v="1"/>
    <x v="2"/>
    <n v="0.25848142164781907"/>
    <n v="0.1929203539823009"/>
    <n v="459"/>
    <n v="456"/>
    <n v="15"/>
    <n v="0.87926136363636365"/>
    <n v="0.22727272727272727"/>
    <n v="0.80255681818181823"/>
    <n v="0.15482954545454544"/>
    <n v="0.84090909090909094"/>
  </r>
  <r>
    <x v="380"/>
    <n v="3"/>
    <n v="622"/>
    <n v="0"/>
    <n v="160"/>
    <n v="3"/>
    <n v="568"/>
    <n v="0"/>
    <n v="109"/>
    <x v="1"/>
    <x v="2"/>
    <n v="0.25723472668810288"/>
    <n v="0.19190140845070422"/>
    <n v="462"/>
    <n v="459"/>
    <n v="15"/>
    <n v="0.88352272727272729"/>
    <n v="0.22727272727272727"/>
    <n v="0.80681818181818177"/>
    <n v="0.15482954545454544"/>
    <n v="0.84517045454545459"/>
  </r>
  <r>
    <x v="381"/>
    <n v="3"/>
    <n v="625"/>
    <n v="0"/>
    <n v="160"/>
    <n v="3"/>
    <n v="571"/>
    <n v="0"/>
    <n v="109"/>
    <x v="1"/>
    <x v="2"/>
    <n v="0.25600000000000001"/>
    <n v="0.19089316987740806"/>
    <n v="465"/>
    <n v="462"/>
    <n v="15"/>
    <n v="0.88778409090909094"/>
    <n v="0.22727272727272727"/>
    <n v="0.81107954545454541"/>
    <n v="0.15482954545454544"/>
    <n v="0.84943181818181812"/>
  </r>
  <r>
    <x v="382"/>
    <n v="3"/>
    <n v="628"/>
    <n v="0"/>
    <n v="160"/>
    <n v="1"/>
    <n v="572"/>
    <n v="0"/>
    <n v="109"/>
    <x v="1"/>
    <x v="2"/>
    <n v="0.25477707006369427"/>
    <n v="0.19055944055944055"/>
    <n v="468"/>
    <n v="463"/>
    <n v="15"/>
    <n v="0.89204545454545459"/>
    <n v="0.22727272727272727"/>
    <n v="0.8125"/>
    <n v="0.15482954545454544"/>
    <n v="0.85227272727272729"/>
  </r>
  <r>
    <x v="383"/>
    <n v="0"/>
    <n v="628"/>
    <n v="0"/>
    <n v="160"/>
    <n v="1"/>
    <n v="573"/>
    <n v="0"/>
    <n v="109"/>
    <x v="1"/>
    <x v="2"/>
    <n v="0.25477707006369427"/>
    <n v="0.19022687609075042"/>
    <n v="468"/>
    <n v="464"/>
    <n v="15"/>
    <n v="0.89204545454545459"/>
    <n v="0.22727272727272727"/>
    <n v="0.81392045454545459"/>
    <n v="0.15482954545454544"/>
    <n v="0.85298295454545459"/>
  </r>
  <r>
    <x v="384"/>
    <n v="0"/>
    <n v="628"/>
    <n v="0"/>
    <n v="160"/>
    <n v="4"/>
    <n v="577"/>
    <n v="0"/>
    <n v="109"/>
    <x v="1"/>
    <x v="3"/>
    <n v="0.25477707006369427"/>
    <n v="0.18890814558058924"/>
    <n v="468"/>
    <n v="468"/>
    <n v="15"/>
    <n v="0.89204545454545459"/>
    <n v="0.22727272727272727"/>
    <n v="0.81960227272727271"/>
    <n v="0.15482954545454544"/>
    <n v="0.85582386363636365"/>
  </r>
  <r>
    <x v="385"/>
    <n v="3"/>
    <n v="631"/>
    <n v="0"/>
    <n v="160"/>
    <n v="2"/>
    <n v="579"/>
    <n v="0"/>
    <n v="109"/>
    <x v="1"/>
    <x v="3"/>
    <n v="0.25356576862123614"/>
    <n v="0.18825561312607944"/>
    <n v="471"/>
    <n v="470"/>
    <n v="15"/>
    <n v="0.89630681818181823"/>
    <n v="0.22727272727272727"/>
    <n v="0.82244318181818177"/>
    <n v="0.15482954545454544"/>
    <n v="0.859375"/>
  </r>
  <r>
    <x v="386"/>
    <n v="3"/>
    <n v="634"/>
    <n v="0"/>
    <n v="160"/>
    <n v="1"/>
    <n v="580"/>
    <n v="0"/>
    <n v="109"/>
    <x v="1"/>
    <x v="3"/>
    <n v="0.25236593059936907"/>
    <n v="0.18793103448275861"/>
    <n v="474"/>
    <n v="471"/>
    <n v="15"/>
    <n v="0.90056818181818177"/>
    <n v="0.22727272727272727"/>
    <n v="0.82386363636363635"/>
    <n v="0.15482954545454544"/>
    <n v="0.86221590909090906"/>
  </r>
  <r>
    <x v="387"/>
    <n v="3"/>
    <n v="637"/>
    <n v="0"/>
    <n v="160"/>
    <n v="3"/>
    <n v="583"/>
    <n v="0"/>
    <n v="109"/>
    <x v="1"/>
    <x v="3"/>
    <n v="0.25117739403453687"/>
    <n v="0.18696397941680962"/>
    <n v="477"/>
    <n v="474"/>
    <n v="15"/>
    <n v="0.90482954545454541"/>
    <n v="0.22727272727272727"/>
    <n v="0.828125"/>
    <n v="0.15482954545454544"/>
    <n v="0.86647727272727271"/>
  </r>
  <r>
    <x v="388"/>
    <n v="3"/>
    <n v="640"/>
    <n v="0"/>
    <n v="160"/>
    <n v="3"/>
    <n v="586"/>
    <n v="0"/>
    <n v="109"/>
    <x v="1"/>
    <x v="3"/>
    <n v="0.25"/>
    <n v="0.18600682593856654"/>
    <n v="480"/>
    <n v="477"/>
    <n v="15"/>
    <n v="0.90909090909090906"/>
    <n v="0.22727272727272727"/>
    <n v="0.83238636363636365"/>
    <n v="0.15482954545454544"/>
    <n v="0.87073863636363635"/>
  </r>
  <r>
    <x v="389"/>
    <n v="3"/>
    <n v="643"/>
    <n v="0"/>
    <n v="160"/>
    <n v="1"/>
    <n v="587"/>
    <n v="0"/>
    <n v="109"/>
    <x v="1"/>
    <x v="3"/>
    <n v="0.24883359253499224"/>
    <n v="0.18568994889267462"/>
    <n v="483"/>
    <n v="478"/>
    <n v="15"/>
    <n v="0.91335227272727271"/>
    <n v="0.22727272727272727"/>
    <n v="0.83380681818181823"/>
    <n v="0.15482954545454544"/>
    <n v="0.87357954545454541"/>
  </r>
  <r>
    <x v="390"/>
    <n v="0"/>
    <n v="643"/>
    <n v="0"/>
    <n v="160"/>
    <n v="2"/>
    <n v="589"/>
    <n v="0"/>
    <n v="109"/>
    <x v="1"/>
    <x v="3"/>
    <n v="0.24883359253499224"/>
    <n v="0.18505942275042445"/>
    <n v="483"/>
    <n v="480"/>
    <n v="15"/>
    <n v="0.91335227272727271"/>
    <n v="0.22727272727272727"/>
    <n v="0.83664772727272729"/>
    <n v="0.15482954545454544"/>
    <n v="0.875"/>
  </r>
  <r>
    <x v="391"/>
    <n v="0"/>
    <n v="643"/>
    <n v="0"/>
    <n v="160"/>
    <n v="4"/>
    <n v="593"/>
    <n v="0"/>
    <n v="109"/>
    <x v="1"/>
    <x v="4"/>
    <n v="0.24883359253499224"/>
    <n v="0.18381112984822934"/>
    <n v="483"/>
    <n v="484"/>
    <n v="15"/>
    <n v="0.91335227272727271"/>
    <n v="0.22727272727272727"/>
    <n v="0.84232954545454541"/>
    <n v="0.15482954545454544"/>
    <n v="0.87784090909090906"/>
  </r>
  <r>
    <x v="392"/>
    <n v="3"/>
    <n v="646"/>
    <n v="0"/>
    <n v="160"/>
    <n v="1"/>
    <n v="594"/>
    <n v="0"/>
    <n v="109"/>
    <x v="1"/>
    <x v="4"/>
    <n v="0.24767801857585139"/>
    <n v="0.1835016835016835"/>
    <n v="486"/>
    <n v="485"/>
    <n v="15"/>
    <n v="0.91761363636363635"/>
    <n v="0.22727272727272727"/>
    <n v="0.84375"/>
    <n v="0.15482954545454544"/>
    <n v="0.88068181818181812"/>
  </r>
  <r>
    <x v="393"/>
    <n v="3"/>
    <n v="649"/>
    <n v="0"/>
    <n v="160"/>
    <n v="1"/>
    <n v="595"/>
    <n v="0"/>
    <n v="109"/>
    <x v="1"/>
    <x v="4"/>
    <n v="0.24653312788906009"/>
    <n v="0.18319327731092436"/>
    <n v="489"/>
    <n v="486"/>
    <n v="15"/>
    <n v="0.921875"/>
    <n v="0.22727272727272727"/>
    <n v="0.84517045454545459"/>
    <n v="0.15482954545454544"/>
    <n v="0.88352272727272729"/>
  </r>
  <r>
    <x v="394"/>
    <n v="3"/>
    <n v="652"/>
    <n v="0"/>
    <n v="160"/>
    <n v="3"/>
    <n v="598"/>
    <n v="0"/>
    <n v="109"/>
    <x v="1"/>
    <x v="4"/>
    <n v="0.24539877300613497"/>
    <n v="0.18227424749163879"/>
    <n v="492"/>
    <n v="489"/>
    <n v="15"/>
    <n v="0.92613636363636365"/>
    <n v="0.22727272727272727"/>
    <n v="0.84943181818181823"/>
    <n v="0.15482954545454544"/>
    <n v="0.88778409090909094"/>
  </r>
  <r>
    <x v="395"/>
    <n v="3"/>
    <n v="655"/>
    <n v="0"/>
    <n v="160"/>
    <n v="3"/>
    <n v="601"/>
    <n v="0"/>
    <n v="109"/>
    <x v="1"/>
    <x v="4"/>
    <n v="0.24427480916030533"/>
    <n v="0.18136439267886856"/>
    <n v="495"/>
    <n v="492"/>
    <n v="15"/>
    <n v="0.93039772727272729"/>
    <n v="0.22727272727272727"/>
    <n v="0.85369318181818177"/>
    <n v="0.15482954545454544"/>
    <n v="0.89204545454545459"/>
  </r>
  <r>
    <x v="396"/>
    <n v="3"/>
    <n v="658"/>
    <n v="0"/>
    <n v="160"/>
    <n v="2"/>
    <n v="603"/>
    <n v="0"/>
    <n v="109"/>
    <x v="1"/>
    <x v="4"/>
    <n v="0.24316109422492402"/>
    <n v="0.18076285240464346"/>
    <n v="498"/>
    <n v="494"/>
    <n v="15"/>
    <n v="0.93465909090909094"/>
    <n v="0.22727272727272727"/>
    <n v="0.85653409090909094"/>
    <n v="0.15482954545454544"/>
    <n v="0.89559659090909094"/>
  </r>
  <r>
    <x v="397"/>
    <n v="0"/>
    <n v="658"/>
    <n v="0"/>
    <n v="160"/>
    <n v="2"/>
    <n v="605"/>
    <n v="0"/>
    <n v="109"/>
    <x v="1"/>
    <x v="4"/>
    <n v="0.24316109422492402"/>
    <n v="0.18016528925619835"/>
    <n v="498"/>
    <n v="496"/>
    <n v="15"/>
    <n v="0.93465909090909094"/>
    <n v="0.22727272727272727"/>
    <n v="0.859375"/>
    <n v="0.15482954545454544"/>
    <n v="0.89701704545454541"/>
  </r>
  <r>
    <x v="398"/>
    <n v="0"/>
    <n v="658"/>
    <n v="0"/>
    <n v="160"/>
    <n v="2"/>
    <n v="607"/>
    <n v="0"/>
    <n v="109"/>
    <x v="1"/>
    <x v="5"/>
    <n v="0.24316109422492402"/>
    <n v="0.17957166392092258"/>
    <n v="498"/>
    <n v="498"/>
    <n v="15"/>
    <n v="0.93465909090909094"/>
    <n v="0.22727272727272727"/>
    <n v="0.86221590909090906"/>
    <n v="0.15482954545454544"/>
    <n v="0.8984375"/>
  </r>
  <r>
    <x v="399"/>
    <n v="3"/>
    <n v="661"/>
    <n v="0"/>
    <n v="160"/>
    <n v="1"/>
    <n v="608"/>
    <n v="0"/>
    <n v="109"/>
    <x v="1"/>
    <x v="5"/>
    <n v="0.24205748865355523"/>
    <n v="0.17927631578947367"/>
    <n v="501"/>
    <n v="499"/>
    <n v="15"/>
    <n v="0.93892045454545459"/>
    <n v="0.22727272727272727"/>
    <n v="0.86363636363636365"/>
    <n v="0.15482954545454544"/>
    <n v="0.90127840909090917"/>
  </r>
  <r>
    <x v="400"/>
    <n v="3"/>
    <n v="664"/>
    <n v="0"/>
    <n v="160"/>
    <n v="2"/>
    <n v="610"/>
    <n v="0"/>
    <n v="109"/>
    <x v="1"/>
    <x v="5"/>
    <n v="0.24096385542168675"/>
    <n v="0.17868852459016393"/>
    <n v="504"/>
    <n v="501"/>
    <n v="15"/>
    <n v="0.94318181818181823"/>
    <n v="0.22727272727272727"/>
    <n v="0.86647727272727271"/>
    <n v="0.15482954545454544"/>
    <n v="0.90482954545454541"/>
  </r>
  <r>
    <x v="401"/>
    <n v="3"/>
    <n v="667"/>
    <n v="0"/>
    <n v="160"/>
    <n v="3"/>
    <n v="613"/>
    <n v="0"/>
    <n v="109"/>
    <x v="1"/>
    <x v="5"/>
    <n v="0.23988005997001499"/>
    <n v="0.17781402936378465"/>
    <n v="507"/>
    <n v="504"/>
    <n v="15"/>
    <n v="0.94744318181818177"/>
    <n v="0.22727272727272727"/>
    <n v="0.87073863636363635"/>
    <n v="0.15482954545454544"/>
    <n v="0.90909090909090906"/>
  </r>
  <r>
    <x v="402"/>
    <n v="3"/>
    <n v="670"/>
    <n v="0"/>
    <n v="160"/>
    <n v="3"/>
    <n v="616"/>
    <n v="0"/>
    <n v="109"/>
    <x v="1"/>
    <x v="5"/>
    <n v="0.23880597014925373"/>
    <n v="0.17694805194805194"/>
    <n v="510"/>
    <n v="507"/>
    <n v="15"/>
    <n v="0.95170454545454541"/>
    <n v="0.22727272727272727"/>
    <n v="0.875"/>
    <n v="0.15482954545454544"/>
    <n v="0.91335227272727271"/>
  </r>
  <r>
    <x v="403"/>
    <n v="3"/>
    <n v="673"/>
    <n v="0"/>
    <n v="160"/>
    <n v="2"/>
    <n v="618"/>
    <n v="0"/>
    <n v="109"/>
    <x v="1"/>
    <x v="5"/>
    <n v="0.23774145616641901"/>
    <n v="0.17637540453074432"/>
    <n v="513"/>
    <n v="509"/>
    <n v="15"/>
    <n v="0.95596590909090906"/>
    <n v="0.22727272727272727"/>
    <n v="0.87784090909090906"/>
    <n v="0.15482954545454544"/>
    <n v="0.91690340909090906"/>
  </r>
  <r>
    <x v="404"/>
    <n v="0"/>
    <n v="673"/>
    <n v="0"/>
    <n v="160"/>
    <n v="1"/>
    <n v="619"/>
    <n v="0"/>
    <n v="109"/>
    <x v="1"/>
    <x v="5"/>
    <n v="0.23774145616641901"/>
    <n v="0.17609046849757673"/>
    <n v="513"/>
    <n v="510"/>
    <n v="15"/>
    <n v="0.95596590909090906"/>
    <n v="0.22727272727272727"/>
    <n v="0.87926136363636365"/>
    <n v="0.15482954545454544"/>
    <n v="0.91761363636363635"/>
  </r>
  <r>
    <x v="405"/>
    <n v="0"/>
    <n v="673"/>
    <n v="0"/>
    <n v="160"/>
    <n v="2"/>
    <n v="621"/>
    <n v="0"/>
    <n v="109"/>
    <x v="1"/>
    <x v="6"/>
    <n v="0.23774145616641901"/>
    <n v="0.17552334943639292"/>
    <n v="513"/>
    <n v="512"/>
    <n v="9"/>
    <n v="0.95596590909090906"/>
    <n v="0.22727272727272727"/>
    <n v="0.88210227272727271"/>
    <n v="0.15482954545454544"/>
    <n v="0.91903409090909083"/>
  </r>
  <r>
    <x v="406"/>
    <n v="3"/>
    <n v="676"/>
    <n v="0"/>
    <n v="160"/>
    <n v="2"/>
    <n v="623"/>
    <n v="0"/>
    <n v="109"/>
    <x v="1"/>
    <x v="6"/>
    <n v="0.23668639053254437"/>
    <n v="0.17495987158908508"/>
    <n v="516"/>
    <n v="514"/>
    <n v="9"/>
    <n v="0.96022727272727271"/>
    <n v="0.22727272727272727"/>
    <n v="0.88494318181818177"/>
    <n v="0.15482954545454544"/>
    <n v="0.92258522727272729"/>
  </r>
  <r>
    <x v="407"/>
    <n v="3"/>
    <n v="679"/>
    <n v="0"/>
    <n v="160"/>
    <n v="2"/>
    <n v="625"/>
    <n v="0"/>
    <n v="109"/>
    <x v="1"/>
    <x v="6"/>
    <n v="0.23564064801178203"/>
    <n v="0.1744"/>
    <n v="519"/>
    <n v="516"/>
    <n v="9"/>
    <n v="0.96448863636363635"/>
    <n v="0.22727272727272727"/>
    <n v="0.88778409090909094"/>
    <n v="0.15482954545454544"/>
    <n v="0.92613636363636365"/>
  </r>
  <r>
    <x v="408"/>
    <n v="3"/>
    <n v="682"/>
    <n v="0"/>
    <n v="160"/>
    <n v="3"/>
    <n v="628"/>
    <n v="0"/>
    <n v="109"/>
    <x v="1"/>
    <x v="6"/>
    <n v="0.23460410557184752"/>
    <n v="0.17356687898089171"/>
    <n v="522"/>
    <n v="519"/>
    <n v="9"/>
    <n v="0.96875"/>
    <n v="0.22727272727272727"/>
    <n v="0.89204545454545459"/>
    <n v="0.15482954545454544"/>
    <n v="0.93039772727272729"/>
  </r>
  <r>
    <x v="409"/>
    <n v="3"/>
    <n v="685"/>
    <n v="0"/>
    <n v="160"/>
    <n v="3"/>
    <n v="631"/>
    <n v="0"/>
    <n v="109"/>
    <x v="2"/>
    <x v="6"/>
    <n v="0.23357664233576642"/>
    <n v="0.17274167987321712"/>
    <n v="525"/>
    <n v="522"/>
    <n v="6"/>
    <n v="0.97301136363636365"/>
    <n v="0.22727272727272727"/>
    <n v="0.89630681818181823"/>
    <n v="0.15482954545454544"/>
    <n v="0.93465909090909094"/>
  </r>
  <r>
    <x v="410"/>
    <n v="3"/>
    <n v="688"/>
    <n v="0"/>
    <n v="160"/>
    <n v="1"/>
    <n v="632"/>
    <n v="0"/>
    <n v="109"/>
    <x v="2"/>
    <x v="6"/>
    <n v="0.23255813953488372"/>
    <n v="0.17246835443037975"/>
    <n v="528"/>
    <n v="523"/>
    <n v="6"/>
    <n v="0.97727272727272729"/>
    <n v="0.22727272727272727"/>
    <n v="0.89772727272727271"/>
    <n v="0.15482954545454544"/>
    <n v="0.9375"/>
  </r>
  <r>
    <x v="411"/>
    <n v="0"/>
    <n v="688"/>
    <n v="0"/>
    <n v="160"/>
    <n v="1"/>
    <n v="633"/>
    <n v="0"/>
    <n v="109"/>
    <x v="2"/>
    <x v="6"/>
    <n v="0.23255813953488372"/>
    <n v="0.17219589257503951"/>
    <n v="528"/>
    <n v="524"/>
    <n v="6"/>
    <n v="0.97727272727272729"/>
    <n v="0.22727272727272727"/>
    <n v="0.89914772727272729"/>
    <n v="0.15482954545454544"/>
    <n v="0.93821022727272729"/>
  </r>
  <r>
    <x v="412"/>
    <n v="0"/>
    <n v="688"/>
    <n v="0"/>
    <n v="160"/>
    <n v="4"/>
    <n v="637"/>
    <n v="0"/>
    <n v="109"/>
    <x v="2"/>
    <x v="7"/>
    <n v="0.23255813953488372"/>
    <n v="0.17111459968602827"/>
    <n v="528"/>
    <n v="528"/>
    <n v="15"/>
    <n v="0.97727272727272729"/>
    <n v="0.22727272727272727"/>
    <n v="0.90482954545454541"/>
    <n v="0.15482954545454544"/>
    <n v="0.94105113636363635"/>
  </r>
  <r>
    <x v="413"/>
    <n v="3"/>
    <n v="691"/>
    <n v="0"/>
    <n v="160"/>
    <n v="2"/>
    <n v="639"/>
    <n v="0"/>
    <n v="109"/>
    <x v="2"/>
    <x v="7"/>
    <n v="0.23154848046309695"/>
    <n v="0.1705790297339593"/>
    <n v="531"/>
    <n v="530"/>
    <n v="15"/>
    <n v="0.98153409090909094"/>
    <n v="0.22727272727272727"/>
    <n v="0.90767045454545459"/>
    <n v="0.15482954545454544"/>
    <n v="0.94460227272727271"/>
  </r>
  <r>
    <x v="414"/>
    <n v="3"/>
    <n v="694"/>
    <n v="0"/>
    <n v="160"/>
    <n v="1"/>
    <n v="640"/>
    <n v="0"/>
    <n v="109"/>
    <x v="2"/>
    <x v="7"/>
    <n v="0.23054755043227665"/>
    <n v="0.17031250000000001"/>
    <n v="534"/>
    <n v="531"/>
    <n v="15"/>
    <n v="0.98579545454545459"/>
    <n v="0.22727272727272727"/>
    <n v="0.90909090909090906"/>
    <n v="0.15482954545454544"/>
    <n v="0.94744318181818188"/>
  </r>
  <r>
    <x v="415"/>
    <n v="3"/>
    <n v="697"/>
    <n v="0"/>
    <n v="160"/>
    <n v="3"/>
    <n v="643"/>
    <n v="0"/>
    <n v="109"/>
    <x v="2"/>
    <x v="7"/>
    <n v="0.22955523672883787"/>
    <n v="0.16951788491446346"/>
    <n v="537"/>
    <n v="534"/>
    <n v="15"/>
    <n v="0.99005681818181823"/>
    <n v="0.22727272727272727"/>
    <n v="0.91335227272727271"/>
    <n v="0.15482954545454544"/>
    <n v="0.95170454545454541"/>
  </r>
  <r>
    <x v="416"/>
    <n v="3"/>
    <n v="700"/>
    <n v="0"/>
    <n v="160"/>
    <n v="3"/>
    <n v="646"/>
    <n v="0"/>
    <n v="109"/>
    <x v="2"/>
    <x v="7"/>
    <n v="0.22857142857142856"/>
    <n v="0.16873065015479877"/>
    <n v="540"/>
    <n v="537"/>
    <n v="15"/>
    <n v="0.99431818181818177"/>
    <n v="0.22727272727272727"/>
    <n v="0.91761363636363635"/>
    <n v="0.15482954545454544"/>
    <n v="0.95596590909090906"/>
  </r>
  <r>
    <x v="417"/>
    <n v="3"/>
    <n v="703"/>
    <n v="0"/>
    <n v="160"/>
    <n v="1"/>
    <n v="647"/>
    <n v="0"/>
    <n v="109"/>
    <x v="2"/>
    <x v="7"/>
    <n v="0.22759601706970128"/>
    <n v="0.16846986089644514"/>
    <n v="543"/>
    <n v="538"/>
    <n v="15"/>
    <n v="0.99857954545454541"/>
    <n v="0.22727272727272727"/>
    <n v="0.91903409090909094"/>
    <n v="0.15482954545454544"/>
    <n v="0.95880681818181812"/>
  </r>
  <r>
    <x v="418"/>
    <n v="0"/>
    <n v="703"/>
    <n v="0"/>
    <n v="160"/>
    <n v="2"/>
    <n v="649"/>
    <n v="0"/>
    <n v="109"/>
    <x v="2"/>
    <x v="7"/>
    <n v="0.22759601706970128"/>
    <n v="0.1679506933744222"/>
    <n v="543"/>
    <n v="540"/>
    <n v="15"/>
    <n v="0.99857954545454541"/>
    <n v="0.22727272727272727"/>
    <n v="0.921875"/>
    <n v="0.15482954545454544"/>
    <n v="0.96022727272727271"/>
  </r>
  <r>
    <x v="419"/>
    <n v="0"/>
    <n v="703"/>
    <n v="0"/>
    <n v="160"/>
    <n v="4"/>
    <n v="653"/>
    <n v="0"/>
    <n v="109"/>
    <x v="2"/>
    <x v="8"/>
    <n v="0.22759601706970128"/>
    <n v="0.1669218989280245"/>
    <n v="543"/>
    <n v="544"/>
    <n v="1"/>
    <n v="0.99857954545454541"/>
    <n v="0.22727272727272727"/>
    <n v="0.92755681818181823"/>
    <n v="0.15482954545454544"/>
    <n v="0.96306818181818188"/>
  </r>
  <r>
    <x v="420"/>
    <n v="1"/>
    <n v="704"/>
    <n v="0"/>
    <n v="160"/>
    <n v="1"/>
    <n v="654"/>
    <n v="0"/>
    <n v="109"/>
    <x v="2"/>
    <x v="8"/>
    <n v="0.22727272727272727"/>
    <n v="0.16666666666666666"/>
    <n v="544"/>
    <n v="545"/>
    <n v="1"/>
    <n v="1"/>
    <n v="0.22727272727272727"/>
    <n v="0.92897727272727271"/>
    <n v="0.15482954545454544"/>
    <n v="0.96448863636363635"/>
  </r>
  <r>
    <x v="421"/>
    <n v="0"/>
    <n v="704"/>
    <n v="0"/>
    <n v="160"/>
    <n v="1"/>
    <n v="655"/>
    <n v="0"/>
    <n v="109"/>
    <x v="2"/>
    <x v="8"/>
    <n v="0.22727272727272727"/>
    <n v="0.166412213740458"/>
    <n v="544"/>
    <n v="546"/>
    <n v="1"/>
    <n v="1"/>
    <n v="0.22727272727272727"/>
    <n v="0.93039772727272729"/>
    <n v="0.15482954545454544"/>
    <n v="0.96519886363636365"/>
  </r>
  <r>
    <x v="422"/>
    <n v="0"/>
    <n v="704"/>
    <n v="0"/>
    <n v="160"/>
    <n v="3"/>
    <n v="658"/>
    <n v="0"/>
    <n v="109"/>
    <x v="2"/>
    <x v="8"/>
    <n v="0.22727272727272727"/>
    <n v="0.16565349544072949"/>
    <n v="544"/>
    <n v="549"/>
    <n v="1"/>
    <n v="1"/>
    <n v="0.22727272727272727"/>
    <n v="0.93465909090909094"/>
    <n v="0.15482954545454544"/>
    <n v="0.96732954545454541"/>
  </r>
  <r>
    <x v="423"/>
    <n v="0"/>
    <n v="704"/>
    <n v="0"/>
    <n v="160"/>
    <n v="3"/>
    <n v="661"/>
    <n v="0"/>
    <n v="109"/>
    <x v="2"/>
    <x v="8"/>
    <n v="0.22727272727272727"/>
    <n v="0.16490166414523449"/>
    <n v="544"/>
    <n v="552"/>
    <n v="1"/>
    <n v="1"/>
    <n v="0.22727272727272727"/>
    <n v="0.93892045454545459"/>
    <n v="0.15482954545454544"/>
    <n v="0.96946022727272729"/>
  </r>
  <r>
    <x v="424"/>
    <n v="0"/>
    <n v="704"/>
    <n v="0"/>
    <n v="160"/>
    <n v="2"/>
    <n v="663"/>
    <n v="0"/>
    <n v="109"/>
    <x v="2"/>
    <x v="8"/>
    <n v="0.22727272727272727"/>
    <n v="0.16440422322775264"/>
    <n v="544"/>
    <n v="554"/>
    <n v="1"/>
    <n v="1"/>
    <n v="0.22727272727272727"/>
    <n v="0.94176136363636365"/>
    <n v="0.15482954545454544"/>
    <n v="0.97088068181818188"/>
  </r>
  <r>
    <x v="425"/>
    <n v="0"/>
    <n v="704"/>
    <n v="0"/>
    <n v="160"/>
    <n v="2"/>
    <n v="665"/>
    <n v="0"/>
    <n v="109"/>
    <x v="2"/>
    <x v="8"/>
    <n v="0.22727272727272727"/>
    <n v="0.16390977443609023"/>
    <n v="544"/>
    <n v="556"/>
    <n v="1"/>
    <n v="1"/>
    <n v="0.22727272727272727"/>
    <n v="0.94460227272727271"/>
    <n v="0.15482954545454544"/>
    <n v="0.97230113636363635"/>
  </r>
  <r>
    <x v="426"/>
    <n v="0"/>
    <n v="704"/>
    <n v="0"/>
    <n v="160"/>
    <n v="2"/>
    <n v="667"/>
    <n v="0"/>
    <n v="109"/>
    <x v="2"/>
    <x v="9"/>
    <n v="0.22727272727272727"/>
    <n v="0.16341829085457271"/>
    <n v="544"/>
    <n v="558"/>
    <n v="0"/>
    <n v="1"/>
    <n v="0.22727272727272727"/>
    <n v="0.94744318181818177"/>
    <n v="0.15482954545454544"/>
    <n v="0.97372159090909083"/>
  </r>
  <r>
    <x v="427"/>
    <n v="0"/>
    <n v="704"/>
    <n v="0"/>
    <n v="160"/>
    <n v="1"/>
    <n v="668"/>
    <n v="0"/>
    <n v="109"/>
    <x v="2"/>
    <x v="9"/>
    <n v="0.22727272727272727"/>
    <n v="0.16317365269461079"/>
    <n v="544"/>
    <n v="559"/>
    <n v="0"/>
    <n v="1"/>
    <n v="0.22727272727272727"/>
    <n v="0.94886363636363635"/>
    <n v="0.15482954545454544"/>
    <n v="0.97443181818181812"/>
  </r>
  <r>
    <x v="428"/>
    <n v="0"/>
    <n v="704"/>
    <n v="0"/>
    <n v="160"/>
    <n v="2"/>
    <n v="670"/>
    <n v="0"/>
    <n v="109"/>
    <x v="2"/>
    <x v="9"/>
    <n v="0.22727272727272727"/>
    <n v="0.16268656716417909"/>
    <n v="544"/>
    <n v="561"/>
    <n v="0"/>
    <n v="1"/>
    <n v="0.22727272727272727"/>
    <n v="0.95170454545454541"/>
    <n v="0.15482954545454544"/>
    <n v="0.97585227272727271"/>
  </r>
  <r>
    <x v="429"/>
    <n v="0"/>
    <n v="704"/>
    <n v="0"/>
    <n v="160"/>
    <n v="3"/>
    <n v="673"/>
    <n v="0"/>
    <n v="109"/>
    <x v="2"/>
    <x v="9"/>
    <n v="0.22727272727272727"/>
    <n v="0.16196136701337296"/>
    <n v="544"/>
    <n v="564"/>
    <n v="0"/>
    <n v="1"/>
    <n v="0.22727272727272727"/>
    <n v="0.95596590909090906"/>
    <n v="0.15482954545454544"/>
    <n v="0.97798295454545459"/>
  </r>
  <r>
    <x v="430"/>
    <n v="0"/>
    <n v="704"/>
    <n v="0"/>
    <n v="160"/>
    <n v="3"/>
    <n v="676"/>
    <n v="0"/>
    <n v="109"/>
    <x v="2"/>
    <x v="9"/>
    <n v="0.22727272727272727"/>
    <n v="0.16124260355029585"/>
    <n v="544"/>
    <n v="567"/>
    <n v="0"/>
    <n v="1"/>
    <n v="0.22727272727272727"/>
    <n v="0.96022727272727271"/>
    <n v="0.15482954545454544"/>
    <n v="0.98011363636363635"/>
  </r>
  <r>
    <x v="431"/>
    <n v="0"/>
    <n v="704"/>
    <n v="0"/>
    <n v="160"/>
    <n v="2"/>
    <n v="678"/>
    <n v="0"/>
    <n v="109"/>
    <x v="2"/>
    <x v="9"/>
    <n v="0.22727272727272727"/>
    <n v="0.16076696165191739"/>
    <n v="544"/>
    <n v="569"/>
    <n v="0"/>
    <n v="1"/>
    <n v="0.22727272727272727"/>
    <n v="0.96306818181818177"/>
    <n v="0.15482954545454544"/>
    <n v="0.98153409090909083"/>
  </r>
  <r>
    <x v="432"/>
    <n v="0"/>
    <n v="704"/>
    <n v="0"/>
    <n v="160"/>
    <n v="1"/>
    <n v="679"/>
    <n v="0"/>
    <n v="109"/>
    <x v="2"/>
    <x v="9"/>
    <n v="0.22727272727272727"/>
    <n v="0.16053019145802652"/>
    <n v="544"/>
    <n v="570"/>
    <n v="0"/>
    <n v="1"/>
    <n v="0.22727272727272727"/>
    <n v="0.96448863636363635"/>
    <n v="0.15482954545454544"/>
    <n v="0.98224431818181812"/>
  </r>
  <r>
    <x v="433"/>
    <n v="0"/>
    <n v="704"/>
    <n v="0"/>
    <n v="160"/>
    <n v="2"/>
    <n v="681"/>
    <n v="0"/>
    <n v="109"/>
    <x v="2"/>
    <x v="10"/>
    <n v="0.22727272727272727"/>
    <n v="0.16005873715124816"/>
    <n v="544"/>
    <n v="572"/>
    <n v="0"/>
    <n v="1"/>
    <n v="0.22727272727272727"/>
    <n v="0.96732954545454541"/>
    <n v="0.15482954545454544"/>
    <n v="0.98366477272727271"/>
  </r>
  <r>
    <x v="434"/>
    <n v="0"/>
    <n v="704"/>
    <n v="0"/>
    <n v="160"/>
    <n v="2"/>
    <n v="683"/>
    <n v="0"/>
    <n v="109"/>
    <x v="2"/>
    <x v="10"/>
    <n v="0.22727272727272727"/>
    <n v="0.1595900439238653"/>
    <n v="544"/>
    <n v="574"/>
    <n v="0"/>
    <n v="1"/>
    <n v="0.22727272727272727"/>
    <n v="0.97017045454545459"/>
    <n v="0.15482954545454544"/>
    <n v="0.98508522727272729"/>
  </r>
  <r>
    <x v="435"/>
    <n v="0"/>
    <n v="704"/>
    <n v="0"/>
    <n v="160"/>
    <n v="2"/>
    <n v="685"/>
    <n v="0"/>
    <n v="109"/>
    <x v="2"/>
    <x v="10"/>
    <n v="0.22727272727272727"/>
    <n v="0.15912408759124089"/>
    <n v="544"/>
    <n v="576"/>
    <n v="0"/>
    <n v="1"/>
    <n v="0.22727272727272727"/>
    <n v="0.97301136363636365"/>
    <n v="0.15482954545454544"/>
    <n v="0.98650568181818188"/>
  </r>
  <r>
    <x v="436"/>
    <n v="0"/>
    <n v="704"/>
    <n v="0"/>
    <n v="160"/>
    <n v="3"/>
    <n v="688"/>
    <n v="0"/>
    <n v="109"/>
    <x v="2"/>
    <x v="10"/>
    <n v="0.22727272727272727"/>
    <n v="0.15843023255813954"/>
    <n v="544"/>
    <n v="579"/>
    <n v="0"/>
    <n v="1"/>
    <n v="0.22727272727272727"/>
    <n v="0.97727272727272729"/>
    <n v="0.15482954545454544"/>
    <n v="0.98863636363636365"/>
  </r>
  <r>
    <x v="437"/>
    <n v="0"/>
    <n v="704"/>
    <n v="0"/>
    <n v="160"/>
    <n v="3"/>
    <n v="691"/>
    <n v="0"/>
    <n v="109"/>
    <x v="2"/>
    <x v="10"/>
    <n v="0.22727272727272727"/>
    <n v="0.15774240231548481"/>
    <n v="544"/>
    <n v="582"/>
    <n v="0"/>
    <n v="1"/>
    <n v="0.22727272727272727"/>
    <n v="0.98153409090909094"/>
    <n v="0.15482954545454544"/>
    <n v="0.99076704545454541"/>
  </r>
  <r>
    <x v="438"/>
    <n v="0"/>
    <n v="704"/>
    <n v="0"/>
    <n v="160"/>
    <n v="1"/>
    <n v="692"/>
    <n v="0"/>
    <n v="109"/>
    <x v="2"/>
    <x v="10"/>
    <n v="0.22727272727272727"/>
    <n v="0.15751445086705201"/>
    <n v="544"/>
    <n v="583"/>
    <n v="0"/>
    <n v="1"/>
    <n v="0.22727272727272727"/>
    <n v="0.98295454545454541"/>
    <n v="0.15482954545454544"/>
    <n v="0.99147727272727271"/>
  </r>
  <r>
    <x v="439"/>
    <n v="0"/>
    <n v="704"/>
    <n v="0"/>
    <n v="160"/>
    <n v="1"/>
    <n v="693"/>
    <n v="0"/>
    <n v="109"/>
    <x v="3"/>
    <x v="10"/>
    <n v="0.22727272727272727"/>
    <n v="0.15728715728715728"/>
    <n v="544"/>
    <n v="584"/>
    <n v="0"/>
    <n v="1"/>
    <n v="0.22727272727272727"/>
    <n v="0.984375"/>
    <n v="0.15482954545454544"/>
    <n v="0.9921875"/>
  </r>
  <r>
    <x v="440"/>
    <n v="0"/>
    <n v="704"/>
    <n v="0"/>
    <n v="160"/>
    <n v="3"/>
    <n v="696"/>
    <n v="0"/>
    <n v="109"/>
    <x v="3"/>
    <x v="11"/>
    <n v="0.22727272727272727"/>
    <n v="0.15660919540229884"/>
    <n v="544"/>
    <n v="587"/>
    <n v="0"/>
    <n v="1"/>
    <n v="0.22727272727272727"/>
    <n v="0.98863636363636365"/>
    <n v="0.15482954545454544"/>
    <n v="0.99431818181818188"/>
  </r>
  <r>
    <x v="441"/>
    <n v="0"/>
    <n v="704"/>
    <n v="0"/>
    <n v="160"/>
    <n v="0"/>
    <n v="696"/>
    <n v="0"/>
    <n v="109"/>
    <x v="3"/>
    <x v="11"/>
    <n v="0.22727272727272727"/>
    <n v="0.15660919540229884"/>
    <n v="544"/>
    <n v="587"/>
    <n v="0"/>
    <n v="1"/>
    <n v="0.22727272727272727"/>
    <n v="0.98863636363636365"/>
    <n v="0.15482954545454544"/>
    <n v="0.99431818181818188"/>
  </r>
  <r>
    <x v="442"/>
    <n v="0"/>
    <n v="704"/>
    <n v="0"/>
    <n v="160"/>
    <n v="0"/>
    <n v="696"/>
    <n v="0"/>
    <n v="109"/>
    <x v="3"/>
    <x v="11"/>
    <n v="0.22727272727272727"/>
    <n v="0.15660919540229884"/>
    <n v="544"/>
    <n v="587"/>
    <n v="0"/>
    <n v="1"/>
    <n v="0.22727272727272727"/>
    <n v="0.98863636363636365"/>
    <n v="0.15482954545454544"/>
    <n v="0.99431818181818188"/>
  </r>
  <r>
    <x v="443"/>
    <n v="0"/>
    <n v="704"/>
    <n v="0"/>
    <n v="160"/>
    <n v="2"/>
    <n v="698"/>
    <n v="0"/>
    <n v="109"/>
    <x v="3"/>
    <x v="11"/>
    <n v="0.22727272727272727"/>
    <n v="0.15616045845272206"/>
    <n v="544"/>
    <n v="589"/>
    <n v="0"/>
    <n v="1"/>
    <n v="0.22727272727272727"/>
    <n v="0.99147727272727271"/>
    <n v="0.15482954545454544"/>
    <n v="0.99573863636363635"/>
  </r>
  <r>
    <x v="444"/>
    <n v="0"/>
    <n v="704"/>
    <n v="0"/>
    <n v="160"/>
    <n v="1"/>
    <n v="699"/>
    <n v="0"/>
    <n v="109"/>
    <x v="3"/>
    <x v="11"/>
    <n v="0.22727272727272727"/>
    <n v="0.15593705293276108"/>
    <n v="544"/>
    <n v="590"/>
    <n v="0"/>
    <n v="1"/>
    <n v="0.22727272727272727"/>
    <n v="0.99289772727272729"/>
    <n v="0.15482954545454544"/>
    <n v="0.99644886363636365"/>
  </r>
  <r>
    <x v="445"/>
    <n v="0"/>
    <n v="704"/>
    <n v="0"/>
    <n v="160"/>
    <n v="1"/>
    <n v="700"/>
    <n v="0"/>
    <n v="109"/>
    <x v="3"/>
    <x v="11"/>
    <n v="0.22727272727272727"/>
    <n v="0.15571428571428572"/>
    <n v="544"/>
    <n v="591"/>
    <n v="0"/>
    <n v="1"/>
    <n v="0.22727272727272727"/>
    <n v="0.99431818181818177"/>
    <n v="0.15482954545454544"/>
    <n v="0.99715909090909083"/>
  </r>
  <r>
    <x v="446"/>
    <n v="0"/>
    <n v="704"/>
    <n v="0"/>
    <n v="160"/>
    <n v="2"/>
    <n v="702"/>
    <n v="0"/>
    <n v="109"/>
    <x v="3"/>
    <x v="11"/>
    <n v="0.22727272727272727"/>
    <n v="0.15527065527065528"/>
    <n v="544"/>
    <n v="593"/>
    <n v="0"/>
    <n v="1"/>
    <n v="0.22727272727272727"/>
    <n v="0.99715909090909094"/>
    <n v="0.15482954545454544"/>
    <n v="0.99857954545454541"/>
  </r>
  <r>
    <x v="447"/>
    <n v="0"/>
    <n v="704"/>
    <n v="0"/>
    <n v="160"/>
    <n v="2"/>
    <n v="704"/>
    <n v="0"/>
    <n v="109"/>
    <x v="3"/>
    <x v="12"/>
    <n v="0.22727272727272727"/>
    <n v="0.15482954545454544"/>
    <n v="544"/>
    <n v="595"/>
    <n v="0"/>
    <n v="1"/>
    <n v="0.22727272727272727"/>
    <n v="1"/>
    <n v="0.15482954545454544"/>
    <n v="1"/>
  </r>
  <r>
    <x v="448"/>
    <n v="0"/>
    <n v="704"/>
    <n v="0"/>
    <n v="160"/>
    <n v="0"/>
    <n v="704"/>
    <n v="0"/>
    <n v="109"/>
    <x v="3"/>
    <x v="12"/>
    <n v="0.22727272727272727"/>
    <n v="0.15482954545454544"/>
    <n v="544"/>
    <n v="595"/>
    <n v="0"/>
    <n v="1"/>
    <n v="0.22727272727272727"/>
    <n v="1"/>
    <n v="0.15482954545454544"/>
    <n v="1"/>
  </r>
  <r>
    <x v="449"/>
    <n v="0"/>
    <n v="704"/>
    <n v="0"/>
    <n v="160"/>
    <n v="0"/>
    <n v="704"/>
    <n v="0"/>
    <n v="109"/>
    <x v="3"/>
    <x v="12"/>
    <n v="0.22727272727272727"/>
    <n v="0.15482954545454544"/>
    <n v="544"/>
    <n v="595"/>
    <n v="0"/>
    <n v="1"/>
    <n v="0.22727272727272727"/>
    <n v="1"/>
    <n v="0.15482954545454544"/>
    <n v="1"/>
  </r>
  <r>
    <x v="450"/>
    <n v="0"/>
    <n v="704"/>
    <n v="0"/>
    <n v="160"/>
    <n v="0"/>
    <n v="704"/>
    <n v="0"/>
    <n v="109"/>
    <x v="3"/>
    <x v="12"/>
    <n v="0.22727272727272727"/>
    <n v="0.15482954545454544"/>
    <n v="544"/>
    <n v="595"/>
    <n v="0"/>
    <n v="1"/>
    <n v="0.22727272727272727"/>
    <n v="1"/>
    <n v="0.15482954545454544"/>
    <n v="1"/>
  </r>
  <r>
    <x v="451"/>
    <n v="0"/>
    <n v="704"/>
    <n v="0"/>
    <n v="160"/>
    <n v="0"/>
    <n v="704"/>
    <n v="0"/>
    <n v="109"/>
    <x v="3"/>
    <x v="12"/>
    <n v="0.22727272727272727"/>
    <n v="0.15482954545454544"/>
    <n v="544"/>
    <n v="595"/>
    <n v="0"/>
    <n v="1"/>
    <n v="0.22727272727272727"/>
    <n v="1"/>
    <n v="0.15482954545454544"/>
    <n v="1"/>
  </r>
  <r>
    <x v="452"/>
    <n v="0"/>
    <n v="704"/>
    <n v="0"/>
    <n v="160"/>
    <n v="0"/>
    <n v="704"/>
    <n v="0"/>
    <n v="109"/>
    <x v="3"/>
    <x v="12"/>
    <n v="0.22727272727272727"/>
    <n v="0.15482954545454544"/>
    <n v="544"/>
    <n v="595"/>
    <n v="0"/>
    <n v="1"/>
    <n v="0.22727272727272727"/>
    <n v="1"/>
    <n v="0.15482954545454544"/>
    <n v="1"/>
  </r>
  <r>
    <x v="453"/>
    <n v="0"/>
    <n v="704"/>
    <n v="0"/>
    <n v="160"/>
    <n v="0"/>
    <n v="704"/>
    <n v="0"/>
    <n v="109"/>
    <x v="3"/>
    <x v="12"/>
    <n v="0.22727272727272727"/>
    <n v="0.15482954545454544"/>
    <n v="544"/>
    <n v="595"/>
    <n v="0"/>
    <n v="1"/>
    <n v="0.22727272727272727"/>
    <n v="1"/>
    <n v="0.15482954545454544"/>
    <n v="1"/>
  </r>
  <r>
    <x v="454"/>
    <n v="0"/>
    <n v="704"/>
    <n v="0"/>
    <n v="160"/>
    <n v="0"/>
    <n v="704"/>
    <n v="0"/>
    <n v="109"/>
    <x v="3"/>
    <x v="13"/>
    <n v="0.22727272727272727"/>
    <n v="0.15482954545454544"/>
    <n v="544"/>
    <n v="595"/>
    <n v="0"/>
    <n v="1"/>
    <n v="0.22727272727272727"/>
    <n v="1"/>
    <n v="0.15482954545454544"/>
    <n v="1"/>
  </r>
  <r>
    <x v="455"/>
    <n v="0"/>
    <n v="704"/>
    <n v="0"/>
    <n v="160"/>
    <n v="0"/>
    <n v="704"/>
    <n v="0"/>
    <n v="109"/>
    <x v="3"/>
    <x v="13"/>
    <n v="0.22727272727272727"/>
    <n v="0.15482954545454544"/>
    <n v="544"/>
    <n v="595"/>
    <n v="0"/>
    <n v="1"/>
    <n v="0.22727272727272727"/>
    <n v="1"/>
    <n v="0.15482954545454544"/>
    <n v="1"/>
  </r>
  <r>
    <x v="456"/>
    <n v="0"/>
    <n v="704"/>
    <n v="0"/>
    <n v="160"/>
    <n v="0"/>
    <n v="704"/>
    <n v="0"/>
    <n v="109"/>
    <x v="3"/>
    <x v="13"/>
    <n v="0.22727272727272727"/>
    <n v="0.15482954545454544"/>
    <n v="544"/>
    <n v="595"/>
    <n v="0"/>
    <n v="1"/>
    <n v="0.22727272727272727"/>
    <n v="1"/>
    <n v="0.15482954545454544"/>
    <n v="1"/>
  </r>
  <r>
    <x v="457"/>
    <n v="0"/>
    <n v="704"/>
    <n v="0"/>
    <n v="160"/>
    <n v="0"/>
    <n v="704"/>
    <n v="0"/>
    <n v="109"/>
    <x v="3"/>
    <x v="13"/>
    <n v="0.22727272727272727"/>
    <n v="0.15482954545454544"/>
    <n v="544"/>
    <n v="595"/>
    <n v="0"/>
    <n v="1"/>
    <n v="0.22727272727272727"/>
    <n v="1"/>
    <n v="0.15482954545454544"/>
    <n v="1"/>
  </r>
  <r>
    <x v="458"/>
    <n v="0"/>
    <n v="704"/>
    <n v="0"/>
    <n v="160"/>
    <n v="0"/>
    <n v="704"/>
    <n v="0"/>
    <n v="109"/>
    <x v="3"/>
    <x v="13"/>
    <n v="0.22727272727272727"/>
    <n v="0.15482954545454544"/>
    <n v="544"/>
    <n v="595"/>
    <n v="0"/>
    <n v="1"/>
    <n v="0.22727272727272727"/>
    <n v="1"/>
    <n v="0.15482954545454544"/>
    <n v="1"/>
  </r>
  <r>
    <x v="459"/>
    <n v="0"/>
    <n v="704"/>
    <n v="0"/>
    <n v="160"/>
    <n v="0"/>
    <n v="704"/>
    <n v="0"/>
    <n v="109"/>
    <x v="3"/>
    <x v="13"/>
    <n v="0.22727272727272727"/>
    <n v="0.15482954545454544"/>
    <n v="544"/>
    <n v="595"/>
    <n v="0"/>
    <n v="1"/>
    <n v="0.22727272727272727"/>
    <n v="1"/>
    <n v="0.15482954545454544"/>
    <n v="1"/>
  </r>
  <r>
    <x v="460"/>
    <n v="0"/>
    <n v="704"/>
    <n v="0"/>
    <n v="160"/>
    <n v="0"/>
    <n v="704"/>
    <n v="0"/>
    <n v="109"/>
    <x v="3"/>
    <x v="13"/>
    <n v="0.22727272727272727"/>
    <n v="0.15482954545454544"/>
    <n v="544"/>
    <n v="595"/>
    <n v="0"/>
    <n v="1"/>
    <n v="0.22727272727272727"/>
    <n v="1"/>
    <n v="0.15482954545454544"/>
    <n v="1"/>
  </r>
  <r>
    <x v="461"/>
    <n v="0"/>
    <n v="704"/>
    <n v="0"/>
    <n v="160"/>
    <n v="0"/>
    <n v="704"/>
    <n v="0"/>
    <n v="109"/>
    <x v="3"/>
    <x v="14"/>
    <n v="0.22727272727272727"/>
    <n v="0.15482954545454544"/>
    <n v="544"/>
    <n v="595"/>
    <n v="0"/>
    <n v="1"/>
    <n v="0.22727272727272727"/>
    <n v="1"/>
    <n v="0.15482954545454544"/>
    <n v="1"/>
  </r>
  <r>
    <x v="462"/>
    <n v="0"/>
    <n v="704"/>
    <n v="0"/>
    <n v="160"/>
    <n v="0"/>
    <n v="704"/>
    <n v="0"/>
    <n v="109"/>
    <x v="3"/>
    <x v="14"/>
    <n v="0.22727272727272727"/>
    <n v="0.15482954545454544"/>
    <n v="544"/>
    <n v="595"/>
    <n v="0"/>
    <n v="1"/>
    <n v="0.22727272727272727"/>
    <n v="1"/>
    <n v="0.15482954545454544"/>
    <n v="1"/>
  </r>
  <r>
    <x v="463"/>
    <n v="0"/>
    <n v="704"/>
    <n v="0"/>
    <n v="160"/>
    <n v="0"/>
    <n v="704"/>
    <n v="0"/>
    <n v="109"/>
    <x v="3"/>
    <x v="14"/>
    <n v="0.22727272727272727"/>
    <n v="0.15482954545454544"/>
    <n v="544"/>
    <n v="595"/>
    <n v="0"/>
    <n v="1"/>
    <n v="0.22727272727272727"/>
    <n v="1"/>
    <n v="0.15482954545454544"/>
    <n v="1"/>
  </r>
  <r>
    <x v="464"/>
    <n v="0"/>
    <n v="704"/>
    <n v="0"/>
    <n v="160"/>
    <n v="0"/>
    <n v="704"/>
    <n v="0"/>
    <n v="109"/>
    <x v="3"/>
    <x v="14"/>
    <n v="0.22727272727272727"/>
    <n v="0.15482954545454544"/>
    <n v="544"/>
    <n v="595"/>
    <n v="0"/>
    <n v="1"/>
    <n v="0.22727272727272727"/>
    <n v="1"/>
    <n v="0.15482954545454544"/>
    <n v="1"/>
  </r>
  <r>
    <x v="465"/>
    <n v="0"/>
    <n v="704"/>
    <n v="0"/>
    <n v="160"/>
    <n v="0"/>
    <n v="704"/>
    <n v="0"/>
    <n v="109"/>
    <x v="3"/>
    <x v="14"/>
    <n v="0.22727272727272727"/>
    <n v="0.15482954545454544"/>
    <n v="544"/>
    <n v="595"/>
    <n v="0"/>
    <n v="1"/>
    <n v="0.22727272727272727"/>
    <n v="1"/>
    <n v="0.15482954545454544"/>
    <n v="1"/>
  </r>
  <r>
    <x v="466"/>
    <n v="0"/>
    <n v="704"/>
    <n v="0"/>
    <n v="160"/>
    <n v="0"/>
    <n v="704"/>
    <n v="0"/>
    <n v="109"/>
    <x v="3"/>
    <x v="14"/>
    <n v="0.22727272727272727"/>
    <n v="0.15482954545454544"/>
    <n v="544"/>
    <n v="595"/>
    <n v="0"/>
    <n v="1"/>
    <n v="0.22727272727272727"/>
    <n v="1"/>
    <n v="0.15482954545454544"/>
    <n v="1"/>
  </r>
  <r>
    <x v="467"/>
    <n v="0"/>
    <n v="704"/>
    <n v="0"/>
    <n v="160"/>
    <n v="0"/>
    <n v="704"/>
    <n v="0"/>
    <n v="109"/>
    <x v="3"/>
    <x v="14"/>
    <n v="0.22727272727272727"/>
    <n v="0.15482954545454544"/>
    <n v="544"/>
    <n v="595"/>
    <n v="0"/>
    <n v="1"/>
    <n v="0.22727272727272727"/>
    <n v="1"/>
    <n v="0.15482954545454544"/>
    <n v="1"/>
  </r>
  <r>
    <x v="468"/>
    <n v="0"/>
    <n v="704"/>
    <n v="0"/>
    <n v="160"/>
    <n v="0"/>
    <n v="704"/>
    <n v="0"/>
    <n v="109"/>
    <x v="3"/>
    <x v="15"/>
    <n v="0.22727272727272727"/>
    <n v="0.15482954545454544"/>
    <n v="544"/>
    <n v="595"/>
    <n v="0"/>
    <n v="1"/>
    <n v="0.22727272727272727"/>
    <n v="1"/>
    <n v="0.15482954545454544"/>
    <n v="1"/>
  </r>
  <r>
    <x v="469"/>
    <n v="0"/>
    <n v="704"/>
    <n v="0"/>
    <n v="160"/>
    <n v="0"/>
    <n v="704"/>
    <n v="0"/>
    <n v="109"/>
    <x v="3"/>
    <x v="15"/>
    <n v="0.22727272727272727"/>
    <n v="0.15482954545454544"/>
    <n v="544"/>
    <n v="595"/>
    <n v="0"/>
    <n v="1"/>
    <n v="0.22727272727272727"/>
    <n v="1"/>
    <n v="0.15482954545454544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7">
  <r>
    <x v="0"/>
    <s v="030253X"/>
    <s v="PINO IMPREGNADO SECO CEPILLADO G2 3 x 8&quot; x 3,20 (65 x 138 )"/>
    <s v="PZA"/>
    <m/>
    <n v="3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0"/>
    <n v="304101"/>
    <s v="PLACA LP OSB STANDAR 1.22 x2.44 x 9.5 MM APA PT-OECA095   (84 PL.xPAQ)"/>
    <s v="PL"/>
    <n v="1825"/>
    <n v="0.5"/>
    <n v="118"/>
    <x v="1"/>
    <n v="1922"/>
    <n v="1804"/>
    <n v="47.643749999999976"/>
    <n v="37.864357864357885"/>
    <n v="2.4767152039879323"/>
    <n v="40.341073068345814"/>
    <s v=""/>
    <n v="9649.1185596629002"/>
    <s v=""/>
    <n v="1138595.9900402222"/>
  </r>
  <r>
    <x v="0"/>
    <n v="302044"/>
    <s v="PINO IMPREGNADO SECO CEPILLADO G2 2 x 8&quot; x 4,00 (41 x 185 )"/>
    <s v="PZA"/>
    <n v="1754"/>
    <m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9250000000000038E-2"/>
    <n v="452"/>
    <x v="3"/>
    <n v="1693"/>
    <n v="1241"/>
    <n v="34.912500000000023"/>
    <n v="35.546007876834921"/>
    <n v="12.946652345148577"/>
    <n v="48.492660221983499"/>
    <s v=""/>
    <n v="5690.5508432539682"/>
    <s v=""/>
    <n v="2572128.9811507938"/>
  </r>
  <r>
    <x v="0"/>
    <n v="302028"/>
    <s v="PINO IMPREGNADO SECO CEPILLADO G2 2 x 4&quot; x 3,20 (41 x 90 )"/>
    <s v="PZA"/>
    <n v="7561"/>
    <n v="0.22500000000000006"/>
    <n v="324"/>
    <x v="4"/>
    <n v="7658"/>
    <n v="7334"/>
    <n v="172.72499999999994"/>
    <n v="42.460558691561744"/>
    <n v="1.8758141554494145"/>
    <n v="44.336372847011162"/>
    <s v=""/>
    <n v="4769.5117820983787"/>
    <s v=""/>
    <n v="1545321.8173998748"/>
  </r>
  <r>
    <x v="0"/>
    <n v="304049"/>
    <s v="TERCIADO FENOLICO CD DE 1,22 X 2,44 X 15 mm (65 PL X PQTE)"/>
    <s v="PL"/>
    <n v="585"/>
    <n v="5.5999999999999982E-3"/>
    <n v="165"/>
    <x v="5"/>
    <n v="812"/>
    <n v="647"/>
    <n v="23.273250000000008"/>
    <n v="27.800156832414888"/>
    <n v="7.089684509039345"/>
    <n v="34.889841341454236"/>
    <s v=""/>
    <n v="15095.117424242424"/>
    <s v=""/>
    <n v="2490694.375"/>
  </r>
  <r>
    <x v="0"/>
    <n v="304007"/>
    <s v="PLACA OSB STANDARD DE 1.22 x 2.44 x 11.1 MM ( 72 X PAQUETE )"/>
    <s v="PL"/>
    <n v="612"/>
    <n v="22"/>
    <n v="107"/>
    <x v="6"/>
    <n v="709"/>
    <n v="602"/>
    <n v="8.6625000000000014"/>
    <n v="69.494949494949481"/>
    <n v="12.352092352092351"/>
    <n v="81.847041847041837"/>
    <s v=""/>
    <n v="11497.288819875776"/>
    <s v=""/>
    <n v="1230209.9037267079"/>
  </r>
  <r>
    <x v="0"/>
    <n v="701096"/>
    <s v="PLANCHA YESO CARTON VOLCAN RF 122 x 2.44 x 15 LINEN GREY BORDE CUADRADO 70 PLXPALLET SKU 5002205"/>
    <s v="PL"/>
    <n v="910"/>
    <n v="0.25"/>
    <n v="185"/>
    <x v="7"/>
    <n v="1007"/>
    <n v="822"/>
    <n v="31.237499999999997"/>
    <n v="26.314525810324131"/>
    <n v="5.9223689475790318"/>
    <n v="32.236894757903165"/>
    <s v=""/>
    <n v="16231.199726402188"/>
    <s v=""/>
    <n v="3002771.9493844048"/>
  </r>
  <r>
    <x v="0"/>
    <n v="302046"/>
    <s v="PINO IMPREGNADO SECO CEPILLADO G2 2 x 6&quot; x 4,00 (41 x 138 )"/>
    <s v="PZA"/>
    <n v="2173"/>
    <n v="4"/>
    <n v="131"/>
    <x v="8"/>
    <n v="2270"/>
    <n v="2139"/>
    <n v="34.65"/>
    <n v="61.731601731601735"/>
    <n v="3.7806637806637808"/>
    <n v="65.512265512265515"/>
    <s v=""/>
    <n v="10289.047343394666"/>
    <s v=""/>
    <n v="1347865.2019847012"/>
  </r>
  <r>
    <x v="0"/>
    <n v="701043"/>
    <s v="PLANCHA YESO CARTON VOLCAN RF 1.22 x 3.40 x 15MM WHITE BORDE CUADRADO (40PLXPQ) SKU 5002142"/>
    <s v="PL "/>
    <n v="396"/>
    <n v="4.5"/>
    <n v="62"/>
    <x v="9"/>
    <n v="493"/>
    <n v="431"/>
    <n v="7.0875000000000012"/>
    <n v="60.811287477954131"/>
    <n v="8.7477954144620789"/>
    <n v="69.559082892416214"/>
    <s v=""/>
    <n v="22537.549256505576"/>
    <s v=""/>
    <n v="1397328.0539033457"/>
  </r>
  <r>
    <x v="1"/>
    <s v="030253X"/>
    <s v="PINO IMPREGNADO SECO CEPILLADO G2 3 x 8&quot; x 3,20 (65 x 138 )"/>
    <s v="PZA"/>
    <n v="388"/>
    <n v="0.33250000000000002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1"/>
    <n v="1901008"/>
    <s v="AISLAN  GLASS 90 MM 0.375x12 MTS . DENSIDAD 14 KG/M3 (13.5 M2 X BOLSA) SKU 4000147"/>
    <s v="M2"/>
    <n v="3494"/>
    <n v="0.56100000000000005"/>
    <n v="32"/>
    <x v="10"/>
    <n v="3591"/>
    <n v="3559"/>
    <n v="62.430325650000007"/>
    <n v="57.007551425450551"/>
    <n v="0.5125714092763185"/>
    <n v="57.52012283472687"/>
    <s v=""/>
    <n v="2062.9827561636025"/>
    <s v=""/>
    <n v="66015.448197235281"/>
  </r>
  <r>
    <x v="1"/>
    <n v="304002"/>
    <s v="PLACA SMART SIDE R-4 SPC-M111 DE 1.220X2.440X11.1 MM (72 PL.POR PALLET )"/>
    <s v="PL"/>
    <n v="1247"/>
    <m/>
    <n v="233"/>
    <x v="11"/>
    <n v="1344"/>
    <n v="1111"/>
    <n v="23.296874999999996"/>
    <n v="47.68879946344736"/>
    <n v="10.001341381623073"/>
    <n v="57.690140845070431"/>
    <s v=""/>
    <n v="21604.880388238653"/>
    <s v=""/>
    <n v="5033937.1304596057"/>
  </r>
  <r>
    <x v="1"/>
    <n v="304007"/>
    <s v="PLACA OSB STANDARD DE 1.22 x 2.44 x 11.1 MM ( 72 X PAQUETE )"/>
    <s v="PL"/>
    <n v="684"/>
    <n v="0.25"/>
    <n v="91"/>
    <x v="6"/>
    <n v="781"/>
    <n v="690"/>
    <n v="8.6625000000000014"/>
    <n v="79.653679653679646"/>
    <n v="10.505050505050503"/>
    <n v="90.158730158730137"/>
    <s v=""/>
    <n v="11497.288819875776"/>
    <s v=""/>
    <n v="1046253.2826086956"/>
  </r>
  <r>
    <x v="1"/>
    <n v="701043"/>
    <s v="PLANCHA YESO CARTON VOLCAN RF 1.22 x 3.40 x 15MM WHITE BORDE CUADRADO (40PLXPQ) SKU 5002142"/>
    <s v="PL "/>
    <n v="476"/>
    <n v="0.16500000000000001"/>
    <n v="58"/>
    <x v="9"/>
    <n v="573"/>
    <n v="515"/>
    <n v="7.0875000000000012"/>
    <n v="72.663139329805986"/>
    <n v="8.1834215167548479"/>
    <n v="80.846560846560834"/>
    <s v=""/>
    <n v="22537.549256505576"/>
    <s v=""/>
    <n v="1307177.8568773235"/>
  </r>
  <r>
    <x v="1"/>
    <n v="302046"/>
    <s v="PINO IMPREGNADO SECO CEPILLADO G2 2 x 6&quot; x 4,00 (41 x 138 )"/>
    <s v="PZA"/>
    <n v="2509"/>
    <n v="0.25"/>
    <n v="398"/>
    <x v="8"/>
    <n v="2606"/>
    <n v="2208"/>
    <n v="34.65"/>
    <n v="63.722943722943725"/>
    <n v="11.486291486291487"/>
    <n v="75.209235209235217"/>
    <s v=""/>
    <n v="10289.047343394666"/>
    <s v=""/>
    <n v="4095040.8426710772"/>
  </r>
  <r>
    <x v="2"/>
    <n v="304007"/>
    <s v="PLACA OSB STANDARD DE 1.22 x 2.44 x 11.1 MM ( 72 X PAQUETE )"/>
    <s v="PL"/>
    <n v="684"/>
    <n v="1.0800000000000002E-2"/>
    <n v="127"/>
    <x v="6"/>
    <n v="781"/>
    <n v="654"/>
    <n v="8.6625000000000014"/>
    <n v="75.497835497835482"/>
    <n v="14.660894660894659"/>
    <n v="90.158730158730137"/>
    <s v=""/>
    <n v="11497.288819875776"/>
    <s v=""/>
    <n v="1460155.6801242235"/>
  </r>
  <r>
    <x v="2"/>
    <n v="701043"/>
    <s v="PLANCHA YESO CARTON VOLCAN RF 1.22 x 3.40 x 15MM WHITE BORDE CUADRADO (40PLXPQ) SKU 5002142"/>
    <s v="PL "/>
    <n v="556"/>
    <n v="0.5"/>
    <n v="104"/>
    <x v="9"/>
    <n v="653"/>
    <n v="549"/>
    <n v="7.0875000000000012"/>
    <n v="77.460317460317441"/>
    <n v="14.673721340388004"/>
    <n v="92.134038800705454"/>
    <s v=""/>
    <n v="22537.549256505576"/>
    <s v=""/>
    <n v="2343905.1226765797"/>
  </r>
  <r>
    <x v="2"/>
    <n v="302046"/>
    <s v="PINO IMPREGNADO SECO CEPILLADO G2 2 x 6&quot; x 4,00 (41 x 138 )"/>
    <s v="PZA"/>
    <n v="2509"/>
    <n v="8.4000000000000012E-3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2"/>
    <n v="302010"/>
    <s v="PINO IMPREGNADO SECO CEPILLADO G2 2 x 6&quot; x 3,20 (41 x 138 )"/>
    <s v="PZA"/>
    <n v="2184"/>
    <n v="8.4000000000000012E-3"/>
    <n v="168"/>
    <x v="3"/>
    <n v="1693"/>
    <n v="1525"/>
    <n v="34.912500000000023"/>
    <n v="43.680630146795529"/>
    <n v="4.812030075187967"/>
    <n v="48.492660221983499"/>
    <s v=""/>
    <n v="5690.5508432539682"/>
    <s v=""/>
    <n v="956012.54166666663"/>
  </r>
  <r>
    <x v="2"/>
    <n v="1901008"/>
    <s v="AISLAN  GLASS 90 MM 0.375x12 MTS . DENSIDAD 14 KG/M3 (13.5 M2 X BOLSA) SKU 4000147"/>
    <s v="M2"/>
    <n v="3696"/>
    <n v="0.25"/>
    <n v="27"/>
    <x v="10"/>
    <n v="3793"/>
    <n v="3766"/>
    <n v="62.430325650000007"/>
    <n v="60.323247729206734"/>
    <n v="0.43248212657689378"/>
    <n v="60.755729855783628"/>
    <s v=""/>
    <n v="2062.9827561636025"/>
    <s v=""/>
    <n v="55700.534416417271"/>
  </r>
  <r>
    <x v="2"/>
    <n v="304002"/>
    <s v="PLACA SMART SIDE R-4 SPC-M111 DE 1.220X2.440X11.1 MM (72 PL.POR PALLET )"/>
    <s v="PL"/>
    <n v="1319"/>
    <m/>
    <n v="311"/>
    <x v="11"/>
    <n v="1416"/>
    <n v="1105"/>
    <n v="23.296874999999996"/>
    <n v="47.43125419181758"/>
    <n v="13.349429912810196"/>
    <n v="60.780684104627774"/>
    <s v=""/>
    <n v="21604.880388238653"/>
    <s v=""/>
    <n v="6719117.8007422211"/>
  </r>
  <r>
    <x v="2"/>
    <n v="304101"/>
    <s v="PLACA LP OSB STANDAR 1.22 x2.44 x 9.5 MM APA PT-OECA095   (84 PL.xPAQ)"/>
    <s v="PL"/>
    <n v="2413"/>
    <n v="0.25"/>
    <n v="232"/>
    <x v="1"/>
    <n v="2510"/>
    <n v="2278"/>
    <n v="47.643749999999976"/>
    <n v="47.813196904106022"/>
    <n v="4.8694739603830541"/>
    <n v="52.682670864489076"/>
    <s v=""/>
    <n v="9649.1185596629002"/>
    <s v=""/>
    <n v="2238595.505841793"/>
  </r>
  <r>
    <x v="2"/>
    <n v="302028"/>
    <s v="PINO IMPREGNADO SECO CEPILLADO G2 2 x 4&quot; x 3,20 (41 x 90 )"/>
    <s v="PZA"/>
    <n v="8641"/>
    <n v="0.10000000000000002"/>
    <n v="134"/>
    <x v="4"/>
    <n v="8138"/>
    <n v="8004"/>
    <n v="172.72499999999994"/>
    <n v="46.339557099435538"/>
    <n v="0.77579968157475787"/>
    <n v="47.115356781010291"/>
    <s v=""/>
    <n v="4769.5117820983787"/>
    <s v=""/>
    <n v="639114.5788011828"/>
  </r>
  <r>
    <x v="2"/>
    <n v="304049"/>
    <s v="TERCIADO FENOLICO CD DE 1,22 X 2,44 X 15 mm (65 PL X PQTE)"/>
    <s v="PL"/>
    <n v="975"/>
    <n v="3.25"/>
    <n v="87"/>
    <x v="5"/>
    <n v="1072"/>
    <n v="985"/>
    <n v="23.273250000000008"/>
    <n v="42.323268129719729"/>
    <n v="3.738197286584382"/>
    <n v="46.06146541630411"/>
    <s v=""/>
    <n v="15095.117424242424"/>
    <s v=""/>
    <n v="1313275.2159090908"/>
  </r>
  <r>
    <x v="2"/>
    <n v="701096"/>
    <s v="PLANCHA YESO CARTON VOLCAN RF 122 x 2.44 x 15 LINEN GREY BORDE CUADRADO 70 PLXPALLET SKU 5002205"/>
    <s v="PL"/>
    <n v="1260"/>
    <n v="36"/>
    <n v="81"/>
    <x v="7"/>
    <n v="1357"/>
    <n v="1276"/>
    <n v="31.237499999999997"/>
    <n v="40.848339335734295"/>
    <n v="2.5930372148859546"/>
    <n v="43.441376550620255"/>
    <s v=""/>
    <n v="16231.199726402188"/>
    <s v=""/>
    <n v="1314727.1778385772"/>
  </r>
  <r>
    <x v="3"/>
    <n v="304007"/>
    <s v="PLACA OSB STANDARD DE 1.22 x 2.44 x 11.1 MM ( 72 X PAQUETE )"/>
    <s v="PL"/>
    <n v="684"/>
    <n v="0.375"/>
    <n v="103"/>
    <x v="6"/>
    <n v="781"/>
    <n v="678"/>
    <n v="8.6625000000000014"/>
    <n v="78.268398268398258"/>
    <n v="11.890331890331888"/>
    <n v="90.158730158730137"/>
    <s v=""/>
    <n v="11497.288819875776"/>
    <s v=""/>
    <n v="1184220.7484472049"/>
  </r>
  <r>
    <x v="3"/>
    <n v="701043"/>
    <s v="PLANCHA YESO CARTON VOLCAN RF 1.22 x 3.40 x 15MM WHITE BORDE CUADRADO (40PLXPQ) SKU 5002142"/>
    <s v="PL "/>
    <n v="596"/>
    <n v="36"/>
    <n v="109"/>
    <x v="9"/>
    <n v="693"/>
    <n v="584"/>
    <n v="7.0875000000000012"/>
    <n v="82.39858906525572"/>
    <n v="15.379188712522042"/>
    <n v="97.777777777777757"/>
    <s v=""/>
    <n v="22537.549256505576"/>
    <s v=""/>
    <n v="2456592.8689591079"/>
  </r>
  <r>
    <x v="3"/>
    <n v="302046"/>
    <s v="PINO IMPREGNADO SECO CEPILLADO G2 2 x 6&quot; x 4,00 (41 x 138 )"/>
    <s v="PZA"/>
    <n v="2509"/>
    <n v="0.33150000000000007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3"/>
    <n v="302010"/>
    <s v="PINO IMPREGNADO SECO CEPILLADO G2 2 x 6&quot; x 3,20 (41 x 138 )"/>
    <s v="PZA"/>
    <n v="1596"/>
    <n v="0.33150000000000007"/>
    <n v="0"/>
    <x v="3"/>
    <n v="1861"/>
    <n v="1861"/>
    <n v="34.912500000000023"/>
    <n v="53.304690297171469"/>
    <n v="0"/>
    <n v="53.304690297171469"/>
    <s v=""/>
    <n v="5690.5508432539682"/>
    <s v=""/>
    <n v="0"/>
  </r>
  <r>
    <x v="3"/>
    <n v="1901008"/>
    <s v="AISLAN  GLASS 90 MM 0.375x12 MTS . DENSIDAD 14 KG/M3 (13.5 M2 X BOLSA) SKU 4000147"/>
    <s v="M2"/>
    <n v="3696"/>
    <n v="0.4375"/>
    <n v="6"/>
    <x v="10"/>
    <n v="3793"/>
    <n v="3787"/>
    <n v="62.430325650000007"/>
    <n v="60.65962271654432"/>
    <n v="9.6107139239309719E-2"/>
    <n v="60.755729855783628"/>
    <s v=""/>
    <n v="2062.9827561636025"/>
    <s v=""/>
    <n v="12377.896536981614"/>
  </r>
  <r>
    <x v="3"/>
    <n v="304002"/>
    <s v="PLACA SMART SIDE R-4 SPC-M111 DE 1.220X2.440X11.1 MM (72 PL.POR PALLET )"/>
    <s v="PL"/>
    <n v="1319"/>
    <m/>
    <n v="219"/>
    <x v="11"/>
    <n v="1488"/>
    <n v="1269"/>
    <n v="23.296874999999996"/>
    <n v="54.470824949698198"/>
    <n v="9.4004024144869227"/>
    <n v="63.871227364185117"/>
    <s v=""/>
    <n v="21604.880388238653"/>
    <s v=""/>
    <n v="4731468.8050242653"/>
  </r>
  <r>
    <x v="3"/>
    <n v="304101"/>
    <s v="PLACA LP OSB STANDAR 1.22 x2.44 x 9.5 MM APA PT-OECA095   (84 PL.xPAQ)"/>
    <s v="PL"/>
    <n v="2665"/>
    <n v="36"/>
    <n v="279"/>
    <x v="1"/>
    <n v="2930"/>
    <n v="2651"/>
    <n v="47.643749999999976"/>
    <n v="55.642135642135671"/>
    <n v="5.8559622195985863"/>
    <n v="61.498097861734259"/>
    <s v=""/>
    <n v="9649.1185596629002"/>
    <s v=""/>
    <n v="2692104.0781459492"/>
  </r>
  <r>
    <x v="3"/>
    <n v="302028"/>
    <s v="PINO IMPREGNADO SECO CEPILLADO G2 2 x 4&quot; x 3,20 (41 x 90 )"/>
    <s v="PZA"/>
    <n v="8041"/>
    <n v="2.625"/>
    <n v="0"/>
    <x v="4"/>
    <n v="8138"/>
    <n v="8138"/>
    <n v="172.72499999999994"/>
    <n v="47.115356781010291"/>
    <n v="0"/>
    <n v="47.115356781010291"/>
    <s v=""/>
    <n v="4769.5117820983787"/>
    <s v=""/>
    <n v="0"/>
  </r>
  <r>
    <x v="3"/>
    <n v="304049"/>
    <s v="TERCIADO FENOLICO CD DE 1,22 X 2,44 X 15 mm (65 PL X PQTE)"/>
    <s v="PL"/>
    <n v="1105"/>
    <n v="71"/>
    <n v="115"/>
    <x v="5"/>
    <n v="1202"/>
    <n v="1087"/>
    <n v="23.273250000000008"/>
    <n v="46.705982189853138"/>
    <n v="4.9412952638759071"/>
    <n v="51.647277453729046"/>
    <s v=""/>
    <n v="15095.117424242424"/>
    <s v=""/>
    <n v="1735938.5037878787"/>
  </r>
  <r>
    <x v="3"/>
    <n v="701096"/>
    <s v="PLANCHA YESO CARTON VOLCAN RF 122 x 2.44 x 15 LINEN GREY BORDE CUADRADO 70 PLXPALLET SKU 5002205"/>
    <s v="PL"/>
    <n v="1400"/>
    <n v="4.4000000000000003E-3"/>
    <n v="208"/>
    <x v="7"/>
    <n v="1497"/>
    <n v="1289"/>
    <n v="31.237499999999997"/>
    <n v="41.264505802320933"/>
    <n v="6.6586634653861552"/>
    <n v="47.923169267707088"/>
    <s v=""/>
    <n v="16231.199726402188"/>
    <s v=""/>
    <n v="3376089.5430916552"/>
  </r>
  <r>
    <x v="4"/>
    <n v="304007"/>
    <s v="PLACA OSB STANDARD DE 1.22 x 2.44 x 11.1 MM ( 72 X PAQUETE )"/>
    <s v="PL"/>
    <n v="972"/>
    <n v="2.5000000000000005E-2"/>
    <n v="339"/>
    <x v="6"/>
    <n v="1069"/>
    <n v="730"/>
    <n v="8.6625000000000014"/>
    <n v="84.271284271284259"/>
    <n v="39.134199134199129"/>
    <n v="123.40548340548338"/>
    <n v="95.754056749727752"/>
    <n v="11497.288819875776"/>
    <n v="1100912.0461263955"/>
    <n v="3897580.9099378879"/>
  </r>
  <r>
    <x v="4"/>
    <n v="701043"/>
    <s v="PLANCHA YESO CARTON VOLCAN RF 1.22 x 3.40 x 15MM WHITE BORDE CUADRADO (40PLXPQ) SKU 5002142"/>
    <s v="PL "/>
    <n v="676"/>
    <n v="4.5"/>
    <n v="120"/>
    <x v="9"/>
    <n v="773"/>
    <n v="653"/>
    <n v="7.0875000000000012"/>
    <n v="92.134038800705454"/>
    <n v="16.931216931216927"/>
    <n v="109.06525573192238"/>
    <s v=""/>
    <n v="22537.549256505576"/>
    <s v=""/>
    <n v="2704505.9107806692"/>
  </r>
  <r>
    <x v="4"/>
    <n v="302046"/>
    <s v="PINO IMPREGNADO SECO CEPILLADO G2 2 x 6&quot; x 4,00 (41 x 138 )"/>
    <s v="PZA"/>
    <n v="3181"/>
    <n v="0.25"/>
    <n v="434"/>
    <x v="8"/>
    <n v="3278"/>
    <n v="2844"/>
    <n v="34.65"/>
    <n v="82.077922077922082"/>
    <n v="12.525252525252526"/>
    <n v="94.603174603174608"/>
    <s v=""/>
    <n v="10289.047343394666"/>
    <s v=""/>
    <n v="4465446.5470332848"/>
  </r>
  <r>
    <x v="4"/>
    <n v="302010"/>
    <s v="PINO IMPREGNADO SECO CEPILLADO G2 2 x 6&quot; x 3,20 (41 x 138 )"/>
    <s v="PZA"/>
    <n v="1848"/>
    <n v="0.25"/>
    <n v="0"/>
    <x v="3"/>
    <n v="1945"/>
    <n v="1945"/>
    <n v="34.912500000000023"/>
    <n v="55.71070533476545"/>
    <n v="0"/>
    <n v="55.71070533476545"/>
    <s v=""/>
    <n v="5690.5508432539682"/>
    <s v=""/>
    <n v="0"/>
  </r>
  <r>
    <x v="4"/>
    <n v="1901008"/>
    <s v="AISLAN  GLASS 90 MM 0.375x12 MTS . DENSIDAD 14 KG/M3 (13.5 M2 X BOLSA) SKU 4000147"/>
    <s v="M2"/>
    <n v="4236"/>
    <n v="0.25"/>
    <n v="26"/>
    <x v="10"/>
    <n v="4333"/>
    <n v="4307"/>
    <n v="62.430325650000007"/>
    <n v="68.988908117284495"/>
    <n v="0.41646427003700881"/>
    <n v="69.405372387321506"/>
    <s v=""/>
    <n v="2062.9827561636025"/>
    <s v=""/>
    <n v="53637.551660253666"/>
  </r>
  <r>
    <x v="4"/>
    <n v="304002"/>
    <s v="PLACA SMART SIDE R-4 SPC-M111 DE 1.220X2.440X11.1 MM (72 PL.POR PALLET )"/>
    <s v="PL"/>
    <n v="1391"/>
    <m/>
    <n v="248"/>
    <x v="11"/>
    <n v="1488"/>
    <n v="1240"/>
    <n v="23.296874999999996"/>
    <n v="53.226022803487602"/>
    <n v="10.64520456069752"/>
    <n v="63.871227364185117"/>
    <s v=""/>
    <n v="21604.880388238653"/>
    <s v=""/>
    <n v="5358010.3362831855"/>
  </r>
  <r>
    <x v="4"/>
    <n v="304101"/>
    <s v="PLACA LP OSB STANDAR 1.22 x2.44 x 9.5 MM APA PT-OECA095   (84 PL.xPAQ)"/>
    <s v="PL"/>
    <n v="3169"/>
    <n v="4.4000000000000003E-3"/>
    <n v="525"/>
    <x v="1"/>
    <n v="3266"/>
    <n v="2741"/>
    <n v="47.643749999999976"/>
    <n v="57.531155712973927"/>
    <n v="11.019283746556479"/>
    <n v="68.550439459530409"/>
    <s v=""/>
    <n v="9649.1185596629002"/>
    <s v=""/>
    <n v="5065787.2438230226"/>
  </r>
  <r>
    <x v="4"/>
    <n v="302028"/>
    <s v="PINO IMPREGNADO SECO CEPILLADO G2 2 x 4&quot; x 3,20 (41 x 90 )"/>
    <s v="PZA"/>
    <n v="8281"/>
    <n v="4.5"/>
    <n v="0"/>
    <x v="4"/>
    <n v="8378"/>
    <n v="8378"/>
    <n v="172.72499999999994"/>
    <n v="48.504848748009863"/>
    <n v="0"/>
    <n v="48.504848748009863"/>
    <s v=""/>
    <n v="4769.5117820983787"/>
    <s v=""/>
    <n v="0"/>
  </r>
  <r>
    <x v="4"/>
    <n v="304049"/>
    <s v="TERCIADO FENOLICO CD DE 1,22 X 2,44 X 15 mm (65 PL X PQTE)"/>
    <s v="PL"/>
    <n v="1365"/>
    <n v="0.33150000000000007"/>
    <n v="165"/>
    <x v="5"/>
    <n v="1462"/>
    <n v="1297"/>
    <n v="23.273250000000008"/>
    <n v="55.729217019539583"/>
    <n v="7.089684509039345"/>
    <n v="62.818901528578927"/>
    <s v=""/>
    <n v="15095.117424242424"/>
    <s v=""/>
    <n v="2490694.375"/>
  </r>
  <r>
    <x v="4"/>
    <n v="701096"/>
    <s v="PLANCHA YESO CARTON VOLCAN RF 122 x 2.44 x 15 LINEN GREY BORDE CUADRADO 70 PLXPALLET SKU 5002205"/>
    <s v="PL"/>
    <n v="1610"/>
    <n v="0.5"/>
    <n v="195"/>
    <x v="7"/>
    <n v="1777"/>
    <n v="1582"/>
    <n v="31.237499999999997"/>
    <n v="50.644257703081237"/>
    <n v="6.2424969987995205"/>
    <n v="56.886754701880754"/>
    <s v=""/>
    <n v="16231.199726402188"/>
    <s v=""/>
    <n v="3165083.9466484268"/>
  </r>
  <r>
    <x v="4"/>
    <n v="701040"/>
    <s v="PLANCHA YESO CARTON RF 1.22x2.44x15 BORDE CUADRADO S/PAPEL ( 2,9768 M2 X PL=70 PLX PQTE) SKU 5001097"/>
    <s v=""/>
    <n v="815"/>
    <n v="0.5"/>
    <n v="126"/>
    <x v="12"/>
    <n v="912"/>
    <n v="786"/>
    <n v="4.2840000000000007"/>
    <n v="183.47338935574226"/>
    <n v="29.411764705882348"/>
    <n v="212.8851540616246"/>
    <n v="60.306920153682405"/>
    <n v="7627.9022026431721"/>
    <n v="460015.28907489992"/>
    <n v="961115.67753303971"/>
  </r>
  <r>
    <x v="4"/>
    <n v="1902003"/>
    <s v="TYPAR VOLCANWRAP ROLLO DE 2,743 x 45,72 MTS ( 125 M2 x ROLLO ) SKU 7000031"/>
    <s v="RLL"/>
    <n v="51"/>
    <n v="0.25"/>
    <n v="15"/>
    <x v="13"/>
    <n v="148"/>
    <n v="133"/>
    <n v="0.41466600000000009"/>
    <n v="320.74006549849753"/>
    <n v="36.173691597574908"/>
    <n v="356.9137570960724"/>
    <n v="-750.7258784083391"/>
    <n v="150758.376146789"/>
    <n v="-113178214.36021297"/>
    <n v="2261375.6422018348"/>
  </r>
  <r>
    <x v="4"/>
    <s v="030253X"/>
    <s v="PINO SYP GRADO 2 PRIME IMPREGNADO DE  3&quot; x 8&quot; x 10' (63x184 mm)"/>
    <s v="PZA"/>
    <n v="488"/>
    <n v="0.25"/>
    <n v="44"/>
    <x v="0"/>
    <n v="625"/>
    <n v="581"/>
    <n v="6.3000000000000007"/>
    <n v="92.222222222222214"/>
    <n v="6.9841269841269833"/>
    <n v="99.206349206349202"/>
    <s v=""/>
    <n v="15443.519144144144"/>
    <s v=""/>
    <n v="679514.84234234237"/>
  </r>
  <r>
    <x v="4"/>
    <n v="701084"/>
    <s v="FIBROCEMENTO LISO 1.2 x 2.40 x 22 MM (VOLCAN)"/>
    <s v=""/>
    <n v="52"/>
    <n v="0.25"/>
    <n v="20"/>
    <x v="14"/>
    <n v="149"/>
    <n v="129"/>
    <n v="0.69825000000000004"/>
    <n v="184.74758324382384"/>
    <n v="28.643036161833152"/>
    <n v="213.39061940565699"/>
    <n v="-195.60776141161045"/>
    <n v="39468.96212121212"/>
    <n v="-7720435.3257699506"/>
    <n v="789379.24242424243"/>
  </r>
  <r>
    <x v="4"/>
    <n v="5309018"/>
    <s v="CINTA POLIESTER DE 2&quot; COLOR VERDE (ROLLO= 100 mt=15 kg)"/>
    <s v="RLL"/>
    <n v="2300"/>
    <n v="16.75"/>
    <n v="200"/>
    <x v="13"/>
    <n v="2397"/>
    <n v="2197"/>
    <n v="34.649999999999991"/>
    <n v="63.405483405483423"/>
    <n v="5.7720057720057731"/>
    <n v="69.177489177489193"/>
    <s v=""/>
    <n v="707.86891891891889"/>
    <s v=""/>
    <n v="141573.78378378379"/>
  </r>
  <r>
    <x v="4"/>
    <n v="1902014"/>
    <s v="VOLCOGLASS X RH 1,20 x 2,40 x 15MM BORDE"/>
    <s v="PL"/>
    <n v="360"/>
    <n v="0.25"/>
    <n v="92"/>
    <x v="15"/>
    <n v="457"/>
    <n v="365"/>
    <n v="5.5125000000000002"/>
    <n v="66.213151927437636"/>
    <n v="16.689342403628117"/>
    <n v="82.902494331065753"/>
    <s v=""/>
    <n v="29799.757692307692"/>
    <s v=""/>
    <n v="2741577.7076923079"/>
  </r>
  <r>
    <x v="5"/>
    <n v="304007"/>
    <s v="PLACA OSB STANDARD DE 1.22 x 2.44 x 11.1 MM ( 72 X PAQUETE )"/>
    <s v="PL"/>
    <n v="972"/>
    <n v="0.56100000000000005"/>
    <n v="168"/>
    <x v="6"/>
    <n v="1069"/>
    <n v="901"/>
    <n v="8.6625000000000014"/>
    <n v="104.01154401154399"/>
    <n v="19.393939393939391"/>
    <n v="123.40548340548338"/>
    <n v="95.754056749727752"/>
    <n v="11497.288819875776"/>
    <n v="1100912.0461263955"/>
    <n v="1931544.5217391304"/>
  </r>
  <r>
    <x v="5"/>
    <n v="701043"/>
    <s v="PLANCHA YESO CARTON VOLCAN RF 1.22 x 3.40 x 15MM WHITE BORDE CUADRADO (40PLXPQ) SKU 5002142"/>
    <s v="PL "/>
    <n v="716"/>
    <n v="4.4000000000000003E-3"/>
    <n v="110"/>
    <x v="9"/>
    <n v="813"/>
    <n v="703"/>
    <n v="7.0875000000000012"/>
    <n v="99.188712522045833"/>
    <n v="15.520282186948851"/>
    <n v="114.70899470899469"/>
    <n v="93.815309388501632"/>
    <n v="22537.549256505576"/>
    <n v="2114367.1563576655"/>
    <n v="2479130.4182156133"/>
  </r>
  <r>
    <x v="5"/>
    <n v="302046"/>
    <s v="PINO IMPREGNADO SECO CEPILLADO G2 2 x 6&quot; x 4,00 (41 x 138 )"/>
    <s v="PZA"/>
    <n v="3181"/>
    <n v="2.125"/>
    <n v="0"/>
    <x v="8"/>
    <n v="3278"/>
    <n v="3278"/>
    <n v="34.65"/>
    <n v="94.603174603174608"/>
    <n v="0"/>
    <n v="94.603174603174608"/>
    <s v=""/>
    <n v="10289.047343394666"/>
    <s v=""/>
    <n v="0"/>
  </r>
  <r>
    <x v="5"/>
    <n v="302010"/>
    <s v="PINO IMPREGNADO SECO CEPILLADO G2 2 x 6&quot; x 3,20 (41 x 138 )"/>
    <s v="PZA"/>
    <n v="2184"/>
    <n v="2.125"/>
    <n v="168"/>
    <x v="3"/>
    <n v="2281"/>
    <n v="2113"/>
    <n v="34.912500000000023"/>
    <n v="60.522735409953412"/>
    <n v="4.812030075187967"/>
    <n v="65.334765485141389"/>
    <s v=""/>
    <n v="5690.5508432539682"/>
    <s v=""/>
    <n v="956012.54166666663"/>
  </r>
  <r>
    <x v="5"/>
    <n v="1901008"/>
    <s v="AISLAN  GLASS 90 MM 0.375x12 MTS . DENSIDAD 14 KG/M3 (13.5 M2 X BOLSA) SKU 4000147"/>
    <s v="M2"/>
    <n v="4641"/>
    <n v="2.7083333333333341E-2"/>
    <n v="0"/>
    <x v="10"/>
    <n v="4738"/>
    <n v="4738"/>
    <n v="62.430325650000007"/>
    <n v="75.892604285974912"/>
    <n v="0"/>
    <n v="75.892604285974912"/>
    <s v=""/>
    <n v="2062.9827561636025"/>
    <s v=""/>
    <n v="0"/>
  </r>
  <r>
    <x v="5"/>
    <n v="304002"/>
    <s v="PLACA SMART SIDE R-4 SPC-M111 DE 1.220X2.440X11.1 MM (72 PL.POR PALLET )"/>
    <s v="PL"/>
    <n v="1607"/>
    <m/>
    <n v="546"/>
    <x v="11"/>
    <n v="1992"/>
    <n v="1446"/>
    <n v="23.296874999999996"/>
    <n v="62.068410462776669"/>
    <n v="23.436619718309863"/>
    <n v="85.505030181086539"/>
    <s v=""/>
    <n v="21604.880388238653"/>
    <s v=""/>
    <n v="11796264.691978304"/>
  </r>
  <r>
    <x v="5"/>
    <n v="304101"/>
    <s v="PLACA LP OSB STANDAR 1.22 x2.44 x 9.5 MM APA PT-OECA095   (84 PL.xPAQ)"/>
    <s v="PL"/>
    <n v="3337"/>
    <n v="3.625"/>
    <n v="179"/>
    <x v="1"/>
    <n v="3686"/>
    <n v="3507"/>
    <n v="47.643749999999976"/>
    <n v="73.608815426997282"/>
    <n v="3.7570510297783044"/>
    <n v="77.365866456775592"/>
    <s v=""/>
    <n v="9649.1185596629002"/>
    <s v=""/>
    <n v="1727192.2221796592"/>
  </r>
  <r>
    <x v="5"/>
    <n v="302028"/>
    <s v="PINO IMPREGNADO SECO CEPILLADO G2 2 x 4&quot; x 3,20 (41 x 90 )"/>
    <s v="PZA"/>
    <n v="8641"/>
    <n v="0.375"/>
    <n v="0"/>
    <x v="4"/>
    <n v="8738"/>
    <n v="8738"/>
    <n v="172.72499999999994"/>
    <n v="50.589086698509206"/>
    <n v="0"/>
    <n v="50.589086698509206"/>
    <s v=""/>
    <n v="4769.5117820983787"/>
    <s v=""/>
    <n v="0"/>
  </r>
  <r>
    <x v="5"/>
    <n v="304049"/>
    <s v="TERCIADO FENOLICO CD DE 1,22 X 2,44 X 15 mm (65 PL X PQTE)"/>
    <s v="PL"/>
    <n v="1560"/>
    <n v="0.30949999999999994"/>
    <n v="172"/>
    <x v="5"/>
    <n v="1657"/>
    <n v="1485"/>
    <n v="23.273250000000008"/>
    <n v="63.807160581354111"/>
    <n v="7.3904590033622268"/>
    <n v="71.197619584716335"/>
    <s v=""/>
    <n v="15095.117424242424"/>
    <s v=""/>
    <n v="2596360.1969696968"/>
  </r>
  <r>
    <x v="5"/>
    <n v="701096"/>
    <s v="PLANCHA YESO CARTON VOLCAN RF 122 x 2.44 x 15 LINEN GREY BORDE CUADRADO 70 PLXPALLET SKU 5002205"/>
    <s v="PL"/>
    <n v="1820"/>
    <n v="0.13125000000000001"/>
    <n v="42"/>
    <x v="7"/>
    <n v="1917"/>
    <n v="1875"/>
    <n v="31.237499999999997"/>
    <n v="60.024009603841542"/>
    <n v="1.3445378151260505"/>
    <n v="61.368547418967594"/>
    <s v=""/>
    <n v="16231.199726402188"/>
    <s v=""/>
    <n v="681710.38850889192"/>
  </r>
  <r>
    <x v="5"/>
    <n v="701040"/>
    <s v="PLANCHA YESO CARTON RF 1.22x2.44x15 BORDE CUADRADO S/PAPEL ( 2,9768 M2 X PL=70 PLX PQTE) SKU 5001097"/>
    <s v="PL"/>
    <n v="895"/>
    <n v="0.13125000000000001"/>
    <n v="156"/>
    <x v="12"/>
    <n v="992"/>
    <n v="836"/>
    <n v="4.2840000000000007"/>
    <n v="195.14472455648922"/>
    <n v="36.414565826330524"/>
    <n v="231.55929038281977"/>
    <n v="55.947878061900155"/>
    <n v="7627.9022026431721"/>
    <n v="426764.94230157981"/>
    <n v="1189952.7436123348"/>
  </r>
  <r>
    <x v="5"/>
    <n v="1902003"/>
    <s v="TYPAR VOLCANWRAP ROLLO DE 2,743 x 45,72 MTS ( 125 M2 x ROLLO ) SKU 7000031"/>
    <s v="RLL"/>
    <n v="54"/>
    <n v="1"/>
    <n v="33"/>
    <x v="13"/>
    <n v="161"/>
    <n v="128"/>
    <n v="0.41466600000000009"/>
    <n v="308.68216829930589"/>
    <n v="79.582121514664792"/>
    <n v="388.26428981397066"/>
    <n v="-826.33017853880131"/>
    <n v="150758.376146789"/>
    <n v="-124576195.87759592"/>
    <n v="4975026.4128440367"/>
  </r>
  <r>
    <x v="5"/>
    <s v="030253X"/>
    <s v="PINO SYP GRADO 2 PRIME IMPREGNADO DE  3&quot; x 8&quot; x 10' (63x184 mm)"/>
    <s v="PZA"/>
    <n v="488"/>
    <n v="0.33864915572232651"/>
    <n v="0"/>
    <x v="0"/>
    <n v="665"/>
    <n v="665"/>
    <n v="6.3000000000000007"/>
    <n v="105.55555555555554"/>
    <n v="0"/>
    <n v="105.55555555555554"/>
    <s v=""/>
    <n v="15443.519144144144"/>
    <s v=""/>
    <n v="0"/>
  </r>
  <r>
    <x v="5"/>
    <n v="701084"/>
    <s v="FIBROCEMENTO LISO 1.2 x 2.40 x 22 MM (VOLCAN)"/>
    <s v="PL"/>
    <n v="52"/>
    <n v="22.207476499999999"/>
    <n v="0"/>
    <x v="14"/>
    <n v="149"/>
    <n v="149"/>
    <n v="0.69825000000000004"/>
    <n v="213.39061940565699"/>
    <n v="0"/>
    <n v="213.39061940565699"/>
    <n v="-195.60776141161045"/>
    <n v="39468.96212121212"/>
    <n v="-7720435.3257699506"/>
    <n v="0"/>
  </r>
  <r>
    <x v="5"/>
    <n v="5309018"/>
    <s v="CINTA POLIESTER DE 2&quot; COLOR VERDE (ROLLO= 100 mt=15 kg)"/>
    <s v="M2"/>
    <n v="2600"/>
    <n v="7.8750000000000001E-2"/>
    <n v="5"/>
    <x v="13"/>
    <n v="2697"/>
    <n v="2692"/>
    <n v="34.649999999999991"/>
    <n v="77.691197691197715"/>
    <n v="0.14430014430014435"/>
    <n v="77.835497835497861"/>
    <s v=""/>
    <n v="707.86891891891889"/>
    <s v=""/>
    <n v="3539.3445945945946"/>
  </r>
  <r>
    <x v="5"/>
    <n v="1902014"/>
    <s v="VOLCOGLASS X RH 1,20 x 2,40 x 15MM BORDE"/>
    <s v="PL"/>
    <n v="360"/>
    <n v="0.33864915572232651"/>
    <n v="16"/>
    <x v="15"/>
    <n v="457"/>
    <n v="441"/>
    <n v="5.5125000000000002"/>
    <n v="80"/>
    <n v="2.9024943310657596"/>
    <n v="82.902494331065753"/>
    <s v=""/>
    <n v="29799.757692307692"/>
    <s v=""/>
    <n v="476796.12307692308"/>
  </r>
  <r>
    <x v="6"/>
    <n v="304007"/>
    <s v="PLACA OSB STANDARD DE 1.22 x 2.44 x 11.1 MM ( 72 X PAQUETE )"/>
    <s v="PL"/>
    <n v="972"/>
    <n v="0.25"/>
    <n v="256"/>
    <x v="6"/>
    <n v="1069"/>
    <n v="813"/>
    <n v="8.6625000000000014"/>
    <n v="93.852813852813838"/>
    <n v="29.552669552669549"/>
    <n v="123.40548340548338"/>
    <n v="95.754056749727752"/>
    <n v="11497.288819875776"/>
    <n v="1100912.0461263955"/>
    <n v="2943305.9378881985"/>
  </r>
  <r>
    <x v="6"/>
    <n v="701043"/>
    <s v="PLANCHA YESO CARTON VOLCAN RF 1.22 x 3.40 x 15MM WHITE BORDE CUADRADO (40PLXPQ) SKU 5002142"/>
    <s v="PL "/>
    <n v="716"/>
    <n v="3.625"/>
    <n v="90"/>
    <x v="9"/>
    <n v="813"/>
    <n v="723"/>
    <n v="7.0875000000000012"/>
    <n v="102.010582010582"/>
    <n v="12.698412698412696"/>
    <n v="114.70899470899469"/>
    <n v="93.815309388501632"/>
    <n v="22537.549256505576"/>
    <n v="2114367.1563576655"/>
    <n v="2028379.4330855019"/>
  </r>
  <r>
    <x v="6"/>
    <n v="302046"/>
    <s v="PINO IMPREGNADO SECO CEPILLADO G2 2 x 6&quot; x 4,00 (41 x 138 )"/>
    <s v="PZA"/>
    <n v="3469"/>
    <n v="3.1887755102040817E-2"/>
    <n v="148"/>
    <x v="8"/>
    <n v="3566"/>
    <n v="3418"/>
    <n v="34.65"/>
    <n v="98.64357864357865"/>
    <n v="4.2712842712842711"/>
    <n v="102.91486291486292"/>
    <s v=""/>
    <n v="10289.047343394666"/>
    <s v=""/>
    <n v="1522779.0068224105"/>
  </r>
  <r>
    <x v="6"/>
    <n v="302010"/>
    <s v="PINO IMPREGNADO SECO CEPILLADO G2 2 x 6&quot; x 3,20 (41 x 138 )"/>
    <s v="PZA"/>
    <n v="2184"/>
    <n v="3.1887755102040817E-2"/>
    <n v="0"/>
    <x v="3"/>
    <n v="2449"/>
    <n v="2449"/>
    <n v="34.912500000000023"/>
    <n v="70.146795560329352"/>
    <n v="0"/>
    <n v="70.146795560329352"/>
    <s v=""/>
    <n v="5690.5508432539682"/>
    <s v=""/>
    <n v="0"/>
  </r>
  <r>
    <x v="6"/>
    <n v="1901008"/>
    <s v="AISLAN  GLASS 90 MM 0.375x12 MTS . DENSIDAD 14 KG/M3 (13.5 M2 X BOLSA) SKU 4000147"/>
    <s v="M2"/>
    <n v="5181"/>
    <n v="0.33864915572232651"/>
    <n v="33"/>
    <x v="10"/>
    <n v="5278"/>
    <n v="5245"/>
    <n v="62.430325650000007"/>
    <n v="84.013657551696582"/>
    <n v="0.52858926581620347"/>
    <n v="84.54224681751279"/>
    <s v=""/>
    <n v="2062.9827561636025"/>
    <s v=""/>
    <n v="68078.430953398885"/>
  </r>
  <r>
    <x v="6"/>
    <n v="304002"/>
    <s v="PLACA SMART SIDE R-4 SPC-M111 DE 1.220X2.440X11.1 MM (72 PL.POR PALLET )"/>
    <s v="PL"/>
    <n v="1895"/>
    <m/>
    <n v="447"/>
    <x v="11"/>
    <n v="1992"/>
    <n v="1545"/>
    <n v="23.296874999999996"/>
    <n v="66.317907444668023"/>
    <n v="19.187122736418512"/>
    <n v="85.505030181086539"/>
    <s v=""/>
    <n v="21604.880388238653"/>
    <s v=""/>
    <n v="9657381.5335426778"/>
  </r>
  <r>
    <x v="6"/>
    <n v="304101"/>
    <s v="PLACA LP OSB STANDAR 1.22 x2.44 x 9.5 MM APA PT-OECA095   (84 PL.xPAQ)"/>
    <s v="PL"/>
    <n v="3589"/>
    <n v="0.58750000000000002"/>
    <n v="130"/>
    <x v="1"/>
    <n v="3770"/>
    <n v="3640"/>
    <n v="47.643749999999976"/>
    <n v="76.400367309458261"/>
    <n v="2.7285845467663665"/>
    <n v="79.128951856224617"/>
    <s v=""/>
    <n v="9649.1185596629002"/>
    <s v=""/>
    <n v="1254385.4127561771"/>
  </r>
  <r>
    <x v="6"/>
    <n v="302028"/>
    <s v="PINO IMPREGNADO SECO CEPILLADO G2 2 x 4&quot; x 3,20 (41 x 90 )"/>
    <s v="PZA"/>
    <n v="8641"/>
    <n v="11.281875000000001"/>
    <n v="0"/>
    <x v="4"/>
    <n v="8978"/>
    <n v="8978"/>
    <n v="172.72499999999994"/>
    <n v="51.978578665508778"/>
    <n v="0"/>
    <n v="51.978578665508778"/>
    <s v=""/>
    <n v="4769.5117820983787"/>
    <s v=""/>
    <n v="0"/>
  </r>
  <r>
    <x v="6"/>
    <n v="304049"/>
    <s v="TERCIADO FENOLICO CD DE 1,22 X 2,44 X 15 mm (65 PL X PQTE)"/>
    <s v="PL"/>
    <n v="1690"/>
    <n v="2.7459999999999998E-2"/>
    <n v="195"/>
    <x v="5"/>
    <n v="1787"/>
    <n v="1592"/>
    <n v="23.273250000000008"/>
    <n v="68.404713566003863"/>
    <n v="8.3787180561374086"/>
    <n v="76.783431622141279"/>
    <s v=""/>
    <n v="15095.117424242424"/>
    <s v=""/>
    <n v="2943547.8977272725"/>
  </r>
  <r>
    <x v="6"/>
    <n v="701096"/>
    <s v="PLANCHA YESO CARTON VOLCAN RF 122 x 2.44 x 15 LINEN GREY BORDE CUADRADO 70 PLXPALLET SKU 5002205"/>
    <s v="PL"/>
    <n v="1820"/>
    <n v="0.33250000000000002"/>
    <n v="178"/>
    <x v="7"/>
    <n v="1917"/>
    <n v="1739"/>
    <n v="31.237499999999997"/>
    <n v="55.670268107242904"/>
    <n v="5.6982793117246908"/>
    <n v="61.368547418967594"/>
    <s v=""/>
    <n v="16231.199726402188"/>
    <s v=""/>
    <n v="2889153.5512995897"/>
  </r>
  <r>
    <x v="6"/>
    <n v="701040"/>
    <s v="PLANCHA YESO CARTON RF 1.22x2.44x15 BORDE CUADRADO S/PAPEL ( 2,9768 M2 X PL=70 PLX PQTE) SKU 5001097"/>
    <s v="PL"/>
    <n v="895"/>
    <n v="0.33250000000000002"/>
    <n v="140"/>
    <x v="12"/>
    <n v="992"/>
    <n v="852"/>
    <n v="4.2840000000000007"/>
    <n v="198.87955182072827"/>
    <n v="32.679738562091501"/>
    <n v="231.55929038281977"/>
    <n v="55.947878061900155"/>
    <n v="7627.9022026431721"/>
    <n v="426764.94230157981"/>
    <n v="1067906.308370044"/>
  </r>
  <r>
    <x v="6"/>
    <n v="1902003"/>
    <s v="TYPAR VOLCANWRAP ROLLO DE 2,743 x 45,72 MTS ( 125 M2 x ROLLO ) SKU 7000031"/>
    <s v="RLL"/>
    <n v="64"/>
    <n v="1.75"/>
    <n v="31"/>
    <x v="13"/>
    <n v="171"/>
    <n v="140"/>
    <n v="0.41466600000000009"/>
    <n v="337.62112157736578"/>
    <n v="74.758962634988137"/>
    <n v="412.38008421235395"/>
    <n v="-884.48733248531073"/>
    <n v="150758.376146789"/>
    <n v="-133343873.9678905"/>
    <n v="4673509.6605504593"/>
  </r>
  <r>
    <x v="6"/>
    <s v="030253X"/>
    <s v="PINO SYP GRADO 2 PRIME IMPREGNADO DE  3&quot; x 8&quot; x 10' (63x184 mm)"/>
    <s v="PZA"/>
    <n v="488"/>
    <n v="0.75"/>
    <n v="45"/>
    <x v="0"/>
    <n v="705"/>
    <n v="660"/>
    <n v="6.3000000000000007"/>
    <n v="104.76190476190474"/>
    <n v="7.1428571428571423"/>
    <n v="111.9047619047619"/>
    <n v="92.237339380196531"/>
    <n v="15443.519144144144"/>
    <n v="1424469.1165229857"/>
    <n v="694958.36148648651"/>
  </r>
  <r>
    <x v="6"/>
    <n v="701084"/>
    <s v="FIBROCEMENTO LISO 1.2 x 2.40 x 22 MM (VOLCAN)"/>
    <s v="PL"/>
    <n v="72"/>
    <n v="1.59375"/>
    <n v="40"/>
    <x v="14"/>
    <n v="169"/>
    <n v="129"/>
    <n v="0.69825000000000004"/>
    <n v="184.74758324382384"/>
    <n v="57.286072323666303"/>
    <n v="242.03365556749014"/>
    <n v="-236.62893744001451"/>
    <n v="39468.96212121212"/>
    <n v="-9339498.5686026048"/>
    <n v="1578758.4848484849"/>
  </r>
  <r>
    <x v="6"/>
    <n v="5309018"/>
    <s v="CINTA POLIESTER DE 2&quot; COLOR VERDE (ROLLO= 100 mt=15 kg)"/>
    <s v="M2"/>
    <n v="2600"/>
    <n v="0.25"/>
    <n v="4"/>
    <x v="13"/>
    <n v="2697"/>
    <n v="2693"/>
    <n v="34.649999999999991"/>
    <n v="77.720057720057738"/>
    <n v="0.11544011544011547"/>
    <n v="77.835497835497861"/>
    <s v=""/>
    <n v="707.86891891891889"/>
    <s v=""/>
    <n v="2831.4756756756756"/>
  </r>
  <r>
    <x v="6"/>
    <n v="1902014"/>
    <s v="VOLCOGLASS X RH 1,20 x 2,40 x 15MM BORDE"/>
    <s v="PL"/>
    <n v="360"/>
    <n v="0.7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7"/>
    <n v="304007"/>
    <s v="PLACA OSB STANDARD DE 1.22 x 2.44 x 11.1 MM ( 72 X PAQUETE )"/>
    <s v="PL"/>
    <n v="972"/>
    <n v="0.5"/>
    <n v="76"/>
    <x v="6"/>
    <n v="1097"/>
    <n v="1021"/>
    <n v="8.6625000000000014"/>
    <n v="117.86435786435784"/>
    <n v="8.7734487734487718"/>
    <n v="126.63780663780662"/>
    <n v="95.380916982648586"/>
    <n v="11497.288819875776"/>
    <n v="1096621.9504541052"/>
    <n v="873793.9503105589"/>
  </r>
  <r>
    <x v="7"/>
    <n v="701043"/>
    <s v="PLANCHA YESO CARTON VOLCAN RF 1.22 x 3.40 x 15MM WHITE BORDE CUADRADO (40PLXPQ) SKU 5002142"/>
    <s v="PL "/>
    <n v="836"/>
    <n v="0.58750000000000002"/>
    <n v="135"/>
    <x v="9"/>
    <n v="933"/>
    <n v="798"/>
    <n v="7.0875000000000012"/>
    <n v="112.59259259259257"/>
    <n v="19.047619047619044"/>
    <n v="131.64021164021162"/>
    <n v="91.426425165402236"/>
    <n v="22537.549256505576"/>
    <n v="2060527.5605114738"/>
    <n v="3042569.1496282527"/>
  </r>
  <r>
    <x v="7"/>
    <n v="302046"/>
    <s v="PINO IMPREGNADO SECO CEPILLADO G2 2 x 6&quot; x 4,00 (41 x 138 )"/>
    <s v="PZA"/>
    <n v="3757"/>
    <n v="5"/>
    <n v="144"/>
    <x v="8"/>
    <n v="3854"/>
    <n v="3710"/>
    <n v="34.65"/>
    <n v="107.07070707070707"/>
    <n v="4.1558441558441563"/>
    <n v="111.22655122655124"/>
    <n v="106.78999852160025"/>
    <n v="10289.047343394666"/>
    <n v="1098767.3505897915"/>
    <n v="1481622.8174488319"/>
  </r>
  <r>
    <x v="7"/>
    <n v="302010"/>
    <s v="PINO IMPREGNADO SECO CEPILLADO G2 2 x 6&quot; x 3,20 (41 x 138 )"/>
    <s v="PZA"/>
    <n v="2856"/>
    <n v="5"/>
    <n v="420"/>
    <x v="3"/>
    <n v="2953"/>
    <n v="2533"/>
    <n v="34.912500000000023"/>
    <n v="72.552810597923326"/>
    <n v="12.030075187969917"/>
    <n v="84.582885785893254"/>
    <s v=""/>
    <n v="5690.5508432539682"/>
    <s v=""/>
    <n v="2390031.3541666665"/>
  </r>
  <r>
    <x v="7"/>
    <n v="1901008"/>
    <s v="AISLAN  GLASS 90 MM 0.375x12 MTS . DENSIDAD 14 KG/M3 (13.5 M2 X BOLSA) SKU 4000147"/>
    <s v="M2"/>
    <n v="5721"/>
    <n v="0.75"/>
    <n v="50"/>
    <x v="10"/>
    <n v="6034"/>
    <n v="5984"/>
    <n v="62.430325650000007"/>
    <n v="95.850853534671558"/>
    <n v="0.80089282699424769"/>
    <n v="96.651746361665815"/>
    <s v=""/>
    <n v="2062.9827561636025"/>
    <s v=""/>
    <n v="103149.13780818012"/>
  </r>
  <r>
    <x v="7"/>
    <n v="304002"/>
    <s v="PLACA SMART SIDE R-4 SPC-M111 DE 1.220X2.440X11.1 MM (72 PL.POR PALLET )"/>
    <s v="PL"/>
    <n v="2111"/>
    <m/>
    <n v="201"/>
    <x v="11"/>
    <n v="2232"/>
    <n v="2031"/>
    <n v="23.296874999999996"/>
    <n v="87.17907444668009"/>
    <n v="8.627766599597587"/>
    <n v="95.806841046277682"/>
    <s v=""/>
    <n v="21604.880388238653"/>
    <s v=""/>
    <n v="4342580.9580359692"/>
  </r>
  <r>
    <x v="7"/>
    <n v="304101"/>
    <s v="PLACA LP OSB STANDAR 1.22 x2.44 x 9.5 MM APA PT-OECA095   (84 PL.xPAQ)"/>
    <s v="PL"/>
    <n v="4261"/>
    <n v="0.33250000000000002"/>
    <n v="232"/>
    <x v="1"/>
    <n v="4394"/>
    <n v="4162"/>
    <n v="47.643749999999976"/>
    <n v="87.356683720320135"/>
    <n v="4.8694739603830541"/>
    <n v="92.226157680703182"/>
    <s v=""/>
    <n v="9649.1185596629002"/>
    <s v=""/>
    <n v="2238595.505841793"/>
  </r>
  <r>
    <x v="7"/>
    <n v="302028"/>
    <s v="PINO IMPREGNADO SECO CEPILLADO G2 2 x 4&quot; x 3,20 (41 x 90 )"/>
    <s v="PZA"/>
    <n v="9601"/>
    <n v="0.5"/>
    <n v="583"/>
    <x v="4"/>
    <n v="9698"/>
    <n v="9115"/>
    <n v="172.72499999999994"/>
    <n v="52.771746996671027"/>
    <n v="3.3753075698364463"/>
    <n v="56.147054566507471"/>
    <s v=""/>
    <n v="4769.5117820983787"/>
    <s v=""/>
    <n v="2780625.3689633547"/>
  </r>
  <r>
    <x v="7"/>
    <n v="304049"/>
    <s v="TERCIADO FENOLICO CD DE 1,22 X 2,44 X 15 mm (65 PL X PQTE)"/>
    <s v="PL"/>
    <n v="1885"/>
    <n v="0.16625000000000001"/>
    <n v="134"/>
    <x v="5"/>
    <n v="2152"/>
    <n v="2018"/>
    <n v="23.273250000000008"/>
    <n v="86.708989934796364"/>
    <n v="5.7576831770380137"/>
    <n v="92.466673111834368"/>
    <s v=""/>
    <n v="15095.117424242424"/>
    <s v=""/>
    <n v="2022745.7348484849"/>
  </r>
  <r>
    <x v="7"/>
    <n v="701096"/>
    <s v="PLANCHA YESO CARTON VOLCAN RF 122 x 2.44 x 15 LINEN GREY BORDE CUADRADO 70 PLXPALLET SKU 5002205"/>
    <s v="PL"/>
    <n v="2100"/>
    <n v="0.25"/>
    <n v="218"/>
    <x v="7"/>
    <n v="2321"/>
    <n v="2103"/>
    <n v="31.237499999999997"/>
    <n v="67.322929171668676"/>
    <n v="6.978791516606643"/>
    <n v="74.30172068827531"/>
    <s v=""/>
    <n v="16231.199726402188"/>
    <s v=""/>
    <n v="3538401.5403556773"/>
  </r>
  <r>
    <x v="7"/>
    <n v="701040"/>
    <s v="PLANCHA YESO CARTON RF 1.22x2.44x15 BORDE CUADRADO S/PAPEL ( 2,9768 M2 X PL=70 PLX PQTE) SKU 5001097"/>
    <s v="PL"/>
    <n v="1055"/>
    <n v="0.25"/>
    <n v="227"/>
    <x v="12"/>
    <n v="1152"/>
    <n v="925"/>
    <n v="4.2840000000000007"/>
    <n v="215.91970121381883"/>
    <n v="52.987861811391213"/>
    <n v="268.90756302521004"/>
    <n v="47.22979387833567"/>
    <n v="7627.9022026431721"/>
    <n v="360264.24875493965"/>
    <n v="1731533.8"/>
  </r>
  <r>
    <x v="7"/>
    <n v="1902003"/>
    <s v="TYPAR VOLCANWRAP ROLLO DE 2,743 x 45,72 MTS ( 125 M2 x ROLLO ) SKU 7000031"/>
    <s v="RLL"/>
    <n v="79"/>
    <n v="2"/>
    <n v="7"/>
    <x v="13"/>
    <n v="177"/>
    <n v="170"/>
    <n v="0.41466600000000009"/>
    <n v="409.96850477251564"/>
    <n v="16.881056078868291"/>
    <n v="426.8495608513839"/>
    <n v="-919.38162485321641"/>
    <n v="150758.376146789"/>
    <n v="-138604480.82206726"/>
    <n v="1055308.6330275231"/>
  </r>
  <r>
    <x v="7"/>
    <s v="030253X"/>
    <s v="PINO SYP GRADO 2 PRIME IMPREGNADO DE  3&quot; x 8&quot; x 10' (63x184 mm)"/>
    <s v="PZA"/>
    <n v="528"/>
    <n v="0.5"/>
    <n v="28"/>
    <x v="0"/>
    <n v="745"/>
    <n v="717"/>
    <n v="6.3000000000000007"/>
    <n v="113.8095238095238"/>
    <n v="4.4444444444444438"/>
    <n v="118.25396825396824"/>
    <n v="91.229528848576479"/>
    <n v="15443.519144144144"/>
    <n v="1408904.9752842414"/>
    <n v="432418.53603603604"/>
  </r>
  <r>
    <x v="7"/>
    <n v="701084"/>
    <s v="FIBROCEMENTO LISO 1.2 x 2.40 x 22 MM (VOLCAN)"/>
    <s v="PL"/>
    <n v="72"/>
    <n v="1.2499999999999999E-2"/>
    <n v="29"/>
    <x v="14"/>
    <n v="169"/>
    <n v="140"/>
    <n v="0.69825000000000004"/>
    <n v="200.50125313283206"/>
    <n v="41.532402434658074"/>
    <n v="242.03365556749014"/>
    <n v="-236.62893744001451"/>
    <n v="39468.96212121212"/>
    <n v="-9339498.5686026048"/>
    <n v="1144599.9015151514"/>
  </r>
  <r>
    <x v="7"/>
    <n v="5309018"/>
    <s v="CINTA POLIESTER DE 2&quot; COLOR VERDE (ROLLO= 100 mt=15 kg)"/>
    <s v="M2"/>
    <n v="3200"/>
    <n v="0.25"/>
    <n v="5"/>
    <x v="13"/>
    <n v="3297"/>
    <n v="3292"/>
    <n v="34.649999999999991"/>
    <n v="95.007215007215024"/>
    <n v="0.14430014430014435"/>
    <n v="95.15151515151517"/>
    <s v=""/>
    <n v="707.86891891891889"/>
    <s v=""/>
    <n v="3539.3445945945946"/>
  </r>
  <r>
    <x v="7"/>
    <n v="1902014"/>
    <s v="VOLCOGLASS X RH 1,20 x 2,40 x 15MM BORDE"/>
    <s v="PL"/>
    <n v="360"/>
    <n v="0.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8"/>
    <n v="304007"/>
    <s v="PLACA OSB STANDARD DE 1.22 x 2.44 x 11.1 MM ( 72 X PAQUETE )"/>
    <s v="PL"/>
    <n v="1072"/>
    <n v="0.25"/>
    <n v="114"/>
    <x v="6"/>
    <n v="1169"/>
    <n v="1055"/>
    <n v="8.6625000000000014"/>
    <n v="121.78932178932178"/>
    <n v="13.160173160173159"/>
    <n v="134.94949494949492"/>
    <n v="94.421414724445029"/>
    <n v="11497.288819875776"/>
    <n v="1085590.2758682158"/>
    <n v="1310690.9254658385"/>
  </r>
  <r>
    <x v="8"/>
    <n v="701043"/>
    <s v="PLANCHA YESO CARTON VOLCAN RF 1.22 x 3.40 x 15MM WHITE BORDE CUADRADO (40PLXPQ) SKU 5002142"/>
    <s v="PL "/>
    <n v="836"/>
    <n v="0.33250000000000002"/>
    <n v="100"/>
    <x v="9"/>
    <n v="933"/>
    <n v="833"/>
    <n v="7.0875000000000012"/>
    <n v="117.53086419753085"/>
    <n v="14.109347442680773"/>
    <n v="131.64021164021162"/>
    <n v="91.426425165402236"/>
    <n v="22537.549256505576"/>
    <n v="2060527.5605114738"/>
    <n v="2253754.9256505575"/>
  </r>
  <r>
    <x v="8"/>
    <n v="302046"/>
    <s v="PINO IMPREGNADO SECO CEPILLADO G2 2 x 6&quot; x 4,00 (41 x 138 )"/>
    <s v="PZA"/>
    <n v="4045"/>
    <n v="2"/>
    <n v="144"/>
    <x v="8"/>
    <n v="4310"/>
    <n v="4166"/>
    <n v="34.65"/>
    <n v="120.23088023088023"/>
    <n v="4.1558441558441563"/>
    <n v="124.3867243867244"/>
    <n v="106.41019554439468"/>
    <n v="10289.047343394666"/>
    <n v="1094859.5397761611"/>
    <n v="1481622.8174488319"/>
  </r>
  <r>
    <x v="8"/>
    <n v="302010"/>
    <s v="PINO IMPREGNADO SECO CEPILLADO G2 2 x 6&quot; x 3,20 (41 x 138 )"/>
    <s v="PZA"/>
    <n v="3024"/>
    <n v="2"/>
    <n v="336"/>
    <x v="3"/>
    <n v="3121"/>
    <n v="2785"/>
    <n v="34.912500000000023"/>
    <n v="79.770855710705277"/>
    <n v="9.624060150375934"/>
    <n v="89.394915861081216"/>
    <s v=""/>
    <n v="5690.5508432539682"/>
    <s v=""/>
    <n v="1912025.0833333333"/>
  </r>
  <r>
    <x v="8"/>
    <n v="1901008"/>
    <s v="AISLAN  GLASS 90 MM 0.375x12 MTS . DENSIDAD 14 KG/M3 (13.5 M2 X BOLSA) SKU 4000147"/>
    <s v="M2"/>
    <n v="6207"/>
    <n v="0.5"/>
    <n v="51"/>
    <x v="10"/>
    <n v="6304"/>
    <n v="6253"/>
    <n v="62.430325650000007"/>
    <n v="100.15965694390061"/>
    <n v="0.81691068353413265"/>
    <n v="100.97656762743475"/>
    <s v=""/>
    <n v="2062.9827561636025"/>
    <s v=""/>
    <n v="105212.12056434373"/>
  </r>
  <r>
    <x v="8"/>
    <n v="304002"/>
    <s v="PLACA SMART SIDE R-4 SPC-M111 DE 1.220X2.440X11.1 MM (72 PL.POR PALLET )"/>
    <s v="PL"/>
    <n v="2207"/>
    <m/>
    <n v="209"/>
    <x v="11"/>
    <n v="2304"/>
    <n v="2095"/>
    <n v="23.296874999999996"/>
    <n v="89.926224010731062"/>
    <n v="8.9711602951039584"/>
    <n v="98.897384305835018"/>
    <s v=""/>
    <n v="21604.880388238653"/>
    <s v=""/>
    <n v="4515420.0011418788"/>
  </r>
  <r>
    <x v="8"/>
    <n v="304101"/>
    <s v="PLACA LP OSB STANDAR 1.22 x2.44 x 9.5 MM APA PT-OECA095   (84 PL.xPAQ)"/>
    <s v="PL"/>
    <n v="4633"/>
    <n v="0.25"/>
    <n v="379"/>
    <x v="1"/>
    <n v="4898"/>
    <n v="4519"/>
    <n v="47.643749999999976"/>
    <n v="94.849796667978538"/>
    <n v="7.9548734094188678"/>
    <n v="102.8046700773974"/>
    <s v=""/>
    <n v="9649.1185596629002"/>
    <s v=""/>
    <n v="3657015.9341122392"/>
  </r>
  <r>
    <x v="8"/>
    <n v="302028"/>
    <s v="PINO IMPREGNADO SECO CEPILLADO G2 2 x 4&quot; x 3,20 (41 x 90 )"/>
    <s v="PZA"/>
    <n v="9841"/>
    <n v="0.25"/>
    <n v="382"/>
    <x v="4"/>
    <n v="9938"/>
    <n v="9556"/>
    <n v="172.72499999999994"/>
    <n v="55.324938486032728"/>
    <n v="2.2116080474743098"/>
    <n v="57.536546533507043"/>
    <s v=""/>
    <n v="4769.5117820983787"/>
    <s v=""/>
    <n v="1821953.5007615807"/>
  </r>
  <r>
    <x v="8"/>
    <n v="304049"/>
    <s v="TERCIADO FENOLICO CD DE 1,22 X 2,44 X 15 mm (65 PL X PQTE)"/>
    <s v="PL"/>
    <n v="2185"/>
    <n v="0.25"/>
    <n v="242"/>
    <x v="5"/>
    <n v="2282"/>
    <n v="2040"/>
    <n v="23.273250000000008"/>
    <n v="87.654281202668272"/>
    <n v="10.398203946591039"/>
    <n v="98.052485149259311"/>
    <s v=""/>
    <n v="15095.117424242424"/>
    <s v=""/>
    <n v="3653018.4166666665"/>
  </r>
  <r>
    <x v="8"/>
    <n v="701096"/>
    <s v="PLANCHA YESO CARTON VOLCAN RF 122 x 2.44 x 15 LINEN GREY BORDE CUADRADO 70 PLXPALLET SKU 5002205"/>
    <s v="PL"/>
    <n v="2364"/>
    <n v="0.25"/>
    <n v="227"/>
    <x v="7"/>
    <n v="2461"/>
    <n v="2234"/>
    <n v="31.237499999999997"/>
    <n v="71.516606642657067"/>
    <n v="7.2669067627050827"/>
    <n v="78.783513405362157"/>
    <s v=""/>
    <n v="16231.199726402188"/>
    <s v=""/>
    <n v="3684482.337893297"/>
  </r>
  <r>
    <x v="8"/>
    <n v="701040"/>
    <s v="PLANCHA YESO CARTON RF 1.22x2.44x15 BORDE CUADRADO S/PAPEL ( 2,9768 M2 X PL=70 PLX PQTE) SKU 5001097"/>
    <s v="PL"/>
    <n v="1055"/>
    <n v="0.25"/>
    <n v="186"/>
    <x v="12"/>
    <n v="1152"/>
    <n v="966"/>
    <n v="4.2840000000000007"/>
    <n v="225.49019607843132"/>
    <n v="43.417366946778706"/>
    <n v="268.90756302521004"/>
    <n v="47.22979387833567"/>
    <n v="7627.9022026431721"/>
    <n v="360264.24875493965"/>
    <n v="1418789.8096916301"/>
  </r>
  <r>
    <x v="8"/>
    <n v="1902003"/>
    <s v="TYPAR VOLCANWRAP ROLLO DE 2,743 x 45,72 MTS ( 125 M2 x ROLLO ) SKU 7000031"/>
    <s v="RLL"/>
    <n v="87"/>
    <n v="0.5"/>
    <n v="5"/>
    <x v="13"/>
    <n v="184"/>
    <n v="179"/>
    <n v="0.41466600000000009"/>
    <n v="431.67271973106057"/>
    <n v="12.057897199191636"/>
    <n v="443.73061693025221"/>
    <n v="-960.09163261577305"/>
    <n v="150758.376146789"/>
    <n v="-144741855.48527348"/>
    <n v="753791.88073394494"/>
  </r>
  <r>
    <x v="8"/>
    <s v="030253X"/>
    <s v="PINO SYP GRADO 2 PRIME IMPREGNADO DE  3&quot; x 8&quot; x 10' (63x184 mm)"/>
    <s v="PZA"/>
    <n v="728"/>
    <n v="1"/>
    <n v="7"/>
    <x v="0"/>
    <n v="825"/>
    <n v="818"/>
    <n v="6.3000000000000007"/>
    <n v="129.84126984126982"/>
    <n v="1.1111111111111109"/>
    <n v="130.95238095238093"/>
    <n v="89.21390778533636"/>
    <n v="15443.519144144144"/>
    <n v="1377776.6928067524"/>
    <n v="108104.63400900901"/>
  </r>
  <r>
    <x v="8"/>
    <n v="701084"/>
    <s v="FIBROCEMENTO LISO 1.2 x 2.40 x 22 MM (VOLCAN)"/>
    <s v="PL"/>
    <n v="92"/>
    <n v="0.25"/>
    <n v="41"/>
    <x v="14"/>
    <n v="189"/>
    <n v="148"/>
    <n v="0.69825000000000004"/>
    <n v="211.95846759756532"/>
    <n v="58.718224131757964"/>
    <n v="270.6766917293233"/>
    <n v="-277.65011346841857"/>
    <n v="39468.96212121212"/>
    <n v="-10958561.81143526"/>
    <n v="1618227.446969697"/>
  </r>
  <r>
    <x v="8"/>
    <n v="5309018"/>
    <s v="CINTA POLIESTER DE 2&quot; COLOR VERDE (ROLLO= 100 mt=15 kg)"/>
    <s v="M2"/>
    <n v="3200"/>
    <n v="0.125"/>
    <n v="4"/>
    <x v="13"/>
    <n v="3297"/>
    <n v="3293"/>
    <n v="34.649999999999991"/>
    <n v="95.036075036075061"/>
    <n v="0.11544011544011547"/>
    <n v="95.15151515151517"/>
    <s v=""/>
    <n v="707.86891891891889"/>
    <s v=""/>
    <n v="2831.4756756756756"/>
  </r>
  <r>
    <x v="8"/>
    <n v="1902014"/>
    <s v="VOLCOGLASS X RH 1,20 x 2,40 x 15MM BORDE"/>
    <s v="PL"/>
    <n v="360"/>
    <n v="1"/>
    <n v="140"/>
    <x v="15"/>
    <n v="617"/>
    <n v="477"/>
    <n v="5.5125000000000002"/>
    <n v="86.530612244897952"/>
    <n v="25.396825396825395"/>
    <n v="111.92743764172336"/>
    <n v="89.695702922136348"/>
    <n v="29799.757692307692"/>
    <n v="2672910.2131208782"/>
    <n v="4171966.076923077"/>
  </r>
  <r>
    <x v="9"/>
    <n v="304007"/>
    <s v="PLACA OSB STANDARD DE 1.22 x 2.44 x 11.1 MM ( 72 X PAQUETE )"/>
    <s v="PL"/>
    <n v="1072"/>
    <n v="31"/>
    <n v="78"/>
    <x v="6"/>
    <n v="1241"/>
    <n v="1163"/>
    <n v="8.6625000000000014"/>
    <n v="134.25685425685424"/>
    <n v="9.0043290043290032"/>
    <n v="143.26118326118325"/>
    <n v="93.461912466241472"/>
    <n v="11497.288819875776"/>
    <n v="1074558.6012823265"/>
    <n v="896788.5279503105"/>
  </r>
  <r>
    <x v="9"/>
    <n v="701043"/>
    <s v="PLANCHA YESO CARTON VOLCAN RF 1.22 x 3.40 x 15MM WHITE BORDE CUADRADO (40PLXPQ) SKU 5002142"/>
    <s v="PL "/>
    <n v="956"/>
    <n v="0.25"/>
    <n v="142"/>
    <x v="9"/>
    <n v="1053"/>
    <n v="911"/>
    <n v="7.0875000000000012"/>
    <n v="128.53615520282185"/>
    <n v="20.035273368606699"/>
    <n v="148.57142857142856"/>
    <n v="89.037540942302854"/>
    <n v="22537.549256505576"/>
    <n v="2006687.9646652825"/>
    <n v="3200331.9944237918"/>
  </r>
  <r>
    <x v="9"/>
    <n v="302046"/>
    <s v="PINO IMPREGNADO SECO CEPILLADO G2 2 x 6&quot; x 4,00 (41 x 138 )"/>
    <s v="PZA"/>
    <n v="4549"/>
    <n v="0.4375"/>
    <n v="348"/>
    <x v="8"/>
    <n v="4646"/>
    <n v="4298"/>
    <n v="34.65"/>
    <n v="124.04040404040404"/>
    <n v="10.043290043290044"/>
    <n v="134.0836940836941"/>
    <n v="106.13034071908531"/>
    <n v="10289.047343394666"/>
    <n v="1091980.1002292754"/>
    <n v="3580588.4755013441"/>
  </r>
  <r>
    <x v="9"/>
    <n v="302010"/>
    <s v="PINO IMPREGNADO SECO CEPILLADO G2 2 x 6&quot; x 3,20 (41 x 138 )"/>
    <s v="PZA"/>
    <n v="3024"/>
    <n v="0.4375"/>
    <n v="0"/>
    <x v="3"/>
    <n v="3121"/>
    <n v="3121"/>
    <n v="34.912500000000023"/>
    <n v="89.394915861081216"/>
    <n v="0"/>
    <n v="89.394915861081216"/>
    <s v=""/>
    <n v="5690.5508432539682"/>
    <s v=""/>
    <n v="0"/>
  </r>
  <r>
    <x v="9"/>
    <n v="1901008"/>
    <s v="AISLAN  GLASS 90 MM 0.375x12 MTS . DENSIDAD 14 KG/M3 (13.5 M2 X BOLSA) SKU 4000147"/>
    <s v="M2"/>
    <n v="6207"/>
    <n v="1"/>
    <n v="7"/>
    <x v="10"/>
    <n v="6574"/>
    <n v="6567"/>
    <n v="62.430325650000007"/>
    <n v="105.1892638974245"/>
    <n v="0.11212499577919467"/>
    <n v="105.30138889320369"/>
    <s v=""/>
    <n v="2062.9827561636025"/>
    <s v=""/>
    <n v="14440.879293145217"/>
  </r>
  <r>
    <x v="9"/>
    <n v="304002"/>
    <s v="PLACA SMART SIDE R-4 SPC-M111 DE 1.220X2.440X11.1 MM (72 PL.POR PALLET )"/>
    <s v="PL"/>
    <n v="2207"/>
    <m/>
    <n v="180"/>
    <x v="11"/>
    <n v="2304"/>
    <n v="2124"/>
    <n v="23.296874999999996"/>
    <n v="91.171026156941664"/>
    <n v="7.726358148893361"/>
    <n v="98.897384305835018"/>
    <s v=""/>
    <n v="21604.880388238653"/>
    <s v=""/>
    <n v="3888878.4698829576"/>
  </r>
  <r>
    <x v="9"/>
    <n v="304101"/>
    <s v="PLACA LP OSB STANDAR 1.22 x2.44 x 9.5 MM APA PT-OECA095   (84 PL.xPAQ)"/>
    <s v="PL"/>
    <n v="4801"/>
    <n v="0.25"/>
    <n v="296"/>
    <x v="1"/>
    <n v="5234"/>
    <n v="4938"/>
    <n v="47.643749999999976"/>
    <n v="103.64423455332552"/>
    <n v="6.2127771218680339"/>
    <n v="109.85701167519355"/>
    <s v=""/>
    <n v="9649.1185596629002"/>
    <s v=""/>
    <n v="2856139.0936602186"/>
  </r>
  <r>
    <x v="9"/>
    <n v="302028"/>
    <s v="PINO IMPREGNADO SECO CEPILLADO G2 2 x 4&quot; x 3,20 (41 x 90 )"/>
    <s v="PZA"/>
    <n v="9841"/>
    <n v="0.25"/>
    <n v="240"/>
    <x v="4"/>
    <n v="9938"/>
    <n v="9698"/>
    <n v="172.72499999999994"/>
    <n v="56.147054566507471"/>
    <n v="1.3894919669995662"/>
    <n v="57.536546533507043"/>
    <s v=""/>
    <n v="4769.5117820983787"/>
    <s v=""/>
    <n v="1144682.827703611"/>
  </r>
  <r>
    <x v="9"/>
    <n v="304049"/>
    <s v="TERCIADO FENOLICO CD DE 1,22 X 2,44 X 15 mm (65 PL X PQTE)"/>
    <s v="PL"/>
    <n v="2315"/>
    <n v="0.25"/>
    <n v="154"/>
    <x v="5"/>
    <n v="2607"/>
    <n v="2453"/>
    <n v="23.273250000000008"/>
    <n v="105.39997636771827"/>
    <n v="6.6170388751033888"/>
    <n v="112.01701524282166"/>
    <n v="105.18687698354026"/>
    <n v="15095.117424242424"/>
    <n v="1587808.259555883"/>
    <n v="2324648.0833333335"/>
  </r>
  <r>
    <x v="9"/>
    <n v="701096"/>
    <s v="PLANCHA YESO CARTON VOLCAN RF 122 x 2.44 x 15 LINEN GREY BORDE CUADRADO 70 PLXPALLET SKU 5002205"/>
    <s v="PL"/>
    <n v="2644"/>
    <n v="0.25"/>
    <n v="308"/>
    <x v="7"/>
    <n v="2741"/>
    <n v="2433"/>
    <n v="31.237499999999997"/>
    <n v="77.887154861944779"/>
    <n v="9.8599439775910369"/>
    <n v="87.747098839535823"/>
    <s v=""/>
    <n v="16231.199726402188"/>
    <s v=""/>
    <n v="4999209.5157318739"/>
  </r>
  <r>
    <x v="9"/>
    <n v="701040"/>
    <s v="PLANCHA YESO CARTON RF 1.22x2.44x15 BORDE CUADRADO S/PAPEL ( 2,9768 M2 X PL=70 PLX PQTE) SKU 5001097"/>
    <s v="PL"/>
    <n v="1055"/>
    <n v="0.25"/>
    <n v="129"/>
    <x v="12"/>
    <n v="1152"/>
    <n v="1023"/>
    <n v="4.2840000000000007"/>
    <n v="238.79551820728287"/>
    <n v="30.112044817927167"/>
    <n v="268.90756302521004"/>
    <n v="47.22979387833567"/>
    <n v="7627.9022026431721"/>
    <n v="360264.24875493965"/>
    <n v="983999.38414096925"/>
  </r>
  <r>
    <x v="9"/>
    <n v="1902003"/>
    <s v="TYPAR VOLCANWRAP ROLLO DE 2,743 x 45,72 MTS ( 125 M2 x ROLLO ) SKU 7000031"/>
    <s v="RLL"/>
    <n v="87"/>
    <n v="0.25"/>
    <n v="19"/>
    <x v="13"/>
    <n v="190"/>
    <n v="171"/>
    <n v="0.41466600000000009"/>
    <n v="412.38008421235395"/>
    <n v="45.820009356928217"/>
    <n v="458.20009356928216"/>
    <n v="-994.98592498367861"/>
    <n v="150758.376146789"/>
    <n v="-150002462.33945021"/>
    <n v="2864409.1467889911"/>
  </r>
  <r>
    <x v="9"/>
    <s v="030253X"/>
    <s v="PINO SYP GRADO 2 PRIME IMPREGNADO DE  3&quot; x 8&quot; x 10' (63x184 mm)"/>
    <s v="PZA"/>
    <n v="808"/>
    <n v="0.125"/>
    <n v="0"/>
    <x v="0"/>
    <n v="905"/>
    <n v="905"/>
    <n v="6.3000000000000007"/>
    <n v="143.65079365079364"/>
    <n v="0"/>
    <n v="143.65079365079364"/>
    <n v="87.198286722096242"/>
    <n v="15443.519144144144"/>
    <n v="1346648.4103292634"/>
    <n v="0"/>
  </r>
  <r>
    <x v="9"/>
    <n v="701084"/>
    <s v="FIBROCEMENTO LISO 1.2 x 2.40 x 22 MM (VOLCAN)"/>
    <s v="PL"/>
    <n v="92"/>
    <n v="0.125"/>
    <n v="40"/>
    <x v="14"/>
    <n v="189"/>
    <n v="149"/>
    <n v="0.69825000000000004"/>
    <n v="213.39061940565699"/>
    <n v="57.286072323666303"/>
    <n v="270.6766917293233"/>
    <n v="-277.65011346841857"/>
    <n v="39468.96212121212"/>
    <n v="-10958561.81143526"/>
    <n v="1578758.4848484849"/>
  </r>
  <r>
    <x v="9"/>
    <n v="5309018"/>
    <s v="CINTA POLIESTER DE 2&quot; COLOR VERDE (ROLLO= 100 mt=15 kg)"/>
    <s v="M2"/>
    <n v="3200"/>
    <n v="0.5"/>
    <n v="1"/>
    <x v="13"/>
    <n v="3297"/>
    <n v="3296"/>
    <n v="34.649999999999991"/>
    <n v="95.122655122655146"/>
    <n v="2.8860028860028867E-2"/>
    <n v="95.15151515151517"/>
    <s v=""/>
    <n v="707.86891891891889"/>
    <s v=""/>
    <n v="707.86891891891889"/>
  </r>
  <r>
    <x v="9"/>
    <n v="1902014"/>
    <s v="VOLCOGLASS X RH 1,20 x 2,40 x 15MM BORDE"/>
    <s v="PL"/>
    <n v="520"/>
    <n v="0.125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n v="34.543750000000003"/>
    <n v="416.11000542789935"/>
    <n v="20.929980097702188"/>
    <n v="437.03998552560154"/>
    <n v="97.348218258712464"/>
    <n v="4843.5655884995504"/>
    <n v="471512.48005964333"/>
    <n v="3501897.9204851747"/>
  </r>
  <r>
    <x v="9"/>
    <n v="302048"/>
    <s v="PINO NACIONAL ESTRUCTURAL CEPILLADO 4/CARAS  IMPREGNADO DE  2 X 8 X 4.00 (41 x 185 MM ) (VVSS)"/>
    <s v="PZA"/>
    <n v="2598"/>
    <n v="0.25"/>
    <n v="0"/>
    <x v="2"/>
    <n v="2695"/>
    <n v="2695"/>
    <n v="35.174999999999997"/>
    <n v="76.616915422885583"/>
    <n v="0"/>
    <n v="76.616915422885583"/>
    <s v=""/>
    <n v="13769.264887063655"/>
    <s v=""/>
    <n v="0"/>
  </r>
  <r>
    <x v="9"/>
    <n v="705028"/>
    <s v="PLACA FIBROCEMENTO SIMPLISIMA CENIA BEIGE 2400 MM x 1200 MM x 6 MM"/>
    <s v="PL"/>
    <n v="369"/>
    <m/>
    <n v="68"/>
    <x v="16"/>
    <n v="506"/>
    <n v="438"/>
    <n v="3.6749999999999998"/>
    <n v="119.18367346938776"/>
    <n v="18.503401360544217"/>
    <n v="137.68707482993199"/>
    <n v="72.534129297977685"/>
    <n v="22787.11135857461"/>
    <n v="1652843.2816102668"/>
    <n v="1549523.5723830734"/>
  </r>
  <r>
    <x v="9"/>
    <n v="1902013"/>
    <s v="VOLCAN WRAP BARRERA DE VAPOR (PAPEL KRAFT LAM C/ POLIETILENO) 1,2X0,5M E: 0,123 MM (6KG 60M2 X RLL)"/>
    <s v="RLL"/>
    <n v="314"/>
    <n v="0.25"/>
    <n v="22"/>
    <x v="13"/>
    <n v="411"/>
    <n v="389"/>
    <n v="130.33466250000004"/>
    <n v="2.9846242936333218"/>
    <n v="0.1687962325448151"/>
    <n v="3.1534205261781367"/>
    <s v=""/>
    <n v="40087.627345844507"/>
    <s v=""/>
    <n v="881927.80160857912"/>
  </r>
  <r>
    <x v="10"/>
    <n v="304007"/>
    <s v="PLACA OSB STANDARD DE 1.22 x 2.44 x 11.1 MM ( 72 X PAQUETE )"/>
    <s v="PL"/>
    <n v="1288"/>
    <n v="1"/>
    <n v="233"/>
    <x v="6"/>
    <n v="1385"/>
    <n v="1152"/>
    <n v="8.6625000000000014"/>
    <n v="132.98701298701297"/>
    <n v="26.897546897546892"/>
    <n v="159.88455988455985"/>
    <n v="91.542907949834358"/>
    <n v="11497.288819875776"/>
    <n v="1052495.2521105479"/>
    <n v="2678868.2950310558"/>
  </r>
  <r>
    <x v="10"/>
    <n v="701043"/>
    <s v="PLANCHA YESO CARTON VOLCAN RF 1.22 x 3.40 x 15MM WHITE BORDE CUADRADO (40PLXPQ) SKU 5002142"/>
    <s v="PL "/>
    <n v="956"/>
    <n v="0.25"/>
    <n v="76"/>
    <x v="9"/>
    <n v="1053"/>
    <n v="977"/>
    <n v="7.0875000000000012"/>
    <n v="137.84832451499116"/>
    <n v="10.723104056437387"/>
    <n v="148.57142857142856"/>
    <n v="89.037540942302854"/>
    <n v="22537.549256505576"/>
    <n v="2006687.9646652825"/>
    <n v="1712853.7434944238"/>
  </r>
  <r>
    <x v="10"/>
    <n v="302046"/>
    <s v="PINO IMPREGNADO SECO CEPILLADO G2 2 x 6&quot; x 4,00 (41 x 138 )"/>
    <s v="PZA"/>
    <n v="4837"/>
    <n v="0.25"/>
    <n v="351"/>
    <x v="8"/>
    <n v="4934"/>
    <n v="4583"/>
    <n v="34.65"/>
    <n v="132.26551226551226"/>
    <n v="10.129870129870131"/>
    <n v="142.3953823953824"/>
    <n v="105.89046515453441"/>
    <n v="10289.047343394666"/>
    <n v="1089512.0091890877"/>
    <n v="3611455.6175315278"/>
  </r>
  <r>
    <x v="10"/>
    <n v="302010"/>
    <s v="PINO IMPREGNADO SECO CEPILLADO G2 2 x 6&quot; x 3,20 (41 x 138 )"/>
    <s v="PZA"/>
    <n v="3444"/>
    <n v="0.25"/>
    <n v="252"/>
    <x v="3"/>
    <n v="3541"/>
    <n v="3289"/>
    <n v="34.912500000000023"/>
    <n v="94.206945936269179"/>
    <n v="7.21804511278195"/>
    <n v="101.42499104905113"/>
    <s v=""/>
    <n v="5690.5508432539682"/>
    <s v=""/>
    <n v="1434018.8125"/>
  </r>
  <r>
    <x v="10"/>
    <n v="1901008"/>
    <s v="AISLAN  GLASS 90 MM 0.375x12 MTS . DENSIDAD 14 KG/M3 (13.5 M2 X BOLSA) SKU 4000147"/>
    <s v="M2"/>
    <n v="6747"/>
    <n v="0.25"/>
    <n v="27"/>
    <x v="10"/>
    <n v="6844"/>
    <n v="6817"/>
    <n v="62.430325650000007"/>
    <n v="109.19372803239573"/>
    <n v="0.43248212657689378"/>
    <n v="109.62621015897263"/>
    <s v=""/>
    <n v="2062.9827561636025"/>
    <s v=""/>
    <n v="55700.534416417271"/>
  </r>
  <r>
    <x v="10"/>
    <n v="304002"/>
    <s v="PLACA SMART SIDE R-4 SPC-M111 DE 1.220X2.440X11.1 MM (72 PL.POR PALLET )"/>
    <s v="PL"/>
    <n v="2783"/>
    <m/>
    <n v="112"/>
    <x v="11"/>
    <n v="3240"/>
    <n v="3128"/>
    <n v="23.296874999999996"/>
    <n v="134.2669349429913"/>
    <n v="4.8075117370892029"/>
    <n v="139.07444668008051"/>
    <n v="104.03033897550291"/>
    <n v="21604.880388238653"/>
    <n v="2247563.0303136623"/>
    <n v="2419746.6034827293"/>
  </r>
  <r>
    <x v="10"/>
    <n v="304101"/>
    <s v="PLACA LP OSB STANDAR 1.22 x2.44 x 9.5 MM APA PT-OECA095   (84 PL.xPAQ)"/>
    <s v="PL"/>
    <n v="5137"/>
    <n v="0.25"/>
    <n v="122"/>
    <x v="1"/>
    <n v="5234"/>
    <n v="5112"/>
    <n v="47.643749999999976"/>
    <n v="107.2963400236128"/>
    <n v="2.5606716515807437"/>
    <n v="109.85701167519355"/>
    <s v=""/>
    <n v="9649.1185596629002"/>
    <s v=""/>
    <n v="1177192.4642788738"/>
  </r>
  <r>
    <x v="10"/>
    <n v="302028"/>
    <s v="PINO IMPREGNADO SECO CEPILLADO G2 2 x 4&quot; x 3,20 (41 x 90 )"/>
    <s v="PZA"/>
    <n v="10201"/>
    <n v="0.5"/>
    <n v="266"/>
    <x v="4"/>
    <n v="10298"/>
    <n v="10032"/>
    <n v="172.72499999999994"/>
    <n v="58.080764220581869"/>
    <n v="1.5400202634245193"/>
    <n v="59.620784484006393"/>
    <s v=""/>
    <n v="4769.5117820983787"/>
    <s v=""/>
    <n v="1268690.1340381687"/>
  </r>
  <r>
    <x v="10"/>
    <n v="304049"/>
    <s v="TERCIADO FENOLICO CD DE 1,22 X 2,44 X 15 mm (65 PL X PQTE)"/>
    <s v="PL"/>
    <n v="2510"/>
    <n v="0.125"/>
    <n v="238"/>
    <x v="5"/>
    <n v="2607"/>
    <n v="2369"/>
    <n v="23.273250000000008"/>
    <n v="101.79068243584369"/>
    <n v="10.226332806977965"/>
    <n v="112.01701524282166"/>
    <n v="105.18687698354026"/>
    <n v="15095.117424242424"/>
    <n v="1587808.259555883"/>
    <n v="3592637.9469696968"/>
  </r>
  <r>
    <x v="10"/>
    <n v="701096"/>
    <s v="PLANCHA YESO CARTON VOLCAN RF 122 x 2.44 x 15 LINEN GREY BORDE CUADRADO 70 PLXPALLET SKU 5002205"/>
    <s v="PL"/>
    <n v="2854"/>
    <n v="11.25"/>
    <n v="348"/>
    <x v="7"/>
    <n v="2951"/>
    <n v="2603"/>
    <n v="31.237499999999997"/>
    <n v="83.329331732693092"/>
    <n v="11.14045618247299"/>
    <n v="94.46978791516608"/>
    <s v=""/>
    <n v="16231.199726402188"/>
    <s v=""/>
    <n v="5648457.504787962"/>
  </r>
  <r>
    <x v="10"/>
    <n v="701040"/>
    <s v="PLANCHA YESO CARTON RF 1.22x2.44x15 BORDE CUADRADO S/PAPEL ( 2,9768 M2 X PL=70 PLX PQTE) SKU 5001097"/>
    <s v="PL"/>
    <n v="1055"/>
    <n v="11.25"/>
    <n v="72"/>
    <x v="12"/>
    <n v="1152"/>
    <n v="1080"/>
    <n v="4.2840000000000007"/>
    <n v="252.10084033613441"/>
    <n v="16.806722689075627"/>
    <n v="268.90756302521004"/>
    <n v="47.22979387833567"/>
    <n v="7627.9022026431721"/>
    <n v="360264.24875493965"/>
    <n v="549208.95859030844"/>
  </r>
  <r>
    <x v="10"/>
    <n v="1902003"/>
    <s v="TYPAR VOLCANWRAP ROLLO DE 2,743 x 45,72 MTS ( 125 M2 x ROLLO ) SKU 7000031"/>
    <s v="RLL"/>
    <n v="93"/>
    <n v="0.375"/>
    <n v="8"/>
    <x v="13"/>
    <n v="206"/>
    <n v="198"/>
    <n v="0.41466600000000009"/>
    <n v="477.49272908798878"/>
    <n v="19.292635518706618"/>
    <n v="496.7853646066954"/>
    <n v="-1088.0373712980936"/>
    <n v="150758.376146789"/>
    <n v="-164030747.28392151"/>
    <n v="1206067.009174312"/>
  </r>
  <r>
    <x v="10"/>
    <s v="030253X"/>
    <s v="PINO SYP GRADO 2 PRIME IMPREGNADO DE  3&quot; x 8&quot; x 10' (63x184 mm)"/>
    <s v="PZA"/>
    <n v="888"/>
    <n v="0"/>
    <n v="89"/>
    <x v="0"/>
    <n v="985"/>
    <n v="896"/>
    <n v="6.3000000000000007"/>
    <n v="142.2222222222222"/>
    <n v="14.126984126984125"/>
    <n v="156.34920634920633"/>
    <n v="85.182665658856138"/>
    <n v="15443.519144144144"/>
    <n v="1315520.1278517747"/>
    <n v="1374473.2038288289"/>
  </r>
  <r>
    <x v="10"/>
    <n v="701084"/>
    <s v="FIBROCEMENTO LISO 1.2 x 2.40 x 22 MM (VOLCAN)"/>
    <s v="PL"/>
    <n v="132"/>
    <n v="0"/>
    <n v="35"/>
    <x v="14"/>
    <n v="229"/>
    <n v="194"/>
    <n v="0.69825000000000004"/>
    <n v="277.83745076978158"/>
    <n v="50.125313283208015"/>
    <n v="327.9627640529896"/>
    <n v="-359.69246552522674"/>
    <n v="39468.96212121212"/>
    <n v="-14196688.29710057"/>
    <n v="1381413.6742424243"/>
  </r>
  <r>
    <x v="10"/>
    <n v="5309018"/>
    <s v="CINTA POLIESTER DE 2&quot; COLOR VERDE (ROLLO= 100 mt=15 kg)"/>
    <s v="M2"/>
    <n v="3700"/>
    <n v="0.75"/>
    <n v="4"/>
    <x v="13"/>
    <n v="3797"/>
    <n v="3793"/>
    <n v="34.649999999999991"/>
    <n v="109.4660894660895"/>
    <n v="0.11544011544011547"/>
    <n v="109.58152958152961"/>
    <s v=""/>
    <n v="707.86891891891889"/>
    <s v=""/>
    <n v="2831.4756756756756"/>
  </r>
  <r>
    <x v="10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10"/>
    <n v="302054"/>
    <s v="PINO NACIONAL GRADO C-16/C-24 DE 2&quot; x 4&quot; x 2,44 m (41x90mm) (VIVIENDAS SOCIALES) "/>
    <s v="PZA"/>
    <n v="15936"/>
    <m/>
    <n v="0"/>
    <x v="13"/>
    <n v="16033"/>
    <n v="16033"/>
    <n v="34.543750000000003"/>
    <n v="464.13605934503346"/>
    <n v="0"/>
    <n v="464.13605934503346"/>
    <n v="96.563819523212345"/>
    <n v="4843.5655884995504"/>
    <n v="467713.19333671237"/>
    <n v="0"/>
  </r>
  <r>
    <x v="10"/>
    <n v="302048"/>
    <s v="PINO NACIONAL ESTRUCTURAL CEPILLADO 4/CARAS  IMPREGNADO DE  2 X 8 X 4.00 (41 x 185 MM ) (VVSS)"/>
    <s v="PZA"/>
    <n v="2814"/>
    <n v="0.125"/>
    <n v="96"/>
    <x v="2"/>
    <n v="2911"/>
    <n v="2815"/>
    <n v="35.174999999999997"/>
    <n v="80.02842928216063"/>
    <n v="2.729211087420043"/>
    <n v="82.75764036958067"/>
    <s v=""/>
    <n v="13769.264887063655"/>
    <s v=""/>
    <n v="1321849.4291581109"/>
  </r>
  <r>
    <x v="10"/>
    <n v="705028"/>
    <s v="PLACA FIBROCEMENTO SIMPLISIMA CENIA BEIGE 2400 MM x 1200 MM x 6 MM"/>
    <s v="PL"/>
    <n v="449"/>
    <m/>
    <n v="53"/>
    <x v="16"/>
    <n v="546"/>
    <n v="493"/>
    <n v="3.6749999999999998"/>
    <n v="134.14965986394557"/>
    <n v="14.421768707482993"/>
    <n v="148.57142857142858"/>
    <n v="69.572400388726919"/>
    <n v="22787.11135857461"/>
    <n v="1585354.0351412597"/>
    <n v="1207716.9020044543"/>
  </r>
  <r>
    <x v="10"/>
    <n v="1902013"/>
    <s v="VOLCAN WRAP BARRERA DE VAPOR (PAPEL KRAFT LAM C/ POLIETILENO) 1,2X0,5M E: 0,123 MM (6KG 60M2 X RLL)"/>
    <s v="RLL"/>
    <n v="333"/>
    <n v="4"/>
    <n v="19"/>
    <x v="13"/>
    <n v="430"/>
    <n v="411"/>
    <n v="130.33466250000004"/>
    <n v="3.1534205261781367"/>
    <n v="0.14577856447052215"/>
    <n v="3.299199090648659"/>
    <s v=""/>
    <n v="40087.627345844507"/>
    <s v=""/>
    <n v="761664.91957104567"/>
  </r>
  <r>
    <x v="11"/>
    <n v="304007"/>
    <s v="PLACA OSB STANDARD DE 1.22 x 2.44 x 11.1 MM ( 72 X PAQUETE )"/>
    <s v="PL"/>
    <m/>
    <n v="1.2499999999999999E-2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1"/>
    <n v="701043"/>
    <s v="PLANCHA YESO CARTON VOLCAN RF 1.22 x 3.40 x 15MM WHITE BORDE CUADRADO (40PLXPQ) SKU 5002142"/>
    <s v="PL "/>
    <m/>
    <n v="4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1"/>
    <n v="302046"/>
    <s v="PINO IMPREGNADO SECO CEPILLADO G2 2 x 6&quot; x 4,00 (41 x 138 )"/>
    <s v="PZA"/>
    <m/>
    <n v="0.2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1"/>
    <n v="302010"/>
    <s v="PINO IMPREGNADO SECO CEPILLADO G2 2 x 6&quot; x 3,20 (41 x 138 )"/>
    <s v="PZA"/>
    <m/>
    <n v="0.25"/>
    <m/>
    <x v="3"/>
    <n v="3541"/>
    <n v="3541"/>
    <n v="34.912500000000023"/>
    <n v="101.42499104905113"/>
    <n v="0"/>
    <n v="101.42499104905113"/>
    <s v=""/>
    <n v="5690.5508432539682"/>
    <s v=""/>
    <n v="0"/>
  </r>
  <r>
    <x v="11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1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1"/>
    <n v="304101"/>
    <s v="PLACA LP OSB STANDAR 1.22 x2.44 x 9.5 MM APA PT-OECA095   (84 PL.xPAQ)"/>
    <s v="PL"/>
    <m/>
    <n v="10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1"/>
    <n v="302028"/>
    <s v="PINO IMPREGNADO SECO CEPILLADO G2 2 x 4&quot; x 3,20 (41 x 90 )"/>
    <s v="PZA"/>
    <m/>
    <n v="3.75"/>
    <m/>
    <x v="4"/>
    <n v="10658"/>
    <n v="10658"/>
    <n v="172.72499999999994"/>
    <n v="61.705022434505743"/>
    <n v="0"/>
    <n v="61.705022434505743"/>
    <s v=""/>
    <n v="4769.5117820983787"/>
    <s v=""/>
    <n v="0"/>
  </r>
  <r>
    <x v="11"/>
    <n v="304049"/>
    <s v="TERCIADO FENOLICO CD DE 1,22 X 2,44 X 15 mm (65 PL X PQTE)"/>
    <s v="PL"/>
    <m/>
    <n v="7.4999999999999997E-2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1"/>
    <n v="701096"/>
    <s v="PLANCHA YESO CARTON VOLCAN RF 122 x 2.44 x 15 LINEN GREY BORDE CUADRADO 70 PLXPALLET SKU 5002205"/>
    <s v="PL"/>
    <m/>
    <n v="1"/>
    <m/>
    <x v="7"/>
    <n v="3021"/>
    <n v="3021"/>
    <n v="31.237499999999997"/>
    <n v="96.710684273709489"/>
    <n v="0"/>
    <n v="96.710684273709489"/>
    <s v=""/>
    <n v="16231.199726402188"/>
    <s v=""/>
    <n v="0"/>
  </r>
  <r>
    <x v="11"/>
    <n v="701040"/>
    <s v="PLANCHA YESO CARTON RF 1.22x2.44x15 BORDE CUADRADO S/PAPEL ( 2,9768 M2 X PL=70 PLX PQTE) SKU 5001097"/>
    <s v="PL"/>
    <m/>
    <n v="1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1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1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1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1"/>
    <n v="5309018"/>
    <s v="CINTA POLIESTER DE 2&quot; COLOR VERDE (ROLLO= 100 mt=15 kg)"/>
    <s v="M2"/>
    <m/>
    <n v="460"/>
    <m/>
    <x v="13"/>
    <n v="3797"/>
    <n v="3797"/>
    <n v="34.649999999999991"/>
    <n v="109.58152958152961"/>
    <n v="0"/>
    <n v="109.58152958152961"/>
    <s v=""/>
    <n v="707.86891891891889"/>
    <s v=""/>
    <n v="0"/>
  </r>
  <r>
    <x v="11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1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1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1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1"/>
    <n v="1902013"/>
    <s v="VOLCAN WRAP BARRERA DE VAPOR (PAPEL KRAFT LAM C/ POLIETILENO) 1,2X0,5M E: 0,123 MM (6KG 60M2 X RLL)"/>
    <s v="RLL"/>
    <m/>
    <n v="2"/>
    <m/>
    <x v="13"/>
    <n v="470"/>
    <n v="470"/>
    <n v="130.33466250000004"/>
    <n v="3.6061013316392319"/>
    <n v="0"/>
    <n v="3.6061013316392319"/>
    <s v=""/>
    <n v="40087.627345844507"/>
    <s v=""/>
    <n v="0"/>
  </r>
  <r>
    <x v="12"/>
    <n v="304007"/>
    <s v="PLACA OSB STANDARD DE 1.22 x 2.44 x 11.1 MM ( 72 X PAQUETE )"/>
    <s v="PL"/>
    <m/>
    <n v="0.125"/>
    <n v="31"/>
    <x v="6"/>
    <n v="1385"/>
    <n v="1354"/>
    <n v="8.6625000000000014"/>
    <n v="156.30591630591627"/>
    <n v="3.578643578643578"/>
    <n v="159.88455988455985"/>
    <n v="91.542907949834358"/>
    <n v="11497.288819875776"/>
    <n v="1052495.2521105479"/>
    <n v="356415.95341614902"/>
  </r>
  <r>
    <x v="12"/>
    <n v="701043"/>
    <s v="PLANCHA YESO CARTON VOLCAN RF 1.22 x 3.40 x 15MM WHITE BORDE CUADRADO (40PLXPQ) SKU 5002142"/>
    <s v="PL "/>
    <m/>
    <n v="2"/>
    <n v="198"/>
    <x v="9"/>
    <n v="1173"/>
    <n v="975"/>
    <n v="7.0875000000000012"/>
    <n v="137.56613756613754"/>
    <n v="27.936507936507933"/>
    <n v="165.50264550264546"/>
    <n v="86.648656719203473"/>
    <n v="22537.549256505576"/>
    <n v="1952848.368819091"/>
    <n v="4462434.7527881041"/>
  </r>
  <r>
    <x v="12"/>
    <n v="302046"/>
    <s v="PINO IMPREGNADO SECO CEPILLADO G2 2 x 6&quot; x 4,00 (41 x 138 )"/>
    <s v="PZA"/>
    <m/>
    <n v="10"/>
    <n v="358"/>
    <x v="8"/>
    <n v="4934"/>
    <n v="4576"/>
    <n v="34.65"/>
    <n v="132.06349206349208"/>
    <n v="10.331890331890332"/>
    <n v="142.3953823953824"/>
    <n v="105.89046515453441"/>
    <n v="10289.047343394666"/>
    <n v="1089512.0091890877"/>
    <n v="3683478.9489352903"/>
  </r>
  <r>
    <x v="12"/>
    <n v="302010"/>
    <s v="PINO IMPREGNADO SECO CEPILLADO G2 2 x 6&quot; x 3,20 (41 x 138 )"/>
    <s v="PZA"/>
    <m/>
    <n v="10"/>
    <n v="336"/>
    <x v="3"/>
    <n v="3541"/>
    <n v="3205"/>
    <n v="34.912500000000023"/>
    <n v="91.800930898675205"/>
    <n v="9.624060150375934"/>
    <n v="101.42499104905113"/>
    <s v=""/>
    <n v="5690.5508432539682"/>
    <s v=""/>
    <n v="1912025.0833333333"/>
  </r>
  <r>
    <x v="12"/>
    <n v="1901008"/>
    <s v="AISLAN  GLASS 90 MM 0.375x12 MTS . DENSIDAD 14 KG/M3 (13.5 M2 X BOLSA) SKU 4000147"/>
    <s v="M2"/>
    <m/>
    <n v="0"/>
    <n v="27"/>
    <x v="10"/>
    <n v="7114"/>
    <n v="7087"/>
    <n v="62.430325650000007"/>
    <n v="113.51854929816467"/>
    <n v="0.43248212657689378"/>
    <n v="113.95103142474156"/>
    <n v="108.17474872606657"/>
    <n v="2062.9827561636025"/>
    <n v="223162.64127420596"/>
    <n v="55700.534416417271"/>
  </r>
  <r>
    <x v="12"/>
    <n v="304002"/>
    <s v="PLACA SMART SIDE R-4 SPC-M111 DE 1.220X2.440X11.1 MM (72 PL.POR PALLET )"/>
    <s v="PL"/>
    <m/>
    <m/>
    <n v="231"/>
    <x v="11"/>
    <n v="3600"/>
    <n v="3369"/>
    <n v="23.296874999999996"/>
    <n v="144.61167002012075"/>
    <n v="9.9154929577464799"/>
    <n v="154.52716297786722"/>
    <n v="103.36704330611435"/>
    <n v="21604.880388238653"/>
    <n v="2233232.6067144857"/>
    <n v="4990727.3696831288"/>
  </r>
  <r>
    <x v="12"/>
    <n v="304101"/>
    <s v="PLACA LP OSB STANDAR 1.22 x2.44 x 9.5 MM APA PT-OECA095   (84 PL.xPAQ)"/>
    <s v="PL"/>
    <m/>
    <n v="8.375"/>
    <n v="216"/>
    <x v="1"/>
    <n v="5318"/>
    <n v="5102"/>
    <n v="47.643749999999976"/>
    <n v="107.08644890463077"/>
    <n v="4.5336481700118085"/>
    <n v="111.62009707464259"/>
    <n v="107.65719329241206"/>
    <n v="9649.1185596629002"/>
    <n v="1038797.0218790295"/>
    <n v="2084209.6088871865"/>
  </r>
  <r>
    <x v="12"/>
    <n v="302028"/>
    <s v="PINO IMPREGNADO SECO CEPILLADO G2 2 x 4&quot; x 3,20 (41 x 90 )"/>
    <s v="PZA"/>
    <m/>
    <n v="0.17"/>
    <n v="96"/>
    <x v="4"/>
    <n v="10658"/>
    <n v="10562"/>
    <n v="172.72499999999994"/>
    <n v="61.149225647705912"/>
    <n v="0.55579678679982647"/>
    <n v="61.705022434505743"/>
    <s v=""/>
    <n v="4769.5117820983787"/>
    <s v=""/>
    <n v="457873.13108144433"/>
  </r>
  <r>
    <x v="12"/>
    <n v="304049"/>
    <s v="TERCIADO FENOLICO CD DE 1,22 X 2,44 X 15 mm (65 PL X PQTE)"/>
    <s v="PL"/>
    <m/>
    <n v="0.25"/>
    <n v="168"/>
    <x v="5"/>
    <n v="2737"/>
    <n v="2569"/>
    <n v="23.273250000000008"/>
    <n v="110.38423941649744"/>
    <n v="7.2185878637491516"/>
    <n v="117.6028272802466"/>
    <n v="104.94686701340609"/>
    <n v="15095.117424242424"/>
    <n v="1584185.2808737187"/>
    <n v="2535979.7272727271"/>
  </r>
  <r>
    <x v="12"/>
    <n v="701096"/>
    <s v="PLANCHA YESO CARTON VOLCAN RF 122 x 2.44 x 15 LINEN GREY BORDE CUADRADO 70 PLXPALLET SKU 5002205"/>
    <s v="PL"/>
    <m/>
    <n v="1"/>
    <n v="244"/>
    <x v="7"/>
    <n v="3021"/>
    <n v="2777"/>
    <n v="31.237499999999997"/>
    <n v="88.899559823929579"/>
    <n v="7.8111244497799124"/>
    <n v="96.710684273709489"/>
    <s v=""/>
    <n v="16231.199726402188"/>
    <s v=""/>
    <n v="3960412.7332421341"/>
  </r>
  <r>
    <x v="12"/>
    <n v="701040"/>
    <s v="PLANCHA YESO CARTON RF 1.22x2.44x15 BORDE CUADRADO S/PAPEL ( 2,9768 M2 X PL=70 PLX PQTE) SKU 5001097"/>
    <s v="PL"/>
    <m/>
    <n v="1"/>
    <n v="289"/>
    <x v="12"/>
    <n v="1232"/>
    <n v="943"/>
    <n v="4.2840000000000007"/>
    <n v="220.12138188608773"/>
    <n v="67.460317460317455"/>
    <n v="287.58169934640517"/>
    <n v="42.870751786553427"/>
    <n v="7627.9022026431721"/>
    <n v="327013.90198161959"/>
    <n v="2204463.7365638767"/>
  </r>
  <r>
    <x v="12"/>
    <n v="1902003"/>
    <s v="TYPAR VOLCANWRAP ROLLO DE 2,743 x 45,72 MTS ( 125 M2 x ROLLO ) SKU 7000031"/>
    <s v="RLL"/>
    <m/>
    <n v="0"/>
    <n v="11"/>
    <x v="13"/>
    <n v="206"/>
    <n v="195"/>
    <n v="0.41466600000000009"/>
    <n v="470.2579907684738"/>
    <n v="26.5273738382216"/>
    <n v="496.7853646066954"/>
    <n v="-1088.0373712980936"/>
    <n v="150758.376146789"/>
    <n v="-164030747.28392151"/>
    <n v="1658342.1376146791"/>
  </r>
  <r>
    <x v="12"/>
    <s v="030253X"/>
    <s v="PINO SYP GRADO 2 PRIME IMPREGNADO DE  3&quot; x 8&quot; x 10' (63x184 mm)"/>
    <s v="PZA"/>
    <m/>
    <n v="0"/>
    <n v="103"/>
    <x v="0"/>
    <n v="985"/>
    <n v="882"/>
    <n v="6.3000000000000007"/>
    <n v="139.99999999999997"/>
    <n v="16.349206349206348"/>
    <n v="156.34920634920633"/>
    <n v="85.182665658856138"/>
    <n v="15443.519144144144"/>
    <n v="1315520.1278517747"/>
    <n v="1590682.4718468469"/>
  </r>
  <r>
    <x v="12"/>
    <n v="701084"/>
    <s v="FIBROCEMENTO LISO 1.2 x 2.40 x 22 MM (VOLCAN)"/>
    <s v="PL"/>
    <m/>
    <n v="0"/>
    <n v="40"/>
    <x v="14"/>
    <n v="229"/>
    <n v="189"/>
    <n v="0.69825000000000004"/>
    <n v="270.6766917293233"/>
    <n v="57.286072323666303"/>
    <n v="327.9627640529896"/>
    <n v="-359.69246552522674"/>
    <n v="39468.96212121212"/>
    <n v="-14196688.29710057"/>
    <n v="1578758.4848484849"/>
  </r>
  <r>
    <x v="12"/>
    <n v="5309018"/>
    <s v="CINTA POLIESTER DE 2&quot; COLOR VERDE (ROLLO= 100 mt=15 kg)"/>
    <s v="M2"/>
    <m/>
    <n v="0.25"/>
    <n v="13"/>
    <x v="13"/>
    <n v="3797"/>
    <n v="3784"/>
    <n v="34.649999999999991"/>
    <n v="109.20634920634923"/>
    <n v="0.37518037518037528"/>
    <n v="109.58152958152961"/>
    <s v=""/>
    <n v="707.86891891891889"/>
    <s v=""/>
    <n v="9202.2959459459453"/>
  </r>
  <r>
    <x v="12"/>
    <n v="1902014"/>
    <s v="VOLCOGLASS X RH 1,20 x 2,40 x 15MM BORDE"/>
    <s v="PL"/>
    <m/>
    <n v="0"/>
    <n v="52"/>
    <x v="15"/>
    <n v="617"/>
    <n v="565"/>
    <n v="5.5125000000000002"/>
    <n v="102.49433106575964"/>
    <n v="9.433106575963718"/>
    <n v="111.92743764172336"/>
    <n v="89.695702922136348"/>
    <n v="29799.757692307692"/>
    <n v="2672910.2131208782"/>
    <n v="1549587.4"/>
  </r>
  <r>
    <x v="12"/>
    <n v="302054"/>
    <s v="PINO NACIONAL GRADO C-16/C-24 DE 2&quot; x 4&quot; x 2,44 m (41x90mm) (VIVIENDAS SOCIALES) "/>
    <s v="PZA"/>
    <m/>
    <m/>
    <n v="624"/>
    <x v="13"/>
    <n v="17905"/>
    <n v="17281"/>
    <n v="34.543750000000003"/>
    <n v="500.26415777094263"/>
    <n v="18.064049212954586"/>
    <n v="518.32820698389719"/>
    <n v="94.995022052212136"/>
    <n v="4843.5655884995504"/>
    <n v="460114.61989085062"/>
    <n v="3022384.9272237197"/>
  </r>
  <r>
    <x v="12"/>
    <n v="302048"/>
    <s v="PINO NACIONAL ESTRUCTURAL CEPILLADO 4/CARAS  IMPREGNADO DE  2 X 8 X 4.00 (41 x 185 MM ) (VVSS)"/>
    <s v="PZA"/>
    <m/>
    <n v="0"/>
    <n v="216"/>
    <x v="2"/>
    <n v="3019"/>
    <n v="2803"/>
    <n v="35.174999999999997"/>
    <n v="79.687277896233127"/>
    <n v="6.1407249466950962"/>
    <n v="85.828002842928228"/>
    <s v=""/>
    <n v="13769.264887063655"/>
    <s v=""/>
    <n v="2974161.2156057493"/>
  </r>
  <r>
    <x v="12"/>
    <n v="705028"/>
    <s v="PLACA FIBROCEMENTO SIMPLISIMA CENIA BEIGE 2400 MM x 1200 MM x 6 MM"/>
    <s v="PL"/>
    <m/>
    <m/>
    <n v="55"/>
    <x v="16"/>
    <n v="546"/>
    <n v="491"/>
    <n v="3.6749999999999998"/>
    <n v="133.60544217687075"/>
    <n v="14.965986394557824"/>
    <n v="148.57142857142858"/>
    <n v="69.572400388726919"/>
    <n v="22787.11135857461"/>
    <n v="1585354.0351412597"/>
    <n v="1253291.1247216035"/>
  </r>
  <r>
    <x v="12"/>
    <n v="1902013"/>
    <s v="VOLCAN WRAP BARRERA DE VAPOR (PAPEL KRAFT LAM C/ POLIETILENO) 1,2X0,5M E: 0,123 MM (6KG 60M2 X RLL)"/>
    <s v="RLL"/>
    <m/>
    <n v="0.5"/>
    <n v="47"/>
    <x v="13"/>
    <n v="470"/>
    <n v="423"/>
    <n v="130.33466250000004"/>
    <n v="3.245491198475309"/>
    <n v="0.36061013316392321"/>
    <n v="3.6061013316392319"/>
    <s v=""/>
    <n v="40087.627345844507"/>
    <s v=""/>
    <n v="1884118.4852546919"/>
  </r>
  <r>
    <x v="13"/>
    <n v="304007"/>
    <s v="PLACA OSB STANDARD DE 1.22 x 2.44 x 11.1 MM ( 72 X PAQUETE )"/>
    <s v="PL"/>
    <m/>
    <n v="0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3"/>
    <n v="701043"/>
    <s v="PLANCHA YESO CARTON VOLCAN RF 1.22 x 3.40 x 15MM WHITE BORDE CUADRADO (40PLXPQ) SKU 5002142"/>
    <s v="PL "/>
    <m/>
    <n v="0.5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3"/>
    <n v="302046"/>
    <s v="PINO IMPREGNADO SECO CEPILLADO G2 2 x 6&quot; x 4,00 (41 x 138 )"/>
    <s v="PZA"/>
    <m/>
    <n v="8.37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3"/>
    <n v="302010"/>
    <s v="PINO IMPREGNADO SECO CEPILLADO G2 2 x 6&quot; x 3,20 (41 x 138 )"/>
    <s v="PZA"/>
    <m/>
    <n v="8.375"/>
    <m/>
    <x v="3"/>
    <n v="3541"/>
    <n v="3541"/>
    <n v="34.912500000000023"/>
    <n v="101.42499104905113"/>
    <n v="0"/>
    <n v="101.42499104905113"/>
    <s v=""/>
    <n v="5690.5508432539682"/>
    <s v=""/>
    <n v="0"/>
  </r>
  <r>
    <x v="13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3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3"/>
    <n v="304101"/>
    <s v="PLACA LP OSB STANDAR 1.22 x2.44 x 9.5 MM APA PT-OECA095   (84 PL.xPAQ)"/>
    <s v="PL"/>
    <m/>
    <n v="0.25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3"/>
    <n v="302028"/>
    <s v="PINO IMPREGNADO SECO CEPILLADO G2 2 x 4&quot; x 3,20 (41 x 90 )"/>
    <s v="PZA"/>
    <m/>
    <n v="0.25"/>
    <m/>
    <x v="4"/>
    <n v="10658"/>
    <n v="10658"/>
    <n v="172.72499999999994"/>
    <n v="61.705022434505743"/>
    <n v="0"/>
    <n v="61.705022434505743"/>
    <s v=""/>
    <n v="4769.5117820983787"/>
    <s v=""/>
    <n v="0"/>
  </r>
  <r>
    <x v="13"/>
    <n v="304049"/>
    <s v="TERCIADO FENOLICO CD DE 1,22 X 2,44 X 15 mm (65 PL X PQTE)"/>
    <s v="PL"/>
    <m/>
    <n v="0.25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3"/>
    <n v="701096"/>
    <s v="PLANCHA YESO CARTON VOLCAN RF 122 x 2.44 x 15 LINEN GREY BORDE CUADRADO 70 PLXPALLET SKU 5002205"/>
    <s v="PL"/>
    <m/>
    <n v="0.25"/>
    <m/>
    <x v="7"/>
    <n v="3021"/>
    <n v="3021"/>
    <n v="31.237499999999997"/>
    <n v="96.710684273709489"/>
    <n v="0"/>
    <n v="96.710684273709489"/>
    <s v=""/>
    <n v="16231.199726402188"/>
    <s v=""/>
    <n v="0"/>
  </r>
  <r>
    <x v="13"/>
    <n v="701040"/>
    <s v="PLANCHA YESO CARTON RF 1.22x2.44x15 BORDE CUADRADO S/PAPEL ( 2,9768 M2 X PL=70 PLX PQTE) SKU 5001097"/>
    <s v="PL"/>
    <m/>
    <n v="0.25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3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3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3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3"/>
    <n v="5309018"/>
    <s v="CINTA POLIESTER DE 2&quot; COLOR VERDE (ROLLO= 100 mt=15 kg)"/>
    <s v="M2"/>
    <m/>
    <n v="0.25"/>
    <m/>
    <x v="13"/>
    <n v="3797"/>
    <n v="3797"/>
    <n v="34.649999999999991"/>
    <n v="109.58152958152961"/>
    <n v="0"/>
    <n v="109.58152958152961"/>
    <s v=""/>
    <n v="707.86891891891889"/>
    <s v=""/>
    <n v="0"/>
  </r>
  <r>
    <x v="13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3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3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3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3"/>
    <n v="1902013"/>
    <s v="VOLCAN WRAP BARRERA DE VAPOR (PAPEL KRAFT LAM C/ POLIETILENO) 1,2X0,5M E: 0,123 MM (6KG 60M2 X RLL)"/>
    <s v="RLL"/>
    <m/>
    <n v="0.25"/>
    <m/>
    <x v="13"/>
    <n v="470"/>
    <n v="470"/>
    <n v="130.33466250000004"/>
    <n v="3.6061013316392319"/>
    <n v="0"/>
    <n v="3.6061013316392319"/>
    <s v=""/>
    <n v="40087.627345844507"/>
    <s v=""/>
    <n v="0"/>
  </r>
  <r>
    <x v="14"/>
    <s v="CODIGO"/>
    <s v="MATERIAL"/>
    <s v="U.M"/>
    <m/>
    <m/>
    <m/>
    <x v="17"/>
    <n v="97"/>
    <n v="97"/>
    <s v=""/>
    <e v="#VALUE!"/>
    <e v="#VALUE!"/>
    <e v="#VALUE!"/>
    <e v="#VALUE!"/>
    <s v=""/>
    <s v=""/>
    <e v="#VALUE!"/>
  </r>
  <r>
    <x v="15"/>
    <n v="304007"/>
    <s v="PLACA OSB STANDARD DE 1.22 x 2.44 x 11.1 MM ( 72 X PAQUETE )"/>
    <s v="PL"/>
    <m/>
    <n v="0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5"/>
    <n v="701043"/>
    <s v="PLANCHA YESO CARTON VOLCAN RF 1.22 x 3.40 x 15MM WHITE BORDE CUADRADO (40PLXPQ) SKU 5002142"/>
    <s v="PL "/>
    <m/>
    <n v="0.125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5"/>
    <n v="302046"/>
    <s v="PINO IMPREGNADO SECO CEPILLADO G2 2 x 6&quot; x 4,00 (41 x 138 )"/>
    <s v="PZA"/>
    <m/>
    <n v="0.2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5"/>
    <n v="302010"/>
    <s v="PINO IMPREGNADO SECO CEPILLADO G2 2 x 6&quot; x 3,20 (41 x 138 )"/>
    <s v="PZA"/>
    <m/>
    <n v="0.25"/>
    <m/>
    <x v="3"/>
    <n v="3541"/>
    <n v="3541"/>
    <n v="34.912500000000023"/>
    <n v="101.42499104905113"/>
    <n v="0"/>
    <n v="101.42499104905113"/>
    <s v=""/>
    <n v="5690.5508432539682"/>
    <s v=""/>
    <n v="0"/>
  </r>
  <r>
    <x v="15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5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5"/>
    <n v="304101"/>
    <s v="PLACA LP OSB STANDAR 1.22 x2.44 x 9.5 MM APA PT-OECA095   (84 PL.xPAQ)"/>
    <s v="PL"/>
    <m/>
    <n v="0.375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5"/>
    <n v="302028"/>
    <s v="PINO IMPREGNADO SECO CEPILLADO G2 2 x 4&quot; x 3,20 (41 x 90 )"/>
    <s v="PZA"/>
    <m/>
    <n v="0.375"/>
    <m/>
    <x v="4"/>
    <n v="10658"/>
    <n v="10658"/>
    <n v="172.72499999999994"/>
    <n v="61.705022434505743"/>
    <n v="0"/>
    <n v="61.705022434505743"/>
    <s v=""/>
    <n v="4769.5117820983787"/>
    <s v=""/>
    <n v="0"/>
  </r>
  <r>
    <x v="15"/>
    <n v="304049"/>
    <s v="TERCIADO FENOLICO CD DE 1,22 X 2,44 X 15 mm (65 PL X PQTE)"/>
    <s v="PL"/>
    <m/>
    <n v="0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5"/>
    <n v="701096"/>
    <s v="PLANCHA YESO CARTON VOLCAN RF 122 x 2.44 x 15 LINEN GREY BORDE CUADRADO 70 PLXPALLET SKU 5002205"/>
    <s v="PL"/>
    <m/>
    <n v="0"/>
    <m/>
    <x v="7"/>
    <n v="3021"/>
    <n v="3021"/>
    <n v="31.237499999999997"/>
    <n v="96.710684273709489"/>
    <n v="0"/>
    <n v="96.710684273709489"/>
    <s v=""/>
    <n v="16231.199726402188"/>
    <s v=""/>
    <n v="0"/>
  </r>
  <r>
    <x v="15"/>
    <n v="701040"/>
    <s v="PLANCHA YESO CARTON RF 1.22x2.44x15 BORDE CUADRADO S/PAPEL ( 2,9768 M2 X PL=70 PLX PQTE) SKU 5001097"/>
    <s v="PL"/>
    <m/>
    <n v="0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5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5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5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5"/>
    <n v="5309018"/>
    <s v="CINTA POLIESTER DE 2&quot; COLOR VERDE (ROLLO= 100 mt=15 kg)"/>
    <s v="M2"/>
    <m/>
    <n v="0"/>
    <m/>
    <x v="13"/>
    <n v="3797"/>
    <n v="3797"/>
    <n v="34.649999999999991"/>
    <n v="109.58152958152961"/>
    <n v="0"/>
    <n v="109.58152958152961"/>
    <s v=""/>
    <n v="707.86891891891889"/>
    <s v=""/>
    <n v="0"/>
  </r>
  <r>
    <x v="15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5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5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5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5"/>
    <n v="1902013"/>
    <s v="VOLCAN WRAP BARRERA DE VAPOR (PAPEL KRAFT LAM C/ POLIETILENO) 1,2X0,5M E: 0,123 MM (6KG 60M2 X RLL)"/>
    <s v="RLL"/>
    <m/>
    <n v="0"/>
    <m/>
    <x v="13"/>
    <n v="470"/>
    <n v="470"/>
    <n v="130.33466250000004"/>
    <n v="3.6061013316392319"/>
    <n v="0"/>
    <n v="3.6061013316392319"/>
    <s v=""/>
    <n v="40087.627345844507"/>
    <s v=""/>
    <n v="0"/>
  </r>
  <r>
    <x v="16"/>
    <n v="304007"/>
    <s v="PLACA OSB STANDARD DE 1.22 x 2.44 x 11.1 MM ( 72 X PAQUETE )"/>
    <s v="PL"/>
    <m/>
    <n v="0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6"/>
    <n v="701043"/>
    <s v="PLANCHA YESO CARTON VOLCAN RF 1.22 x 3.40 x 15MM WHITE BORDE CUADRADO (40PLXPQ) SKU 5002142"/>
    <s v="PL "/>
    <m/>
    <n v="0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6"/>
    <n v="302046"/>
    <s v="PINO IMPREGNADO SECO CEPILLADO G2 2 x 6&quot; x 4,00 (41 x 138 )"/>
    <s v="PZA"/>
    <m/>
    <n v="0.37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6"/>
    <n v="302010"/>
    <s v="PINO IMPREGNADO SECO CEPILLADO G2 2 x 6&quot; x 3,20 (41 x 138 )"/>
    <s v="PZA"/>
    <m/>
    <n v="0.375"/>
    <m/>
    <x v="3"/>
    <n v="3541"/>
    <n v="3541"/>
    <n v="34.912500000000023"/>
    <n v="101.42499104905113"/>
    <n v="0"/>
    <n v="101.42499104905113"/>
    <s v=""/>
    <n v="5690.5508432539682"/>
    <s v=""/>
    <n v="0"/>
  </r>
  <r>
    <x v="16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6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6"/>
    <n v="304101"/>
    <s v="PLACA LP OSB STANDAR 1.22 x2.44 x 9.5 MM APA PT-OECA095   (84 PL.xPAQ)"/>
    <s v="PL"/>
    <m/>
    <n v="0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6"/>
    <n v="302028"/>
    <s v="PINO IMPREGNADO SECO CEPILLADO G2 2 x 4&quot; x 3,20 (41 x 90 )"/>
    <s v="PZA"/>
    <m/>
    <n v="0"/>
    <m/>
    <x v="4"/>
    <n v="10658"/>
    <n v="10658"/>
    <n v="172.72499999999994"/>
    <n v="61.705022434505743"/>
    <n v="0"/>
    <n v="61.705022434505743"/>
    <s v=""/>
    <n v="4769.5117820983787"/>
    <s v=""/>
    <n v="0"/>
  </r>
  <r>
    <x v="16"/>
    <n v="304049"/>
    <s v="TERCIADO FENOLICO CD DE 1,22 X 2,44 X 15 mm (65 PL X PQTE)"/>
    <s v="PL"/>
    <m/>
    <n v="0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6"/>
    <n v="701096"/>
    <s v="PLANCHA YESO CARTON VOLCAN RF 122 x 2.44 x 15 LINEN GREY BORDE CUADRADO 70 PLXPALLET SKU 5002205"/>
    <s v="PL"/>
    <m/>
    <n v="0"/>
    <m/>
    <x v="7"/>
    <n v="3021"/>
    <n v="3021"/>
    <n v="31.237499999999997"/>
    <n v="96.710684273709489"/>
    <n v="0"/>
    <n v="96.710684273709489"/>
    <s v=""/>
    <n v="16231.199726402188"/>
    <s v=""/>
    <n v="0"/>
  </r>
  <r>
    <x v="16"/>
    <n v="701040"/>
    <s v="PLANCHA YESO CARTON RF 1.22x2.44x15 BORDE CUADRADO S/PAPEL ( 2,9768 M2 X PL=70 PLX PQTE) SKU 5001097"/>
    <s v="PL"/>
    <m/>
    <n v="0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6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6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6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6"/>
    <n v="5309018"/>
    <s v="CINTA POLIESTER DE 2&quot; COLOR VERDE (ROLLO= 100 mt=15 kg)"/>
    <s v="M2"/>
    <m/>
    <n v="0"/>
    <m/>
    <x v="13"/>
    <n v="3797"/>
    <n v="3797"/>
    <n v="34.649999999999991"/>
    <n v="109.58152958152961"/>
    <n v="0"/>
    <n v="109.58152958152961"/>
    <s v=""/>
    <n v="707.86891891891889"/>
    <s v=""/>
    <n v="0"/>
  </r>
  <r>
    <x v="16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6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6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6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6"/>
    <n v="1902013"/>
    <s v="VOLCAN WRAP BARRERA DE VAPOR (PAPEL KRAFT LAM C/ POLIETILENO) 1,2X0,5M E: 0,123 MM (6KG 60M2 X RLL)"/>
    <s v="RLL"/>
    <m/>
    <n v="0"/>
    <m/>
    <x v="13"/>
    <n v="470"/>
    <n v="470"/>
    <n v="130.33466250000004"/>
    <n v="3.6061013316392319"/>
    <n v="0"/>
    <n v="3.6061013316392319"/>
    <s v=""/>
    <n v="40087.627345844507"/>
    <s v="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e v="#REF!"/>
    <e v="#REF!"/>
    <n v="204967292.05585891"/>
    <n v="204967292.05585891"/>
    <e v="#REF!"/>
    <e v="#REF!"/>
    <n v="0"/>
    <n v="0"/>
    <n v="0"/>
    <m/>
    <e v="#REF!"/>
  </r>
  <r>
    <x v="1"/>
    <e v="#REF!"/>
    <e v="#REF!"/>
    <n v="169945010.7783491"/>
    <n v="374912302.83420801"/>
    <e v="#REF!"/>
    <e v="#REF!"/>
    <n v="0.02"/>
    <n v="0.02"/>
    <n v="1.8050541516245484E-2"/>
    <n v="1.8050541516245484E-2"/>
    <e v="#REF!"/>
  </r>
  <r>
    <x v="2"/>
    <e v="#REF!"/>
    <e v="#REF!"/>
    <n v="194823331"/>
    <n v="569735633.83420801"/>
    <e v="#REF!"/>
    <e v="#REF!"/>
    <n v="2.3E-2"/>
    <n v="4.2999999999999997E-2"/>
    <n v="5.2264808362369332E-2"/>
    <n v="3.4214266846123845E-2"/>
    <e v="#REF!"/>
  </r>
  <r>
    <x v="3"/>
    <e v="#REF!"/>
    <e v="#REF!"/>
    <n v="496626584.60417128"/>
    <n v="1066362218.4383793"/>
    <e v="#REF!"/>
    <e v="#REF!"/>
    <n v="3.125E-2"/>
    <n v="7.4249999999999997E-2"/>
    <n v="9.3333333333333324E-2"/>
    <n v="5.9119066487209479E-2"/>
    <e v="#REF!"/>
  </r>
  <r>
    <x v="4"/>
    <e v="#REF!"/>
    <e v="#REF!"/>
    <n v="938410822.2954545"/>
    <n v="2004773040.7338338"/>
    <e v="#REF!"/>
    <e v="#REF!"/>
    <n v="6.8181818181818177E-2"/>
    <n v="0.14243181818181816"/>
    <n v="0.13650793650793649"/>
    <n v="7.7388870020727016E-2"/>
    <e v="#REF!"/>
  </r>
  <r>
    <x v="5"/>
    <e v="#REF!"/>
    <e v="#REF!"/>
    <n v="1173013527.8693182"/>
    <n v="3177786568.6031523"/>
    <e v="#REF!"/>
    <e v="#REF!"/>
    <n v="8.5227272727272721E-2"/>
    <n v="0.22765909090909087"/>
    <n v="0.17927710843373487"/>
    <n v="0.10188823841300786"/>
    <e v="#REF!"/>
  </r>
  <r>
    <x v="6"/>
    <m/>
    <e v="#REF!"/>
    <n v="1173013527.8693182"/>
    <n v="4350800096.4724703"/>
    <m/>
    <e v="#REF!"/>
    <n v="8.5227272727272721E-2"/>
    <n v="0.31288636363636357"/>
    <n v="0.20412642045454524"/>
    <m/>
    <n v="8.5227272727272721E-2"/>
  </r>
  <r>
    <x v="7"/>
    <m/>
    <e v="#REF!"/>
    <n v="1173013527.8693182"/>
    <n v="5523813624.3417883"/>
    <m/>
    <e v="#REF!"/>
    <n v="8.5227272727272721E-2"/>
    <n v="0.39811363636363628"/>
    <n v="0.20412642045454524"/>
    <m/>
    <n v="8.5227272727272721E-2"/>
  </r>
  <r>
    <x v="8"/>
    <m/>
    <e v="#REF!"/>
    <n v="1173013527.8693182"/>
    <n v="6696827152.2111063"/>
    <m/>
    <e v="#REF!"/>
    <n v="8.5227272727272721E-2"/>
    <n v="0.48334090909090899"/>
    <n v="0.20412642045454524"/>
    <m/>
    <n v="8.5227272727272721E-2"/>
  </r>
  <r>
    <x v="9"/>
    <m/>
    <e v="#REF!"/>
    <n v="1173013527.8693182"/>
    <n v="7869840680.0804243"/>
    <m/>
    <e v="#REF!"/>
    <n v="8.5227272727272721E-2"/>
    <n v="0.56856818181818169"/>
    <n v="0.17927710843373487"/>
    <m/>
    <n v="8.5227272727272721E-2"/>
  </r>
  <r>
    <x v="10"/>
    <m/>
    <e v="#REF!"/>
    <n v="1173013527.8693182"/>
    <n v="9042854207.9497433"/>
    <m/>
    <e v="#REF!"/>
    <n v="8.5227272727272721E-2"/>
    <n v="0.6537954545454544"/>
    <n v="0.20412642045454524"/>
    <m/>
    <n v="8.5227272727272721E-2"/>
  </r>
  <r>
    <x v="11"/>
    <m/>
    <e v="#REF!"/>
    <n v="1173013527.8693182"/>
    <n v="10215867735.819061"/>
    <m/>
    <e v="#REF!"/>
    <n v="8.5227272727272721E-2"/>
    <n v="0.73902272727272711"/>
    <n v="0.20412642045454524"/>
    <m/>
    <n v="8.5227272727272721E-2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74">
  <r>
    <d v="2025-10-14T00:00:00"/>
    <d v="2025-10-14T00:00:0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d v="2025-10-14T00:00:0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d v="2025-10-14T00:00:0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d v="2025-10-14T00:00:0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d v="2025-10-14T00:00:0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d v="2025-10-14T00:00:0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d v="2025-10-14T00:00:0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d v="2025-10-14T00:00:0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d v="2025-10-14T00:00:0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d v="2025-10-14T00:00:0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d v="2025-10-14T00:00:0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d v="2025-10-14T00:00:0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d v="2025-11-04T00:00:00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d v="2025-11-04T00:00:00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d v="2025-11-04T00:00:00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d v="2025-11-04T00:00:00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d v="2025-11-04T00:00:00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d v="2025-11-04T00:00:00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d v="2025-11-04T00:00:00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d v="2025-11-19T00:00:00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d v="2025-11-14T00:00:00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d v="2025-11-14T00:00:00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d v="2025-11-14T00:00:00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d v="2025-11-18T00:00:00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d v="2025-11-18T00:00:00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d v="2025-11-18T00:00:00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d v="2025-11-18T00:00:00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d v="2025-11-18T00:00:00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d v="2025-11-18T00:00:00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d v="2025-11-18T00:00:00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d v="2025-11-18T00:00:00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d v="2025-11-18T00:00:00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d v="2025-11-18T00:00:00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d v="2025-11-18T00:00:00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d v="2025-11-18T00:00:00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d v="2025-11-18T00:00:00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d v="2025-11-18T00:00:00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d v="2025-11-18T00:00:00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d v="2025-11-18T00:00:00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d v="2025-11-18T00:00:00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d v="2025-11-18T00:00:00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d v="2025-11-18T00:00:00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d v="2025-11-18T00:00:00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d v="2025-11-18T00:00:00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d v="2025-11-18T00:00:00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d v="2025-11-18T00:00:00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d v="2025-11-18T00:00:00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d v="2025-11-18T00:00:00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d v="2025-11-25T00:00:00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d v="2025-11-25T00:00:00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d v="2025-10-30T00:00:00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d v="2025-10-24T00:00:00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d v="2025-10-22T00:00:00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d v="2025-10-21T00:00:00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d v="2025-10-20T00:00:0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d v="2025-10-15T00:00:00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d v="2025-10-15T00:00:00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d v="2025-10-15T00:00:00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d v="2025-10-15T00:00:00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d v="2025-10-10T00:00:00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d v="2025-10-10T00:00:00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d v="2025-10-10T00:00:00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d v="2025-10-09T00:00:00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d v="2025-11-13T00:00:00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d v="2025-11-24T00:00:00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d v="2025-11-24T00:00:00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d v="2025-11-24T00:00:00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d v="2025-11-24T00:00:00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d v="2025-11-24T00:00:00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d v="2025-11-24T00:00:00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d v="2025-11-24T00:00:00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d v="2025-11-24T00:00:00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d v="2025-11-24T00:00:00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d v="2025-11-24T00:00:00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d v="2025-11-24T00:00:00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d v="2025-11-24T00:00:00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d v="2025-11-24T00:00:00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d v="2025-11-24T00:00:00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d v="2025-10-08T00:00:00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d v="2025-10-08T00:00:00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d v="2025-10-08T00:00:00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d v="2025-10-08T00:00:0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d v="2025-10-08T00:00:00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d v="2025-10-08T00:00:00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d v="2025-10-08T00:00:00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d v="2025-10-08T00:00:00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d v="2025-10-08T00:00:00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d v="2025-10-08T00:00:00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d v="2025-10-08T00:00:00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d v="2025-10-08T00:00:00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d v="2025-10-08T00:00:00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d v="2025-10-08T00:00:00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d v="2025-10-08T00:00:00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d v="2025-10-08T00:00:0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d v="2025-10-08T00:00:00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d v="2025-10-08T00:00:00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d v="2025-10-14T00:00:0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d v="2025-10-14T00:00:0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d v="2025-10-14T00:00:0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d v="2025-10-14T00:00:0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d v="2025-10-14T00:00:0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d v="2025-10-14T00:00:0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d v="2025-10-14T00:00:0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d v="2025-10-14T00:00:0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d v="2025-10-14T00:00:0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d v="2025-10-14T00:00:0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d v="2025-10-14T00:00:0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d v="2025-10-14T00:00:0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d v="2025-11-25T00:00:00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d v="2025-11-25T00:00:00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d v="2025-11-25T00:00:00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d v="2025-11-25T00:00:00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d v="2025-11-25T00:00:00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d v="2025-11-25T00:00:00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d v="2025-11-24T00:00:00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d v="2025-11-24T00:00:00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d v="2025-11-24T00:00:00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d v="2025-11-24T00:00:00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d v="2025-11-24T00:00:00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d v="2025-11-24T00:00:00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d v="2025-11-24T00:00:00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d v="2025-11-24T00:00:00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d v="2025-11-24T00:00:00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d v="2025-11-24T00:00:00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d v="2025-11-24T00:00:00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d v="2025-11-24T00:00:00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d v="2025-11-24T00:00:00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d v="2025-11-24T00:00:00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d v="2025-11-20T00:00:00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d v="2025-11-20T00:00:00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d v="2025-11-20T00:00:00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d v="2025-11-20T00:00:00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d v="2025-11-20T00:00:00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d v="2025-11-20T00:00:00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d v="2025-11-20T00:00:00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d v="2025-11-20T00:00:00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d v="2025-11-20T00:00:00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d v="2025-11-20T00:00:00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d v="2025-11-05T00:00:00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d v="2025-11-18T00:00:00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d v="2025-11-18T00:00:00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d v="2025-11-18T00:00:00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d v="2025-11-18T00:00:00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d v="2025-11-18T00:00:00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d v="2025-11-18T00:00:00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d v="2025-11-18T00:00:00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d v="2025-11-18T00:00:00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d v="2025-11-18T00:00:00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d v="2025-11-18T00:00:00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d v="2025-11-18T00:00:00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d v="2025-11-18T00:00:00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d v="2025-11-18T00:00:00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d v="2025-11-18T00:00:00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d v="2025-11-14T00:00:00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d v="2025-11-13T00:00:00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d v="2025-11-12T00:00:00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d v="2025-11-12T00:00:00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d v="2025-11-12T00:00:00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d v="2025-11-12T00:00:00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d v="2025-11-12T00:00:00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d v="2025-11-12T00:00:00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d v="2025-11-12T00:00:00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d v="2025-11-10T00:00:0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d v="2025-11-10T00:00:0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d v="2025-11-10T00:00:0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d v="2025-11-10T00:00:0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d v="2025-11-10T00:00:0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d v="2025-11-10T00:00:0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d v="2025-11-24T00:00:00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d v="2025-11-19T00:00:00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d v="2025-11-11T00:00:00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d v="2025-11-11T00:00:00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d v="2025-11-11T00:00:00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d v="2025-11-11T00:00:00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d v="2025-11-18T00:00:00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d v="2026-01-30T00:00:00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d v="2026-01-30T00:00:00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d v="2026-01-30T00:00:00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d v="2026-01-30T00:00:00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d v="2026-01-30T00:00:00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d v="2026-01-30T00:00:00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d v="2026-01-30T00:00:00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d v="2026-01-30T00:00:00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d v="2026-01-28T00:00:00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d v="2026-01-28T00:00:00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d v="2026-01-28T00:00:00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d v="2026-01-28T00:00:00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d v="2026-01-27T00:00:00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d v="2026-01-27T00:00:00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d v="2026-01-27T00:00:00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d v="2026-01-27T00:00:00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d v="2026-01-26T00:00:00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d v="2026-01-26T00:00:00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d v="2026-01-26T00:00:00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d v="2026-01-26T00:00:00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d v="2026-01-23T00:00:00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d v="2026-01-23T00:00:00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d v="2026-01-23T00:00:00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d v="2026-01-22T00:00:00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d v="2026-01-22T00:00:00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d v="2026-01-20T00:00:00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d v="2026-01-20T00:00:00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d v="2026-01-20T00:00:00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d v="2026-01-19T00:00:00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d v="2026-01-19T00:00:00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d v="2026-01-14T00:00:0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d v="2026-01-13T00:00:00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d v="2026-01-13T00:00:00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d v="2026-01-13T00:00:00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d v="2026-01-12T00:00:00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d v="2026-02-02T00:00:00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d v="2026-02-02T00:00:00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d v="2026-02-02T00:00:00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d v="2026-02-02T00:00:00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d v="2026-02-02T00:00:00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d v="2026-02-02T00:00:00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d v="2026-02-02T00:00:00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d v="2026-02-02T00:00:00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d v="2026-02-02T00:00:00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d v="2026-02-02T00:00:00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d v="2026-02-02T00:00:00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d v="2026-02-02T00:00:00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d v="2026-02-05T00:00:00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d v="2026-02-05T00:00:00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d v="2026-02-05T00:00:00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d v="2026-02-05T00:00:00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d v="2026-02-05T00:00:00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d v="2026-02-05T00:00:00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d v="2026-02-05T00:00:00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d v="2026-02-03T00:00:00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d v="2026-02-03T00:00:00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d v="2026-02-03T00:00:00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d v="2026-02-03T00:00:00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d v="2026-02-03T00:00:00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d v="2026-02-03T00:00:00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d v="2026-02-03T00:00:00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d v="2026-02-03T00:00:00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d v="2026-02-03T00:00:00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d v="2026-02-03T00:00:00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d v="2026-02-03T00:00:00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d v="2026-01-29T00:00:00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d v="2026-01-29T00:00:00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d v="2026-01-29T00:00:00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d v="2026-01-29T00:00:00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d v="2026-01-29T00:00:00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d v="2026-01-29T00:00:00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d v="2026-01-29T00:00:00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d v="2026-01-29T00:00:00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d v="2026-01-29T00:00:00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d v="2025-12-01T00:00:00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d v="2025-12-01T00:00:00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d v="2025-12-01T00:00:00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d v="2025-12-01T00:00:00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d v="2025-12-02T00:00:00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d v="2025-12-02T00:00:00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d v="2025-12-02T00:00:00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d v="2025-12-02T00:00:00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d v="2025-12-02T00:00:00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d v="2025-11-26T00:00:00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d v="2025-11-26T00:00:00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d v="2025-11-26T00:00:00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d v="2025-11-26T00:00:00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d v="2025-11-26T00:00:00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d v="2025-11-27T00:00:0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d v="2025-11-27T00:00:0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d v="2025-11-27T00:00:0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d v="2025-11-27T00:00:0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d v="2025-11-27T00:00:0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d v="2025-11-27T00:00:0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d v="2025-11-27T00:00:0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d v="2025-11-27T00:00:0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d v="2025-11-27T00:00:0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d v="2025-11-27T00:00:0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d v="2025-11-27T00:00:0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d v="2026-02-04T00:00:00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d v="2026-02-04T00:00:00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d v="2026-02-04T00:00:00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d v="2026-02-04T00:00:00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d v="2025-11-28T00:00:00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d v="2026-02-09T00:00:00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d v="2026-02-10T00:00:00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d v="2026-02-10T00:00:00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d v="2026-02-11T00:00:00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d v="2026-02-11T00:00:00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d v="2026-02-10T00:00:00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s v="CATALINA VALENZUELA"/>
    <n v="2086620"/>
    <n v="5655"/>
    <n v="6579000000"/>
    <n v="35000.000000000029"/>
    <n v="10010"/>
    <n v="0"/>
    <n v="35000"/>
    <x v="1"/>
    <n v="1"/>
    <x v="89"/>
  </r>
  <r>
    <d v="2026-02-11T00:00:00"/>
    <d v="2026-02-10T00:00:00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d v="2026-02-10T00:00:00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d v="2026-02-10T00:00:00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d v="2026-02-10T00:00:00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d v="2026-02-10T00:00:00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d v="2026-02-10T00:00:00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d v="2026-02-09T00:00:00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d v="2026-02-09T00:00:00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d v="2026-02-09T00:00:00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d v="2026-02-09T00:00:00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d v="2026-02-09T00:00:00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d v="2025-11-28T00:00:00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d v="2025-11-28T00:00:00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d v="2025-11-28T00:00:00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d v="2025-11-28T00:00:00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d v="2025-11-28T00:00:00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d v="2025-11-28T00:00:00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d v="2025-11-28T00:00:00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d v="2025-11-28T00:00:00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d v="2025-11-28T00:00:00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d v="2026-02-09T00:00:00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d v="2026-02-09T00:00:00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d v="2026-02-09T00:00:00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d v="2026-02-09T00:00:00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d v="2026-02-09T00:00:00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d v="2026-02-13T00:00:00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d v="2026-02-13T00:00:00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d v="2026-02-13T00:00:00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d v="2026-02-13T00:00:00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d v="2026-02-13T00:00:00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d v="2026-02-13T00:00:00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d v="2026-02-13T00:00:00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d v="2026-02-13T00:00:00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d v="2026-02-13T00:00:00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d v="2026-02-13T00:00:00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d v="2026-02-13T00:00:00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d v="2026-02-13T00:00:00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d v="2026-02-13T00:00:00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d v="2026-02-13T00:00:00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d v="2026-02-13T00:00:00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d v="2026-02-13T00:00:00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d v="2026-02-13T00:00:00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d v="2026-02-13T00:00:00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d v="2026-02-13T00:00:00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d v="2026-02-13T00:00:00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d v="2026-02-13T00:00:00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d v="2026-02-13T00:00:00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d v="2026-02-13T00:00:00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d v="2026-02-13T00:00:00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d v="2026-02-13T00:00:00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d v="2026-02-13T00:00:00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d v="2026-02-13T00:00:00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d v="2026-02-13T00:00:00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d v="2026-02-13T00:00:00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d v="2026-02-13T00:00:00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d v="2026-02-13T00:00:00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d v="2026-02-13T00:00:00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d v="2026-02-13T00:00:00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d v="2026-02-13T00:00:00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d v="2026-02-17T00:00:00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s v="CESAR BRAVO"/>
    <n v="4388048"/>
    <n v="5694"/>
    <n v="6579000000"/>
    <n v="167574.905661"/>
    <n v="10010"/>
    <n v="5.6213667318534545E-7"/>
    <n v="167574.9057"/>
    <x v="1"/>
    <n v="3"/>
    <x v="4"/>
  </r>
  <r>
    <d v="2026-02-17T00:00:00"/>
    <d v="2026-02-17T00:00:00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d v="2026-02-17T00:00:00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d v="2026-02-17T00:00:00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d v="2026-02-17T00:00:00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d v="2026-02-17T00:00:00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d v="2026-02-17T00:00:00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d v="2026-02-19T00:00:00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s v="CATALINA VALENZUELA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d v="2026-02-19T00:00:00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d v="2026-02-19T00:00:00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d v="2026-02-20T00:00:00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d v="2026-02-20T00:00:00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d v="2026-02-20T00:00:00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d v="2026-02-20T00:00:00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d v="2026-02-23T00:00:0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d v="2026-02-25T00:00:00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d v="2026-02-25T00:00:00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d v="2026-02-25T00:00:00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d v="2026-02-25T00:00:00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d v="2026-02-25T00:00:00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d v="2026-02-25T00:00:00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d v="2026-02-25T00:00:00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d v="2026-02-25T00:00:00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d v="2026-02-25T00:00:00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d v="2026-02-26T00:00:00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s v="CATALINA VALENZUELA"/>
    <n v="3152200"/>
    <n v="5728"/>
    <n v="6579000000"/>
    <n v="303750"/>
    <n v="10010"/>
    <n v="-3.0505350123456804E-2"/>
    <n v="303750"/>
    <x v="1"/>
    <n v="3"/>
    <x v="4"/>
  </r>
  <r>
    <d v="2026-02-26T00:00:00"/>
    <d v="2026-02-26T00:00:00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d v="2026-02-26T00:00:00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d v="2026-02-26T00:00:00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d v="2026-02-27T00:00:00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s v="CATALINA VALENZUELA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d v="2026-02-27T00:00:00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d v="2026-02-27T00:00:00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d v="2026-02-27T00:00:00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d v="2026-02-27T00:00:00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d v="2026-02-27T00:00:00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d v="2026-02-27T00:00:00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d v="2026-02-27T00:00:00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d v="2026-02-27T00:00:00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d v="2026-03-02T00:00:00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d v="2026-03-02T00:00:00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d v="2026-03-02T00:00:00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d v="2026-03-02T00:00:00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d v="2026-03-03T00:00:00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d v="2026-03-03T00:00:00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d v="2026-03-03T00:00:00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s v="CESAR BRAVO"/>
    <n v="150649"/>
    <n v="5755"/>
    <n v="6579000000"/>
    <n v="44584"/>
    <n v="10010"/>
    <n v="0"/>
    <n v="44584"/>
    <x v="1"/>
    <n v="2"/>
    <x v="4"/>
  </r>
  <r>
    <d v="2026-03-03T00:00:00"/>
    <d v="2026-03-03T00:00:00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d v="2026-03-04T00:00:00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d v="2026-03-04T00:00:00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d v="2026-03-04T00:00:00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d v="2026-03-04T00:00:00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d v="2026-03-04T00:00:00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d v="2026-03-04T00:00:00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d v="2026-03-04T00:00:00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d v="2026-03-04T00:00:00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d v="2026-03-04T00:00:00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d v="2026-03-04T00:00:00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d v="2026-03-04T00:00:00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d v="2026-03-05T00:00:00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s v="MARCO ZUÑIGA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d v="2026-03-06T00:00:00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s v="CATALINA VALENZUELA"/>
    <n v="11208225"/>
    <n v="5755"/>
    <n v="6579000000"/>
    <n v="1106302.4691599987"/>
    <n v="10010"/>
    <n v="-4.10014454225032E-7"/>
    <n v="1106302.4616"/>
    <x v="0"/>
    <n v="168"/>
    <x v="95"/>
  </r>
  <r>
    <d v="2026-03-06T00:00:00"/>
    <d v="2026-03-06T00:00:00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d v="2026-03-06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d v="2026-03-06T00:00:00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d v="2026-03-06T00:00:00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d v="2026-03-06T00:00:00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d v="2026-03-06T00:00:00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d v="2026-03-06T00:00:00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d v="2026-03-06T00:00:00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d v="2026-03-06T00:00:00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d v="2026-03-06T00:00:00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d v="2026-03-06T00:00:0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d v="2026-03-06T00:00:00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d v="2026-03-06T00:00:00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d v="2026-03-06T00:00:00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d v="2026-03-06T00:00:00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d v="2026-03-06T00:00:00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d v="2026-03-06T00:00:00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d v="2026-03-06T00:00:00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d v="2026-03-06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d v="2026-03-10T00:00:00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s v="CATALINA VALENZUELA"/>
    <n v="2360964"/>
    <n v="5789"/>
    <n v="6579000000"/>
    <n v="1191160.0000000002"/>
    <n v="10010"/>
    <n v="0"/>
    <n v="1191160"/>
    <x v="0"/>
    <n v="40"/>
    <x v="97"/>
  </r>
  <r>
    <d v="2026-03-10T00:00:00"/>
    <d v="2026-03-10T00:00:00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d v="2026-03-10T00:00:00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d v="2026-03-10T00:00:00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d v="2026-03-10T00:00:00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d v="2026-03-10T00:00:00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s v="CATALINA VALENZUELA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d v="2026-03-10T00:00:00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d v="2026-03-10T00:00:00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d v="2026-03-10T00:00:00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d v="2026-03-10T00:00:00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d v="2026-03-10T00:00:00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d v="2026-03-11T00:00:0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s v="CATALINA VALENZUELA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d v="2026-03-11T00:00:0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d v="2026-03-11T00:00:0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d v="2026-03-11T00:00:0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d v="2026-03-11T00:00:0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d v="2026-03-11T00:00:0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d v="2026-03-11T00:00:0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d v="2026-03-12T00:00:00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d v="2026-03-13T00:00:00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s v="CATALINA VALENZUELA"/>
    <n v="2855219"/>
    <n v="5789"/>
    <n v="6579000000"/>
    <n v="20421.197059999999"/>
    <n v="10010"/>
    <n v="-9.6468390173490395E-6"/>
    <n v="20421.197"/>
    <x v="1"/>
    <n v="10"/>
    <x v="82"/>
  </r>
  <r>
    <d v="2026-03-13T00:00:00"/>
    <d v="2026-03-13T00:00:00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d v="2026-03-13T00:00:00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d v="2026-03-13T00:00:00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d v="2026-03-13T00:00:00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d v="2026-03-13T00:00:00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d v="2026-03-13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d v="2026-03-13T00:00:00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d v="2026-03-13T00:00:00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d v="2026-03-13T00:00:00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d v="2026-03-13T00:00:00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d v="2026-03-13T00:00:00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d v="2026-03-13T00:00:00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d v="2026-03-13T00:00:00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d v="2026-03-13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d v="2026-03-13T00:00:00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d v="2026-03-17T00:00:00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s v="CATALINA VALENZUELA"/>
    <n v="5816811"/>
    <n v="5832"/>
    <n v="6579000000"/>
    <n v="212129.99999999997"/>
    <n v="10010"/>
    <n v="0"/>
    <n v="212130"/>
    <x v="1"/>
    <n v="10"/>
    <x v="5"/>
  </r>
  <r>
    <d v="2026-03-17T00:00:00"/>
    <d v="2026-03-17T00:00:00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d v="2026-03-17T00:00:00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d v="2026-03-17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d v="2026-03-17T00:00:00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d v="2026-03-17T00:00:00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d v="2026-03-18T00:00:00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s v="CATALINA VALENZUELA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d v="2026-03-18T00:00:00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d v="2026-03-18T00:00:00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d v="2026-03-18T00:00:00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d v="2026-03-18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d v="2026-03-18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d v="2026-03-18T00:00:00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d v="2026-03-18T00:00:00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d v="2026-03-18T00:00:00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d v="2026-03-18T00:00:00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d v="2026-03-18T00:00:00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d v="2026-03-18T00:00:00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d v="2026-03-18T00:00:00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d v="2026-03-18T00:00:00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d v="2026-03-19T00:00:00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s v="CATALINA VALENZUELA"/>
    <n v="110819"/>
    <n v="5832"/>
    <n v="6579000000"/>
    <n v="110819.45454599996"/>
    <n v="10010"/>
    <n v="-4.1012654469409861E-6"/>
    <n v="110819.4546"/>
    <x v="0"/>
    <n v="3"/>
    <x v="45"/>
  </r>
  <r>
    <d v="2026-03-19T00:00:00"/>
    <d v="2026-03-19T00:00:00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s v="CATALINA VALENZUELA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d v="2026-03-19T00:00:00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d v="2026-03-19T00:00:00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d v="2026-03-19T00:00:00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d v="2026-03-19T00:00:00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d v="2026-03-19T00:00:00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d v="2026-03-19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d v="2026-03-19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d v="2026-03-19T00:00:00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d v="2026-03-19T00:00:00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d v="2026-03-20T00:00:00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s v="MARCO ZUÑIGA"/>
    <n v="75659"/>
    <n v="5832"/>
    <n v="6579000000"/>
    <n v="176887.07692600001"/>
    <n v="10010"/>
    <n v="-0.57227514671509827"/>
    <n v="176887.0778"/>
    <x v="1"/>
    <n v="19"/>
    <x v="21"/>
  </r>
  <r>
    <d v="2026-03-20T00:00:00"/>
    <d v="2026-03-20T00:00:00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s v="CATALINA VALENZUELA"/>
    <n v="27811279"/>
    <n v="5832"/>
    <n v="6579000000"/>
    <n v="1191160.0000000002"/>
    <n v="10010"/>
    <n v="0"/>
    <n v="1191160"/>
    <x v="0"/>
    <n v="40"/>
    <x v="97"/>
  </r>
  <r>
    <d v="2026-03-20T00:00:00"/>
    <d v="2026-03-20T00:00:00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d v="2026-03-20T00:00:00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d v="2026-03-20T00:00:00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d v="2026-03-20T00:00:00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d v="2026-03-20T00:00:00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d v="2026-03-20T00:00:00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d v="2026-03-20T00:00:00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d v="2026-03-20T00:00:00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d v="2026-03-20T00:00:00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d v="2026-03-20T00:00:00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d v="2026-03-20T00:00:00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d v="2026-03-20T00:00:00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d v="2026-03-20T00:00:00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d v="2026-03-20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d v="2026-03-20T00:00:00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d v="2026-03-20T00:00:00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d v="2026-03-20T00:00:00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d v="2026-03-23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s v="CATALINA VALENZUELA"/>
    <n v="679431"/>
    <n v="5886"/>
    <n v="6579000000"/>
    <n v="142344.40430999998"/>
    <n v="10010"/>
    <n v="-2.8409968182735337E-6"/>
    <n v="142344.4044"/>
    <x v="1"/>
    <n v="6"/>
    <x v="4"/>
  </r>
  <r>
    <d v="2026-03-23T00:00:00"/>
    <d v="2026-03-23T00:00:00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d v="2026-03-23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s v="CATALINA VALENZUELA"/>
    <n v="1050904"/>
    <n v="5886"/>
    <n v="6579000000"/>
    <n v="142344.40430999998"/>
    <n v="10010"/>
    <n v="-2.8409968182735337E-6"/>
    <n v="142344.4044"/>
    <x v="1"/>
    <n v="6"/>
    <x v="4"/>
  </r>
  <r>
    <d v="2026-03-23T00:00:00"/>
    <d v="2026-03-23T00:00:00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d v="2026-03-23T00:00:00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d v="2026-03-23T00:00:00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d v="2026-03-23T00:00:00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d v="2026-03-23T00:00:00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s v="CATALINA VALENZUELA"/>
    <n v="3182861"/>
    <n v="5886"/>
    <n v="6579000000"/>
    <n v="1079"/>
    <n v="10010"/>
    <n v="0"/>
    <n v="1079"/>
    <x v="1"/>
    <n v="1"/>
    <x v="105"/>
  </r>
  <r>
    <d v="2026-03-24T00:00:00"/>
    <d v="2026-03-23T00:00:00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d v="2026-03-23T00:00:00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d v="2026-03-23T00:00:00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d v="2026-03-23T00:00:00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d v="2026-03-23T00:00:00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d v="2026-03-23T00:00:00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d v="2026-03-23T00:00:00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d v="2026-03-23T00:00:00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d v="2026-03-23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d v="2026-03-23T00:00:00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d v="2026-03-23T00:00:00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d v="2026-03-23T00:00:00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d v="2026-03-23T00:00:00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d v="2026-03-23T00:00:00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d v="2026-03-23T00:00:00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d v="2026-03-23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d v="2026-03-23T00:00:00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d v="2026-03-23T00:00:00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d v="2026-03-23T00:00:00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d v="2026-03-23T00:00:00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d v="2026-03-23T00:00:00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d v="2026-03-24T00:00:00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s v="CATALINA VALENZUELA"/>
    <n v="1088092"/>
    <n v="5886"/>
    <n v="6579000000"/>
    <n v="950591.03336"/>
    <n v="10010"/>
    <n v="9.337976586339182E-2"/>
    <n v="950591.03200000001"/>
    <x v="0"/>
    <n v="80"/>
    <x v="92"/>
  </r>
  <r>
    <d v="2026-03-24T00:00:00"/>
    <d v="2026-03-24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d v="2026-03-24T00:00:00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d v="2026-03-24T00:00:00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d v="2026-03-24T00:00:00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d v="2026-03-25T00:00:00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s v="CATALINA VALENZUELA"/>
    <n v="404380"/>
    <n v="5886"/>
    <n v="6579000000"/>
    <n v="506250"/>
    <n v="10010"/>
    <n v="-0.2012246913580247"/>
    <n v="506250"/>
    <x v="1"/>
    <n v="5"/>
    <x v="4"/>
  </r>
  <r>
    <d v="2026-03-26T00:00:00"/>
    <d v="2026-03-26T00:00:0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LA"/>
    <n v="2133483"/>
    <n v="5886"/>
    <n v="6579000000"/>
    <n v="170752.63150399996"/>
    <n v="10010"/>
    <n v="-5.7320705845140721E-2"/>
    <n v="170752.6496"/>
    <x v="1"/>
    <n v="464"/>
    <x v="68"/>
  </r>
  <r>
    <d v="2026-03-26T00:00:00"/>
    <d v="2026-03-26T00:00:0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d v="2026-03-26T00:00:0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d v="2026-03-26T00:00:0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d v="2026-03-26T00:00:0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d v="2026-03-26T00:00:0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d v="2026-03-26T00:00:0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d v="2026-03-26T00:00:0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d v="2026-03-26T00:00:0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d v="2026-03-27T00:00:00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L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d v="2026-03-27T00:00:00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d v="2026-03-27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d v="2026-03-27T00:00:00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d v="2026-03-27T00:00:00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d v="2026-03-27T00:00:00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d v="2026-03-27T00:00:00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d v="2026-03-27T00:00:00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d v="2026-03-27T00:00:00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d v="2026-03-27T00:00:00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d v="2026-03-27T00:00:00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d v="2026-03-27T00:00:00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d v="2026-03-27T00:00:00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d v="2026-03-27T00:00:00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d v="2026-03-27T00:00:00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d v="2026-03-27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LA"/>
    <n v="973780"/>
    <n v="5886"/>
    <n v="6579000000"/>
    <n v="973829.99999999953"/>
    <n v="10010"/>
    <n v="-5.1341609931960842E-5"/>
    <n v="973830"/>
    <x v="0"/>
    <n v="65"/>
    <x v="99"/>
  </r>
  <r>
    <d v="2026-03-27T00:00:00"/>
    <d v="2026-03-27T00:00:00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LA"/>
    <n v="959579"/>
    <n v="5886"/>
    <n v="6579000000"/>
    <n v="889200"/>
    <n v="10010"/>
    <n v="1.417004048582996E-2"/>
    <n v="889200"/>
    <x v="1"/>
    <n v="6"/>
    <x v="4"/>
  </r>
  <r>
    <d v="2026-03-27T00:00:00"/>
    <d v="2026-03-27T00:00:00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d v="2026-03-27T00:00:00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d v="2026-03-27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d v="2026-03-27T00:00:00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LA"/>
    <n v="34600"/>
    <n v="5886"/>
    <n v="6579000000"/>
    <s v=""/>
    <n v="10010"/>
    <e v="#DIV/0!"/>
    <n v="0"/>
    <x v="1"/>
    <n v="2"/>
    <x v="100"/>
  </r>
  <r>
    <d v="2026-03-30T00:00:00"/>
    <d v="2026-03-30T00:00:00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LA"/>
    <n v="9934725"/>
    <n v="5886"/>
    <n v="6579000000"/>
    <n v="3364175.9938500007"/>
    <n v="10010"/>
    <n v="3.9256865609222133E-2"/>
    <n v="3364175.997"/>
    <x v="0"/>
    <n v="210"/>
    <x v="94"/>
  </r>
  <r>
    <d v="2026-03-30T00:00:00"/>
    <d v="2026-03-30T00:00:00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d v="2026-03-30T00:00:00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d v="2026-03-30T00:00:00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d v="2026-03-30T00:00:00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d v="2026-03-30T00:00:00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d v="2026-03-30T00:00:00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d v="2026-03-30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d v="2026-03-30T00:00:00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d v="2026-03-30T00:00:0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d v="2026-03-30T00:00:00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d v="2026-03-30T00:00:00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d v="2026-03-30T00:00:00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d v="2026-03-30T00:00:00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d v="2026-03-30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d v="2026-03-30T00:00:00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d v="2026-03-30T00:00:00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d v="2026-03-30T00:00:00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-ICG"/>
    <n v="194000"/>
    <n v="5886"/>
    <n v="6579000000"/>
    <n v="194000"/>
    <n v="10010"/>
    <n v="0"/>
    <n v="194000"/>
    <x v="1"/>
    <n v="10"/>
    <x v="117"/>
  </r>
  <r>
    <d v="2026-03-30T00:00:00"/>
    <d v="2026-03-30T00:00:00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d v="2026-03-30T00:00:00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d v="2026-03-30T00:00:00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d v="2026-03-30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d v="2026-03-30T00:00:00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d v="2026-03-30T00:00:00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d v="2026-03-30T00:00:00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d v="2026-03-30T00:00:00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d v="2026-03-30T00:00:00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d v="2026-03-31T00:00:00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d v="2026-03-31T00:00:00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d v="2026-03-31T00:00:00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d v="2026-03-31T00:00:00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d v="2026-03-31T00:00:00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d v="2026-03-31T00:00:00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d v="2026-03-31T00:00:00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d v="2026-03-31T00:00:00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d v="2026-03-31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d v="2026-04-01T00:00:00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s v="CATALINA VALENZUELA"/>
    <n v="6292847"/>
    <n v="5947"/>
    <n v="6579000000"/>
    <n v="1191160.0000000002"/>
    <n v="10010"/>
    <n v="0"/>
    <n v="1191160"/>
    <x v="0"/>
    <n v="40"/>
    <x v="97"/>
  </r>
  <r>
    <d v="2026-04-01T00:00:00"/>
    <d v="2026-04-01T00:00:00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d v="2026-04-01T00:00:00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d v="2026-04-01T00:00:00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s v="BENJAMIN PINO- CONBES"/>
    <n v="420245"/>
    <n v="5947"/>
    <n v="6579000000"/>
    <n v="9708"/>
    <n v="10010"/>
    <n v="0"/>
    <n v="9708"/>
    <x v="1"/>
    <n v="4"/>
    <x v="119"/>
  </r>
  <r>
    <d v="2026-04-01T00:00:00"/>
    <d v="2026-04-01T00:00:00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d v="2026-04-01T00:00:00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d v="2026-04-01T00:00:00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d v="2026-04-01T00:00:00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d v="2026-04-01T00:00:00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d v="2026-04-01T00:00:00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d v="2026-04-01T00:00:00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d v="2026-04-01T00:00:00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s v="CATALINA VALENZUELA"/>
    <n v="5584698"/>
    <n v="5947"/>
    <n v="6579000000"/>
    <n v="2921489.9999999986"/>
    <n v="10010"/>
    <n v="-5.1688693098400854E-5"/>
    <n v="2921490"/>
    <x v="0"/>
    <n v="195"/>
    <x v="99"/>
  </r>
  <r>
    <d v="2026-04-01T00:00:00"/>
    <d v="2026-04-01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d v="2026-04-01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d v="2026-04-01T00:00:00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d v="2026-04-01T00:00:00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d v="2026-04-02T00:00:00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s v="BENJAMIN PINO- CONBES"/>
    <n v="2383022"/>
    <n v="5947"/>
    <n v="6579000000"/>
    <n v="19003.455494999998"/>
    <n v="10010"/>
    <n v="-7.6591333612961826E-5"/>
    <n v="19003.4555"/>
    <x v="1"/>
    <n v="5"/>
    <x v="4"/>
  </r>
  <r>
    <d v="2026-04-02T00:00:00"/>
    <d v="2026-04-02T00:00:00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d v="2026-04-02T00:00:00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d v="2026-04-02T00:00:0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d v="2026-04-02T00:00:00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d v="2026-04-02T00:00:00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d v="2026-04-02T00:00:00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d v="2026-04-02T00:00:00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d v="2026-04-02T00:00:00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d v="2026-04-02T00:00:00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d v="2026-04-02T00:00:00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d v="2026-04-02T00:00:00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d v="2026-04-02T00:00:00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d v="2026-04-02T00:00:00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d v="2026-04-02T00:00:00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s v="CATALINA VALENZUELA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d v="2026-04-02T00:00:00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d v="2026-04-02T00:00:0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d v="2026-04-02T00:00:00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d v="2026-04-02T00:00:00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d v="2026-04-02T00:00:00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d v="2026-04-02T00:00:00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d v="2026-04-02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d v="2026-04-02T00:00:00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d v="2026-04-02T00:00:00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d v="2026-04-02T00:00:00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s v="BENJAMIN PINO- CONBES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d v="2026-04-02T00:00:00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d v="2026-04-02T00:00:00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d v="2026-04-02T00:00:00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d v="2026-04-02T00:00:00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d v="2026-04-02T00:00:00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d v="2026-04-02T00:00:00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d v="2026-04-02T00:00:00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d v="2026-04-02T00:00:00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d v="2026-04-02T00:00:00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d v="2026-04-06T00:00:00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s v="CATALINA VALENZUELA"/>
    <n v="1591863"/>
    <n v="5947"/>
    <n v="6579000000"/>
    <n v="473175.23999999993"/>
    <n v="10010"/>
    <n v="-4.2267642092535555E-7"/>
    <n v="473175.2"/>
    <x v="0"/>
    <n v="1000"/>
    <x v="8"/>
  </r>
  <r>
    <d v="2026-04-06T00:00:00"/>
    <d v="2026-04-06T00:00:00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d v="2026-04-06T00:00:00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d v="2026-04-06T00:00:00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d v="2026-04-06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d v="2026-04-06T00:00:00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d v="2026-04-06T00:00:00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s v="CARLOS AGUILERA "/>
    <n v="1506116"/>
    <n v="5947"/>
    <n v="6579000000"/>
    <n v="3267"/>
    <n v="10010"/>
    <n v="8.8766758494031144E-3"/>
    <n v="3267"/>
    <x v="1"/>
    <n v="3"/>
    <x v="108"/>
  </r>
  <r>
    <d v="2026-04-06T00:00:00"/>
    <d v="2026-04-06T00:00:00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d v="2026-04-06T00:00:00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d v="2026-04-06T00:00:00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d v="2026-04-06T00:00:00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d v="2026-04-06T00:00:00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d v="2026-04-06T00:00:00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d v="2026-04-06T00:00:00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d v="2026-04-06T00:00:00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d v="2026-04-06T00:00:00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d v="2026-04-06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d v="2026-04-06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d v="2026-04-06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d v="2026-04-06T00:00:00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s v="CARLOS AGUILERA "/>
    <n v="266655"/>
    <n v="5947"/>
    <n v="6579000000"/>
    <n v="13118.181818999999"/>
    <n v="10010"/>
    <n v="-2.0443534176027702E-2"/>
    <n v="13118.1819"/>
    <x v="1"/>
    <n v="3"/>
    <x v="53"/>
  </r>
  <r>
    <d v="2026-04-06T00:00:00"/>
    <d v="2026-04-06T00:00:00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d v="2026-04-06T00:00:00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d v="2026-04-06T00:00:00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d v="2026-04-06T00:00:00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d v="2026-04-06T00:00:00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d v="2026-04-06T00:00:00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d v="2026-04-06T00:00:00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d v="2026-04-06T00:00:00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d v="2026-04-06T00:00:00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d v="2026-04-06T00:00:00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d v="2026-04-06T00:00:00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d v="2026-04-06T00:00:00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d v="2026-04-06T00:00:00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d v="2026-04-06T00:00:00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d v="2026-04-06T00:00:00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d v="2026-04-06T00:00:00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d v="2026-04-06T00:00:00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d v="2026-04-06T00:00:00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d v="2026-04-06T00:00:00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s v="BENJAMIN PINO- CONBES"/>
    <n v="949037"/>
    <n v="5947"/>
    <n v="6579000000"/>
    <n v="0"/>
    <n v="10010"/>
    <n v="-1.3566498100002763E-6"/>
    <n v="0"/>
    <x v="1"/>
    <n v="0"/>
    <x v="16"/>
  </r>
  <r>
    <d v="2026-04-06T00:00:00"/>
    <d v="2026-04-06T00:00:00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d v="2026-04-06T00:00:00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d v="2026-04-06T00:00:00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d v="2026-04-06T00:00:00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d v="2026-04-06T00:00:00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d v="2026-04-06T00:00:00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d v="2026-04-06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d v="2026-04-06T00:00:00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d v="2026-04-06T00:00:00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d v="2026-04-06T00:00:00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s v="CATALINA VALENZUELA"/>
    <n v="1255070"/>
    <n v="5947"/>
    <n v="6579000000"/>
    <n v="0"/>
    <n v="10010"/>
    <n v="2.6793035250665508E-6"/>
    <n v="0"/>
    <x v="1"/>
    <n v="0"/>
    <x v="4"/>
  </r>
  <r>
    <d v="2026-04-06T00:00:00"/>
    <d v="2026-04-06T00:00:00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d v="2026-04-06T00:00:00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d v="2026-04-06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d v="2026-04-06T00:00:00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d v="2026-04-06T00:00:00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d v="2026-04-06T00:00:00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d v="2026-04-06T00:00:00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d v="2026-04-06T00:00:00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d v="2026-04-06T00:00:00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d v="2026-04-06T00:00:00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d v="2026-04-06T00:00:00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d v="2026-04-06T00:00:00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d v="2026-04-06T00:00:00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d v="2026-04-06T00:00:00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s v="BENJAMIN PINO- CONBES"/>
    <n v="533391"/>
    <n v="5947"/>
    <n v="6579000000"/>
    <n v="13713.269504"/>
    <n v="10010"/>
    <n v="-1.9652497896313836E-5"/>
    <n v="13713.2695"/>
    <x v="1"/>
    <n v="1"/>
    <x v="4"/>
  </r>
  <r>
    <d v="2026-04-06T00:00:00"/>
    <d v="2026-04-06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d v="2026-04-07T00:00:00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s v="CATALINA VALENZUELA"/>
    <n v="5466566"/>
    <n v="5947"/>
    <n v="6579000000"/>
    <n v="30952.44"/>
    <n v="10010"/>
    <n v="-1.453847607703286E-5"/>
    <n v="30952.350000000002"/>
    <x v="1"/>
    <n v="4500"/>
    <x v="4"/>
  </r>
  <r>
    <d v="2026-04-07T00:00:00"/>
    <d v="2026-04-07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d v="2026-04-07T00:00:00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d v="2026-04-07T00:00:00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d v="2026-04-07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d v="2026-04-07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d v="2026-04-07T00:00:00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d v="2026-04-07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d v="2026-04-07T00:00:00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d v="2026-04-07T00:00:00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d v="2026-04-07T00:00:00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d v="2026-04-07T00:00:00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d v="2026-04-07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d v="2026-04-07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s v="BENJAMIN PINO- CONBES"/>
    <n v="501776"/>
    <n v="5947"/>
    <n v="6579000000"/>
    <n v="63638.999999999985"/>
    <n v="10010"/>
    <n v="0"/>
    <n v="63639"/>
    <x v="1"/>
    <n v="3"/>
    <x v="5"/>
  </r>
  <r>
    <d v="2026-04-07T00:00:00"/>
    <d v="2026-04-07T00:00:00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d v="2026-04-07T00:00:00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d v="2026-04-07T00:00:00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d v="2026-04-07T00:00:00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d v="2026-04-07T00:00:00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d v="2026-04-07T00:00:00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d v="2026-04-07T00:00:00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d v="2026-04-07T00:00:00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d v="2026-04-07T00:00:00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s v="MARCO ZUÑIGA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d v="2026-04-08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s v="CRISTIAN PEÑA"/>
    <n v="9556"/>
    <n v="5947"/>
    <n v="6579000000"/>
    <n v="9172"/>
    <n v="10010"/>
    <n v="-3.2054077627562148E-2"/>
    <n v="9172"/>
    <x v="1"/>
    <n v="4"/>
    <x v="134"/>
  </r>
  <r>
    <d v="2026-04-08T00:00:00"/>
    <d v="2026-04-08T00:00:00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d v="2026-04-08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s v="BENJAMIN PINO- CONBES"/>
    <n v="1360364"/>
    <n v="5947"/>
    <n v="6579000000"/>
    <n v="350000.00000000029"/>
    <n v="10010"/>
    <n v="0"/>
    <n v="350000"/>
    <x v="1"/>
    <n v="10"/>
    <x v="89"/>
  </r>
  <r>
    <d v="2026-04-08T00:00:00"/>
    <d v="2026-04-08T00:00:00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d v="2026-04-08T00:00:00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d v="2026-04-08T00:00:00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d v="2026-04-08T00:00:00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d v="2026-04-08T00:00:00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d v="2026-04-08T00:00:00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d v="2026-04-08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d v="2026-04-08T00:00:00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s v="MARCO ZUÑIGA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d v="2026-04-09T00:00:00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s v="CATALINA VALENZUELA"/>
    <n v="2205325"/>
    <n v="5947"/>
    <n v="6579000000"/>
    <n v="1191160.0000000002"/>
    <n v="10010"/>
    <n v="-2.5185533429842369E-6"/>
    <n v="1191160"/>
    <x v="0"/>
    <n v="40"/>
    <x v="97"/>
  </r>
  <r>
    <d v="2026-04-09T00:00:00"/>
    <d v="2026-04-09T00:00:00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d v="2026-04-09T00:00:00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d v="2026-04-09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d v="2026-04-09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s v="CATALINA VALENZUELA"/>
    <n v="11299664"/>
    <n v="5947"/>
    <n v="6579000000"/>
    <n v="10545.292710000002"/>
    <n v="10010"/>
    <n v="8.0197633209320524E-2"/>
    <n v="10545.2925"/>
    <x v="1"/>
    <n v="5"/>
    <x v="28"/>
  </r>
  <r>
    <d v="2026-04-09T00:00:00"/>
    <d v="2026-04-09T00:00:00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d v="2026-04-09T00:00:00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d v="2026-04-09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d v="2026-04-09T00:00:00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d v="2026-04-09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d v="2026-04-09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d v="2026-04-09T00:00:00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d v="2026-04-09T00:00:00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d v="2026-04-09T00:00:00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d v="2026-04-09T00:00:00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d v="2026-04-09T00:00:00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d v="2026-04-09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d v="2026-04-09T00:00:00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d v="2026-04-09T00:00:00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d v="2026-04-09T00:00:00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d v="2026-04-09T00:00:00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s v="VICENTE PINO"/>
    <n v="172800"/>
    <n v="6000"/>
    <n v="6579000000"/>
    <n v="366624"/>
    <n v="10010"/>
    <n v="-0.76433621366849958"/>
    <n v="366624"/>
    <x v="1"/>
    <n v="72"/>
    <x v="100"/>
  </r>
  <r>
    <d v="2026-04-09T00:00:00"/>
    <d v="2026-04-09T00:00:00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d v="2026-04-09T00:00:00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s v="VICENTE PINO"/>
    <n v="507675"/>
    <n v="6000"/>
    <n v="6579000000"/>
    <n v="261650"/>
    <n v="10010"/>
    <n v="0"/>
    <n v="261650"/>
    <x v="1"/>
    <n v="25"/>
    <x v="137"/>
  </r>
  <r>
    <d v="2026-04-09T00:00:00"/>
    <d v="2026-04-09T00:00:00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d v="2026-04-10T00:00:0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s v="BENJAMIN PINO- CONBES"/>
    <n v="2282650"/>
    <n v="5947"/>
    <n v="6579000000"/>
    <s v=""/>
    <n v="10010"/>
    <e v="#DIV/0!"/>
    <n v="0"/>
    <x v="1"/>
    <n v="24"/>
    <x v="100"/>
  </r>
  <r>
    <d v="2026-04-10T00:00:00"/>
    <d v="2026-04-10T00:00:0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d v="2026-04-10T00:00:0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d v="2026-04-10T00:00:0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d v="2026-04-1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d v="2026-04-10T00:00:0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d v="2026-04-10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s v="CATALINA VALENZUELA"/>
    <n v="5354918"/>
    <n v="6000"/>
    <n v="6579000000"/>
    <n v="210000.00000000015"/>
    <n v="10010"/>
    <n v="0"/>
    <n v="210000"/>
    <x v="1"/>
    <n v="6"/>
    <x v="89"/>
  </r>
  <r>
    <d v="2026-04-10T00:00:00"/>
    <d v="2026-04-10T00:00:0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d v="2026-04-10T00:00:0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d v="2026-04-10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d v="2026-04-10T00:00:0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d v="2026-04-10T00:00:0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d v="2026-04-10T00:00:0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d v="2026-04-10T00:00:0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d v="2026-04-10T00:00:0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s v="BENJAMIN PINO- CONBES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d v="2026-04-10T00:00:0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d v="2026-04-10T00:00:0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d v="2026-04-10T00:00:0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d v="2026-04-10T00:00:0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d v="2026-04-10T00:00:0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d v="2026-04-10T00:00:0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d v="2026-04-10T00:00:0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d v="2026-04-10T00:00:0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d v="2026-04-10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d v="2026-04-10T00:00:0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d v="2026-04-13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s v="BENJAMIN PINO- CONBES"/>
    <n v="279873"/>
    <n v="6000"/>
    <n v="6579000000"/>
    <n v="104767.50644999991"/>
    <n v="10010"/>
    <n v="-0.14305490046746852"/>
    <n v="104767.505"/>
    <x v="0"/>
    <n v="50"/>
    <x v="121"/>
  </r>
  <r>
    <d v="2026-04-13T00:00:00"/>
    <d v="2026-04-13T00:00:00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d v="2026-04-13T00:00:00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d v="2026-04-13T00:00:00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d v="2026-04-13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d v="2026-04-13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s v="BENJAMIN PINO- CONBES"/>
    <n v="202728"/>
    <n v="6000"/>
    <n v="6579000000"/>
    <s v=""/>
    <n v="10010"/>
    <e v="#DIV/0!"/>
    <n v="0"/>
    <x v="1"/>
    <n v="1"/>
    <x v="100"/>
  </r>
  <r>
    <d v="2026-04-13T00:00:00"/>
    <d v="2026-04-13T00:00:00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d v="2026-04-13T00:00:00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d v="2026-04-13T00:00:00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d v="2026-04-13T00:00:00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d v="2026-04-13T00:00:00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d v="2026-04-13T00:00:00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d v="2026-04-13T00:00:00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d v="2026-04-13T00:00:00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s v="BENJAMIN PINO- CONBES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d v="2026-04-13T00:00:00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d v="2026-04-13T00:00:00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d v="2026-04-13T00:00:00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d v="2026-04-13T00:00:00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d v="2026-04-13T00:00:00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s v="CATALINA VALENZUELA"/>
    <n v="1428674"/>
    <n v="6000"/>
    <n v="6579000000"/>
    <n v="56700"/>
    <n v="10010"/>
    <n v="-3.354497354497351E-2"/>
    <n v="56700"/>
    <x v="1"/>
    <n v="100"/>
    <x v="4"/>
  </r>
  <r>
    <d v="2026-04-13T00:00:00"/>
    <d v="2026-04-13T00:00:00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d v="2026-04-13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d v="2026-04-14T00:00:00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s v="BENJAMIN PINO- CONBES"/>
    <n v="8074"/>
    <n v="6000"/>
    <n v="6579000000"/>
    <n v="1093.8970839999999"/>
    <n v="10010"/>
    <n v="9.397592388013088E-5"/>
    <n v="1093.8972000000001"/>
    <x v="1"/>
    <n v="4"/>
    <x v="70"/>
  </r>
  <r>
    <d v="2026-04-14T00:00:00"/>
    <d v="2026-04-14T00:00:00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d v="2026-04-14T00:00:00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s v="BENJAMIN PINO- CONBES"/>
    <n v="120089"/>
    <n v="6000"/>
    <n v="6579000000"/>
    <n v="0"/>
    <n v="10010"/>
    <e v="#DIV/0!"/>
    <n v="0"/>
    <x v="1"/>
    <n v="20"/>
    <x v="100"/>
  </r>
  <r>
    <d v="2026-04-14T00:00:00"/>
    <d v="2026-04-14T00:00:00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d v="2026-04-14T00:00:00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d v="2026-04-14T00:00:00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d v="2026-04-14T00:00:00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d v="2026-04-14T00:00:00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d v="2026-04-14T00:00:00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d v="2026-04-14T00:00:00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d v="2026-04-14T00:00:00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d v="2026-04-14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d v="2026-04-14T00:00:00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s v="MARCO ZUÑIGA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d v="2026-04-14T00:00:00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s v="ALEJANDRO LEON- DUARTE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d v="2026-04-14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d v="2026-04-14T00:00:00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d v="2026-04-14T00:00:00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d v="2026-04-14T00:00:00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d v="2026-04-14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d v="2026-04-14T00:00:00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d v="2026-04-14T00:00:00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d v="2026-04-14T00:00:00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d v="2026-04-14T00:00:00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d v="2026-04-14T00:00:00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d v="2026-04-14T00:00:00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d v="2026-04-14T00:00:00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d v="2026-04-14T00:00:00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d v="2026-04-14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d v="2026-04-14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d v="2026-04-14T00:00:00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d v="2026-04-14T00:00:00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d v="2026-04-14T00:00:00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d v="2026-04-14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d v="2026-04-14T00:00:00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d v="2026-04-14T00:00:00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d v="2026-04-15T00:00:00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s v="BENJAMIN PINO- CONBES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d v="2026-04-15T00:00:00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d v="2026-04-15T00:00:00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d v="2026-04-15T00:00:00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d v="2026-04-15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d v="2026-04-15T00:00:0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d v="2026-04-15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d v="2026-04-15T00:00:00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d v="2026-04-15T00:00:00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d v="2026-04-15T00:00:00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d v="2026-04-15T00:00:00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d v="2026-04-15T00:00:00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d v="2026-04-15T00:00:00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d v="2026-04-15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d v="2026-04-15T00:00:00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d v="2026-04-15T00:00:00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s v="CATALINA VALENZUELA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d v="2026-04-15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d v="2026-04-15T00:00:00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d v="2026-04-15T00:00:00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d v="2026-04-15T00:00:00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d v="2026-04-15T00:00:00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d v="2026-04-15T00:00:00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d v="2026-04-15T00:00:00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d v="2026-04-15T00:00:00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d v="2026-04-15T00:00:00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d v="2026-04-15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d v="2026-04-15T00:00:00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d v="2026-04-16T00:00:00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s v="BENJAMIN PINO- CONBES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d v="2026-04-16T00:00:00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d v="2026-04-16T00:00:00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d v="2026-04-16T00:00:00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d v="2026-04-16T00:00:00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d v="2026-04-16T00:00:00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d v="2026-04-16T00:00:00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d v="2026-04-16T00:00:00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d v="2026-04-16T00:00:00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d v="2026-04-16T00:00:00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d v="2026-04-16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d v="2026-04-16T00:00:00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d v="2026-04-16T00:00:00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s v="CATALINA VALENZUELA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d v="2026-04-16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d v="2026-04-16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d v="2026-04-16T00:00:00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d v="2026-04-16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d v="2026-04-16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s v="BENJAMIN PINO- CONBES"/>
    <n v="562070"/>
    <n v="6000"/>
    <n v="6579000000"/>
    <n v="475295.51668"/>
    <n v="10010"/>
    <n v="9.3378713886288892E-2"/>
    <n v="475295.516"/>
    <x v="0"/>
    <n v="40"/>
    <x v="92"/>
  </r>
  <r>
    <d v="2026-04-16T00:00:00"/>
    <d v="2026-04-16T00:00:00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d v="2026-04-16T00:00:00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d v="2026-04-16T00:00:00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d v="2026-04-16T00:00:00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d v="2026-04-17T00:00:00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s v="BENJAMIN PINO- CONBES"/>
    <n v="86890"/>
    <n v="6000"/>
    <n v="6579000000"/>
    <n v="6758.5333330000003"/>
    <n v="10010"/>
    <n v="3.2768455842334898E-2"/>
    <n v="6758.5333000000001"/>
    <x v="1"/>
    <n v="1"/>
    <x v="4"/>
  </r>
  <r>
    <d v="2026-04-17T00:00:00"/>
    <d v="2026-04-17T00:00:00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d v="2026-04-17T00:00:00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d v="2026-04-17T00:00:00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d v="2026-04-17T00:00:00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d v="2026-04-17T00:00:00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d v="2026-04-17T00:00:00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d v="2026-04-17T00:00:00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d v="2026-04-17T00:00:00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s v="CATALINA VALENZUELA"/>
    <n v="12567741"/>
    <n v="6000"/>
    <n v="6579000000"/>
    <n v="3778.52441"/>
    <n v="10010"/>
    <n v="-4.4335957064721834E-2"/>
    <n v="3778.5244999999995"/>
    <x v="1"/>
    <n v="5"/>
    <x v="4"/>
  </r>
  <r>
    <d v="2026-04-17T00:00:00"/>
    <d v="2026-04-17T00:00:00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d v="2026-04-17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d v="2026-04-17T00:00:00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d v="2026-04-17T00:00:00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d v="2026-04-17T00:00:00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d v="2026-04-17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d v="2026-04-17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d v="2026-04-17T00:00:00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d v="2026-04-17T00:00:00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d v="2026-04-17T00:00:00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d v="2026-04-17T00:00:00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d v="2026-04-17T00:00:00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s v="CATALINA VALENZUELA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d v="2026-04-17T00:00:00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d v="2026-04-17T00:00:00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d v="2026-04-17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d v="2026-04-17T00:00:00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d v="2026-04-20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s v="BENJAMIN PINO- CONBES"/>
    <n v="628026"/>
    <n v="6045"/>
    <n v="6579000000"/>
    <n v="102622"/>
    <n v="10010"/>
    <n v="0"/>
    <n v="102622"/>
    <x v="1"/>
    <n v="1"/>
    <x v="144"/>
  </r>
  <r>
    <d v="2026-04-20T00:00:00"/>
    <d v="2026-04-20T00:00:00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d v="2026-04-20T00:00:00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d v="2026-04-20T00:00:00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d v="2026-04-20T00:00:00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d v="2026-04-20T00:00:00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d v="2026-04-2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d v="2026-04-20T00:00:00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d v="2026-04-20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d v="2026-04-20T00:00:00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d v="2026-04-2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s v="CATALINA VALENZUELA"/>
    <n v="55399"/>
    <n v="6045"/>
    <n v="6579000000"/>
    <n v="16517.660688"/>
    <n v="10010"/>
    <n v="2.0559812453786519E-5"/>
    <n v="16517.660400000001"/>
    <x v="1"/>
    <n v="12"/>
    <x v="4"/>
  </r>
  <r>
    <d v="2026-04-20T00:00:00"/>
    <d v="2026-04-20T00:00:00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d v="2026-04-20T00:00:00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d v="2026-04-20T00:00:00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s v="BENJAMIN PINO- CONBES"/>
    <n v="2283886"/>
    <n v="6045"/>
    <n v="6579000000"/>
    <n v="0"/>
    <n v="10010"/>
    <e v="#DIV/0!"/>
    <n v="0"/>
    <x v="1"/>
    <n v="10"/>
    <x v="100"/>
  </r>
  <r>
    <d v="2026-04-20T00:00:00"/>
    <d v="2026-04-20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d v="2026-04-20T00:00:00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d v="2026-04-20T00:00:00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d v="2026-04-20T00:00:00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d v="2026-04-20T00:00:00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d v="2026-04-20T00:00:00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d v="2026-04-20T00:00:00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d v="2026-04-20T00:00:00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d v="2026-04-20T00:00:00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d v="2026-04-20T00:00:00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d v="2026-04-21T00:00:00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s v="CRISTIAN PEÑA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d v="2026-04-21T00:00:00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d v="2026-04-21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s v="CATALINA VALENZUELA"/>
    <n v="2922060"/>
    <n v="6045"/>
    <n v="6579000000"/>
    <n v="139999.8464000001"/>
    <n v="10010"/>
    <n v="1.1428584490190236E-6"/>
    <n v="139999.84"/>
    <x v="1"/>
    <n v="200"/>
    <x v="4"/>
  </r>
  <r>
    <d v="2026-04-21T00:00:00"/>
    <d v="2026-04-21T00:00:00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d v="2026-04-21T00:00:00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d v="2026-04-21T00:00:00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d v="2026-04-21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d v="2026-04-21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d v="2026-04-21T00:00:00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d v="2026-04-21T00:00:00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d v="2026-04-21T00:00:00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d v="2026-04-21T00:00:00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d v="2026-04-21T00:00:00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d v="2026-04-21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s v="BENJAMIN PINO- CONBES"/>
    <n v="844943"/>
    <n v="6045"/>
    <n v="6579000000"/>
    <n v="350000.00000000029"/>
    <n v="10010"/>
    <n v="0"/>
    <n v="350000"/>
    <x v="1"/>
    <n v="10"/>
    <x v="89"/>
  </r>
  <r>
    <d v="2026-04-21T00:00:00"/>
    <d v="2026-04-21T00:00:00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d v="2026-04-21T00:00:00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d v="2026-04-21T00:00:00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d v="2026-04-21T00:00:00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d v="2026-04-21T00:00:00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d v="2026-04-21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d v="2026-04-21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d v="2026-04-21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s v="CRISTIAN PEÑA"/>
    <n v="6649"/>
    <n v="6045"/>
    <n v="6579000000"/>
    <n v="6648"/>
    <n v="10010"/>
    <n v="1.5042117930204573E-4"/>
    <n v="6648"/>
    <x v="1"/>
    <n v="4"/>
    <x v="17"/>
  </r>
  <r>
    <d v="2026-04-22T00:00:00"/>
    <d v="2026-04-22T00:00:00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s v="CATALINA VALENZUELA"/>
    <n v="4811837"/>
    <n v="6045"/>
    <n v="6579000000"/>
    <n v="96234"/>
    <n v="10010"/>
    <n v="0"/>
    <n v="96234"/>
    <x v="1"/>
    <n v="129"/>
    <x v="4"/>
  </r>
  <r>
    <d v="2026-04-22T00:00:00"/>
    <d v="2026-04-22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d v="2026-04-22T00:00:00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d v="2026-04-22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d v="2026-04-22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d v="2026-04-22T00:00:00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d v="2026-04-22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d v="2026-04-22T00:00:00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d v="2026-04-22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d v="2026-04-23T00:00:00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s v="BENJAMIN PINO- CONBES"/>
    <n v="4080882"/>
    <n v="6045"/>
    <n v="6579000000"/>
    <n v="11280"/>
    <n v="10010"/>
    <n v="7.4024822695035464E-2"/>
    <n v="11280"/>
    <x v="1"/>
    <n v="8"/>
    <x v="141"/>
  </r>
  <r>
    <d v="2026-04-23T00:00:00"/>
    <d v="2026-04-23T00:00:00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d v="2026-04-23T00:00:00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d v="2026-04-23T00:00:00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d v="2026-04-23T00:00:00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d v="2026-04-23T00:00:00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d v="2026-04-23T00:00:00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d v="2026-04-23T00:00:00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d v="2026-04-23T00:00:0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d v="2026-04-23T00:00:00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d v="2026-04-23T00:00:00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d v="2026-04-23T00:00:00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d v="2026-04-23T00:00:00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d v="2026-04-23T00:00:00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d v="2026-04-23T00:00:00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d v="2026-04-23T00:00:00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d v="2026-04-23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d v="2026-04-23T00:00:00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d v="2026-04-23T00:00:00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d v="2026-04-23T00:00:00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d v="2026-04-23T00:00:00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s v="BENJAMIN PINO- CONBES"/>
    <n v="1198548"/>
    <n v="6045"/>
    <n v="6579000000"/>
    <n v="22804.146594000005"/>
    <n v="10010"/>
    <n v="-1.3797490672151356E-4"/>
    <n v="22804.1466"/>
    <x v="1"/>
    <n v="6"/>
    <x v="4"/>
  </r>
  <r>
    <d v="2026-04-23T00:00:00"/>
    <d v="2026-04-23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d v="2026-04-23T00:00:00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d v="2026-04-23T00:00:00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d v="2026-04-23T00:00:00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d v="2026-04-23T00:00:00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d v="2026-04-23T00:00:00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d v="2026-04-23T00:00:00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d v="2026-04-23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d v="2026-04-23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d v="2026-04-23T00:00:00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d v="2026-04-23T00:00:00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s v="CATALINA VALENZUELA"/>
    <n v="10322887"/>
    <n v="6045"/>
    <n v="6579000000"/>
    <n v="595580"/>
    <n v="10010"/>
    <n v="0.31116894455824584"/>
    <n v="595580"/>
    <x v="0"/>
    <n v="20"/>
    <x v="4"/>
  </r>
  <r>
    <d v="2026-04-23T00:00:00"/>
    <d v="2026-04-23T00:00:00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d v="2026-04-23T00:00:00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d v="2026-04-23T00:00:00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d v="2026-04-23T00:00:00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d v="2026-04-23T00:00:00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d v="2026-04-23T00:00:00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d v="2026-04-23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d v="2026-04-23T00:00:00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d v="2026-04-23T00:00:00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d v="2026-04-23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s v="CATALINA VALENZUELA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d v="2026-04-23T00:00:00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d v="2026-04-23T00:00:00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d v="2026-04-23T00:00:00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d v="2026-04-23T00:00:00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d v="2026-04-23T00:00:00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d v="2026-04-23T00:00:00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d v="2026-04-23T00:00:00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d v="2026-04-23T00:00:00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d v="2026-04-23T00:00:00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d v="2026-04-23T00:00:00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d v="2026-04-23T00:00:00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d v="2026-04-23T00:00:00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d v="2026-04-23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s v="BENJAMIN PINO- CONBES"/>
    <n v="89780"/>
    <n v="6045"/>
    <n v="6579000000"/>
    <n v="104767.50644999991"/>
    <n v="10010"/>
    <n v="-0.14305490046746852"/>
    <n v="104767.505"/>
    <x v="0"/>
    <n v="50"/>
    <x v="121"/>
  </r>
  <r>
    <d v="2026-04-23T00:00:00"/>
    <d v="2026-04-23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s v="BENJAMIN PINO- CONBES"/>
    <n v="43172"/>
    <n v="6045"/>
    <n v="6579000000"/>
    <n v="3632"/>
    <n v="10010"/>
    <n v="-0.11095814977973568"/>
    <n v="3632"/>
    <x v="1"/>
    <n v="1"/>
    <x v="131"/>
  </r>
  <r>
    <d v="2026-04-23T00:00:00"/>
    <d v="2026-04-23T00:00:00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d v="2026-04-23T00:00:00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d v="2026-04-23T00:00:00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d v="2026-04-23T00:00:00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d v="2026-04-23T00:00:00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d v="2026-04-23T00:00:00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d v="2026-04-23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s v="ALEJANDRO LEON- DUARTE"/>
    <n v="544397"/>
    <n v="6045"/>
    <n v="6579000000"/>
    <n v="55476"/>
    <n v="10010"/>
    <n v="0"/>
    <n v="55476"/>
    <x v="1"/>
    <n v="4"/>
    <x v="127"/>
  </r>
  <r>
    <d v="2026-04-23T00:00:00"/>
    <d v="2026-04-23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d v="2026-04-23T00:00:00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d v="2026-04-23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d v="2026-04-23T00:00:00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d v="2026-04-23T00:00:00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d v="2026-04-23T00:00:00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d v="2026-04-23T00:00:00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d v="2026-04-23T00:00:00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d v="2026-04-23T00:00:00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d v="2026-04-23T00:00:00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d v="2026-04-23T00:00:00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d v="2026-04-23T00:00:00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d v="2026-04-23T00:00:00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d v="2026-04-23T00:00:00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d v="2026-04-23T00:00:00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s v="ALEJANDRO LEON- DUARTE"/>
    <n v="433713"/>
    <n v="6045"/>
    <n v="6579000000"/>
    <n v="171360"/>
    <n v="10010"/>
    <n v="0"/>
    <n v="171360"/>
    <x v="1"/>
    <n v="4"/>
    <x v="103"/>
  </r>
  <r>
    <d v="2026-04-23T00:00:00"/>
    <d v="2026-04-23T00:00:00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d v="2026-04-23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d v="2026-04-23T00:00:00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d v="2026-04-23T00:00:00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d v="2026-04-23T00:00:00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d v="2026-04-23T00:00:00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d v="2026-04-23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d v="2026-04-23T00:00:00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d v="2026-04-23T00:00:00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s v="BENJAMIN PINO- CONBES"/>
    <n v="25839"/>
    <n v="6045"/>
    <n v="6579000000"/>
    <n v="30600.000000000007"/>
    <n v="10010"/>
    <n v="-0.15558823529411769"/>
    <n v="30600"/>
    <x v="1"/>
    <n v="100"/>
    <x v="122"/>
  </r>
  <r>
    <d v="2025-11-20T00:00:00"/>
    <d v="2025-11-20T00:00:00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d v="2025-11-20T00:00:00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d v="2025-11-20T00:00:00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d v="2025-11-21T00:00:0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d v="2025-11-21T00:00:0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d v="2025-11-21T00:00:0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d v="2025-12-02T00:00:00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d v="2025-12-02T00:00:00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d v="2025-12-10T00:00:00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d v="2025-12-17T00:00:00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d v="2026-03-20T00:00:00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d v="2026-04-23T00:00:00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s v="VICENTE PINO"/>
    <n v="4916400"/>
    <n v="6104"/>
    <n v="6579000000"/>
    <s v=""/>
    <n v="10010"/>
    <e v="#DIV/0!"/>
    <n v="0"/>
    <x v="1"/>
    <n v="200"/>
    <x v="100"/>
  </r>
  <r>
    <d v="2026-04-23T00:00:00"/>
    <d v="2026-04-23T00:00:00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d v="2026-04-23T00:00:00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d v="2026-04-23T00:00:00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d v="2026-03-24T00:00:00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d v="2026-04-27T00:00:00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s v="BENJAMIN PINO- CONBES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d v="2026-04-27T00:00:00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d v="2026-04-27T00:00:00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d v="2026-04-27T00:00:00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d v="2026-04-27T00:00:00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d v="2026-04-27T00:00:00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d v="2026-04-27T00:00:00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d v="2026-04-27T00:00:00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d v="2026-04-27T00:00:00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d v="2026-04-27T00:00:00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d v="2026-04-27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d v="2026-04-27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d v="2026-04-27T00:00:00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d v="2026-04-27T00:00:00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d v="2026-04-27T00:00:00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d v="2026-04-27T00:00:00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d v="2026-04-27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d v="2026-04-27T00:00:0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d v="2026-04-27T00:00:00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d v="2026-04-27T00:00:00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d v="2026-04-27T00:00:00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d v="2026-04-27T00:00:00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d v="2026-04-27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d v="2026-04-27T00:00:00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s v="CATALINA VALENZUELA"/>
    <n v="144263"/>
    <n v="6076"/>
    <n v="6579000000"/>
    <n v="44052"/>
    <n v="10010"/>
    <n v="2.4289566875511357E-3"/>
    <n v="44052"/>
    <x v="1"/>
    <n v="12"/>
    <x v="40"/>
  </r>
  <r>
    <d v="2026-04-30T00:00:00"/>
    <d v="2026-04-27T00:00:00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d v="2026-04-27T00:00:00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d v="2026-04-27T00:00:00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d v="2026-04-27T00:00:00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d v="2026-04-23T00:00:00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s v="CATALINA VALENZUELA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d v="2026-04-23T00:00:00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d v="2026-04-23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d v="2026-04-23T00:00:00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d v="2026-04-23T00:00:00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d v="2026-04-23T00:00:00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d v="2026-04-23T00:00:00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d v="2026-04-27T00:00:00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s v="CATALINA VALENZUELA"/>
    <n v="7140010"/>
    <n v="6076"/>
    <n v="6579000000"/>
    <n v="2802158.159295999"/>
    <n v="10010"/>
    <n v="-9.3703353275391942E-3"/>
    <n v="2802158.16"/>
    <x v="0"/>
    <n v="32"/>
    <x v="14"/>
  </r>
  <r>
    <d v="2026-04-30T00:00:00"/>
    <d v="2026-04-27T00:00:00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d v="2026-04-27T00:00:00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d v="2026-04-28T00:00:00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s v="CATALINA VALENZUELA"/>
    <n v="12397659"/>
    <n v="6076"/>
    <n v="6579000000"/>
    <n v="1647115.5040800001"/>
    <n v="10010"/>
    <n v="-2.0583561990643574E-2"/>
    <n v="1647115.5"/>
    <x v="0"/>
    <n v="120"/>
    <x v="2"/>
  </r>
  <r>
    <d v="2026-04-30T00:00:00"/>
    <d v="2026-04-28T00:00:00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d v="2026-04-28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d v="2026-04-28T00:00:00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d v="2026-04-28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d v="2026-04-28T00:00:00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d v="2026-04-28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d v="2026-04-28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d v="2026-04-28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d v="2026-04-28T00:00:00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d v="2026-04-28T00:00:00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d v="2026-04-28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d v="2026-04-28T00:00:00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d v="2026-04-28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d v="2026-04-28T00:00:00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s v="CRISTIAN PEÑA"/>
    <n v="6234"/>
    <n v="6076"/>
    <n v="6579000000"/>
    <s v=""/>
    <n v="10010"/>
    <e v="#DIV/0!"/>
    <n v="0"/>
    <x v="1"/>
    <n v="3"/>
    <x v="100"/>
  </r>
  <r>
    <d v="2026-04-30T00:00:00"/>
    <d v="2026-04-28T00:00:00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d v="2026-04-28T00:00:00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d v="2026-04-28T00:00:00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d v="2026-04-28T00:00:00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d v="2026-04-28T00:00:00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d v="2026-04-28T00:00:00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d v="2026-04-28T00:00:00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d v="2026-04-28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d v="2026-04-28T00:00:00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d v="2026-04-28T00:00:00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d v="2026-04-28T00:00:00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s v="BENJAMIN PINO- CONBES"/>
    <n v="179029"/>
    <n v="6076"/>
    <n v="6579000000"/>
    <n v="0"/>
    <n v="10010"/>
    <e v="#DIV/0!"/>
    <n v="0"/>
    <x v="1"/>
    <n v="20"/>
    <x v="102"/>
  </r>
  <r>
    <d v="2026-04-30T00:00:00"/>
    <d v="2026-04-29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s v="BENJAMIN PINO- CONBES"/>
    <n v="653127"/>
    <n v="6076"/>
    <n v="6579000000"/>
    <n v="88104"/>
    <n v="10010"/>
    <n v="2.4175973849087443E-3"/>
    <n v="88104"/>
    <x v="1"/>
    <n v="24"/>
    <x v="40"/>
  </r>
  <r>
    <d v="2026-04-30T00:00:00"/>
    <d v="2026-04-29T00:00:00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d v="2026-04-29T00:00:00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d v="2026-04-29T00:00:00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d v="2026-04-29T00:00:00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d v="2026-04-29T00:00:00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d v="2026-04-29T00:00:00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d v="2026-04-29T00:00:00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d v="2026-04-29T00:00:00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d v="2026-04-29T00:00:00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d v="2026-04-29T00:00:00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s v="CATALINA VALENZUELA"/>
    <n v="7087292"/>
    <n v="6076"/>
    <n v="6579000000"/>
    <n v="4000292.0093"/>
    <n v="10010"/>
    <n v="-1.5325383708675866E-2"/>
    <n v="4000292.0100000002"/>
    <x v="0"/>
    <n v="100"/>
    <x v="13"/>
  </r>
  <r>
    <d v="2026-04-30T00:00:00"/>
    <d v="2026-04-29T00:00:00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d v="2026-04-29T00:00:00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d v="2026-04-29T00:00:00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d v="2026-04-29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s v="BENJAMIN PINO- CONBES"/>
    <n v="1627202"/>
    <n v="6076"/>
    <n v="6579000000"/>
    <n v="210000.00000000015"/>
    <n v="10010"/>
    <n v="0"/>
    <n v="210000"/>
    <x v="1"/>
    <n v="6"/>
    <x v="89"/>
  </r>
  <r>
    <d v="2026-04-30T00:00:00"/>
    <d v="2026-04-29T00:00:00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d v="2026-04-29T00:00:00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d v="2026-04-29T00:00:00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d v="2026-04-29T00:00:00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d v="2026-04-29T00:00:00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d v="2026-04-29T00:00:00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d v="2026-04-29T00:00:00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d v="2026-04-29T00:00:00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d v="2026-04-29T00:00:00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d v="2026-04-29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d v="2026-04-30T00:00:00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s v="CRISTIAN PEÑA"/>
    <n v="2287760"/>
    <n v="6076"/>
    <n v="6579000000"/>
    <n v="624545"/>
    <n v="10010"/>
    <n v="0"/>
    <n v="624545"/>
    <x v="1"/>
    <n v="5"/>
    <x v="24"/>
  </r>
  <r>
    <d v="2026-04-30T00:00:00"/>
    <d v="2026-04-30T00:00:00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d v="2026-04-30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d v="2026-04-30T00:00:00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d v="2026-04-30T00:00:00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d v="2026-04-30T00:00:00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d v="2026-04-30T00:00:00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d v="2026-04-30T00:00:00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d v="2026-05-04T00:00:00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d v="2026-05-04T00:00:00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d v="2026-05-04T00:00:00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d v="2026-05-04T00:00:00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d v="2026-05-04T00:00:00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d v="2026-05-04T00:00:00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d v="2026-05-04T00:00:00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d v="2026-05-04T00:00:00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d v="2026-05-04T00:00:00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d v="2026-05-04T00:00:00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d v="2026-05-04T00:00:00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d v="2026-05-04T00:00:00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d v="2026-05-04T00:00:00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d v="2026-05-04T00:00:00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d v="2026-05-04T00:00:00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d v="2026-05-04T00:00:00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d v="2026-05-04T00:00:00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d v="2026-05-04T00:00:00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d v="2026-05-04T00:00:00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d v="2026-05-04T00:00:00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d v="2026-05-04T00:00:00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d v="2026-05-04T00:00:00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d v="2026-05-04T00:00:00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d v="2026-05-04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d v="2026-05-04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d v="2026-05-04T00:00:00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d v="2026-05-04T00:00:00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d v="2026-05-04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d v="2026-05-04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d v="2026-05-04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d v="2026-05-04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d v="2026-05-04T00:00:00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d v="2026-05-04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d v="2026-05-04T00:00:00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d v="2026-05-04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d v="2026-05-04T00:00:00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d v="2026-05-04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d v="2026-05-04T00:00:00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d v="2026-05-04T00:00:00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d v="2026-05-04T00:00:00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d v="2026-05-04T00:00:00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d v="2026-05-04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d v="2026-05-05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d v="2026-05-05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d v="2026-05-05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d v="2026-05-05T00:00:00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d v="2026-05-05T00:00:00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d v="2026-05-05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d v="2026-05-05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d v="2026-05-05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d v="2026-05-05T00:00:00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d v="2026-05-05T00:00:00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d v="2026-05-05T00:00:00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d v="2026-05-05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d v="2026-05-05T00:00:00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d v="2026-05-05T00:00:00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d v="2026-05-05T00:00:00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d v="2026-05-05T00:00:00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d v="2026-05-05T00:00:00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d v="2026-05-05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d v="2026-05-05T00:00:00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d v="2026-05-05T00:00: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d v="2026-05-05T00:00:00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d v="2026-05-05T00:00:00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d v="2026-05-06T00:00:00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d v="2026-05-06T00:00:00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d v="2026-05-06T00:00:00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d v="2026-05-06T00:00:00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d v="2026-05-06T00:00:00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d v="2026-05-06T00:00:00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d v="2026-05-06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d v="2026-05-06T00:00:00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d v="2026-05-06T00:00:00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d v="2026-05-06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d v="2026-05-06T00:00:00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d v="2026-05-06T00:00: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d v="2026-05-07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d v="2026-05-07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d v="2026-05-07T00:00: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d v="2026-05-07T00:00: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d v="2026-05-07T00:00: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d v="2026-05-07T00:00: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d v="2026-05-07T00:00: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d v="2026-05-07T00:00: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d v="2026-05-07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d v="2026-05-07T00:00: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d v="2026-05-07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d v="2026-05-07T00:00: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d v="2026-05-07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d v="2026-05-07T00:00: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d v="2026-05-07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d v="2026-05-07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d v="2026-05-07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d v="2026-05-07T00:00: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d v="2026-05-07T00:00: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d v="2026-05-07T00:00: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d v="2026-05-07T00:00: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d v="2026-05-07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d v="2026-05-07T00:00: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d v="2026-05-07T00:00: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d v="2026-05-07T00:00: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d v="2026-05-07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d v="2026-05-07T00:00: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d v="2026-05-07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d v="2026-05-07T00:00: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d v="2026-05-07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d v="2026-05-07T00:00: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d v="2026-05-07T00:00: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d v="2026-05-07T00:00: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d v="2026-05-07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d v="2026-05-07T00:00: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d v="2026-05-07T00:00: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d v="2026-05-07T00:00: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d v="2026-05-07T00:00: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d v="2026-04-09T00:00:00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d v="2026-04-27T00:00:00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d v="2026-05-08T00:00:00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d v="2026-05-08T00:00:00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d v="2026-05-08T00:00:00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d v="2026-05-08T00:00:00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d v="2026-05-08T00:00:00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d v="2026-05-08T00:00:00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d v="2026-05-08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d v="2026-05-08T00:00:00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d v="2026-05-08T00:00:00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d v="2026-05-08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d v="2026-05-08T00:00:00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d v="2026-05-08T00:00:00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d v="2026-05-08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d v="2026-05-08T00:00:00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d v="2026-05-08T00:00:00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d v="2026-05-08T00:00:00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d v="2026-05-08T00:00:00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d v="2026-05-08T00:00:00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d v="2026-05-08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d v="2026-05-11T00:00:00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d v="2026-05-11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d v="2026-05-11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d v="2026-05-11T00:00:00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d v="2026-05-11T00:00: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d v="2026-05-11T00:00:00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d v="2026-05-11T00:00:00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d v="2026-05-11T00:00:00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d v="2026-05-11T00:00:00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d v="2026-05-11T00:00:00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d v="2026-05-11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d v="2026-05-11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d v="2026-05-11T00:00:00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d v="2026-05-11T00:00:00"/>
    <s v="STOCK"/>
    <n v="5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982"/>
    <m/>
    <m/>
    <n v="6161"/>
    <n v="6579000000"/>
    <n v="0"/>
    <n v="10010"/>
    <e v="#DIV/0!"/>
    <n v="0"/>
    <x v="1"/>
    <n v="28"/>
    <x v="102"/>
  </r>
  <r>
    <d v="2026-05-11T00:00:00"/>
    <d v="2026-05-11T00:00:00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d v="2026-05-11T00:00:00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d v="2026-05-11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d v="2026-05-11T00:00:00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d v="2026-05-11T00:00:00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d v="2026-05-11T00:00:00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d v="2026-05-11T00:00:00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d v="2026-05-11T00:00:00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d v="2026-05-11T00:00:00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d v="2026-05-11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d v="2026-05-11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d v="2026-05-11T00:00:00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d v="2026-05-11T00:00:00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d v="2026-05-11T00:00:00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d v="2026-05-11T00:00:00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d v="2026-05-11T00:00:00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d v="2026-05-11T00:00:00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d v="2026-05-11T00:00:00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d v="2026-05-11T00:00:00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d v="2026-05-11T00:00:00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d v="2026-05-11T00:00:00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d v="2026-05-11T00:00:00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d v="2026-05-11T00:00:00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d v="2026-05-11T00:00:00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d v="2026-05-11T00:00:00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d v="2026-05-11T00:00:00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d v="2026-05-11T00:00:00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d v="2026-05-11T00:00:00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d v="2026-05-11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d v="2026-05-11T00:00:00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d v="2026-05-12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d v="2026-05-12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d v="2026-05-12T00:00:00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d v="2026-05-12T00:00:00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d v="2026-05-12T00:00:00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d v="2026-05-12T00:00:00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d v="2026-05-12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d v="2026-05-12T00:00:00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d v="2026-05-12T00:00:00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d v="2026-05-12T00:00:00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d v="2026-05-12T00:00:00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d v="2026-05-12T00:00:00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d v="2026-05-12T00:00:00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d v="2026-05-12T00:00:00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d v="2026-05-12T00:00:00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d v="2026-05-12T00:00:00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d v="2026-05-12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d v="2026-05-12T00:00:00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d v="2026-05-12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d v="2026-05-12T00:00:00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d v="2026-05-12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d v="2026-05-12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d v="2026-05-12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d v="2026-05-12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d v="2026-05-12T00:00:00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d v="2026-05-12T00:00:00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d v="2026-05-12T00:00:00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d v="2026-05-12T00:00:00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d v="2026-05-12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d v="2026-05-12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d v="2026-05-12T00:00:00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d v="2026-05-12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d v="2026-05-12T00:00:00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d v="2026-05-12T00:00:00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d v="2026-05-12T00:00:00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d v="2026-05-12T00:00:00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d v="2026-05-12T00:00:00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d v="2026-05-12T00:00:00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d v="2026-05-12T00:00:00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d v="2026-05-12T00:00:00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d v="2026-05-12T00:00:00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d v="2026-05-13T00:00: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d v="2026-05-13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d v="2026-05-13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d v="2026-05-13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d v="2026-05-13T00:00:00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d v="2026-05-13T00:00:00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d v="2026-05-13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d v="2026-05-13T00:00:00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d v="2026-05-13T00:00:0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d v="2026-05-13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d v="2026-05-13T00:00:00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d v="2026-05-13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d v="2026-05-13T00:00:00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d v="2026-05-13T00:00:00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d v="2026-05-13T00:00:00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d v="2026-05-13T00:00:00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d v="2026-05-13T00:00:00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d v="2026-05-13T00:00:00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d v="2026-05-13T00:00:00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d v="2026-05-13T00:00:00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d v="2026-05-13T00:00:00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d v="2026-05-13T00:00:00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d v="2026-05-13T00:00:00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d v="2026-05-13T00:00:00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d v="2026-05-13T00:00:00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d v="2026-05-13T00:00:00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d v="2026-05-13T00:00:00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d v="2026-05-13T00:00:00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d v="2026-05-13T00:00:00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d v="2026-05-13T00:00:00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d v="2026-05-13T00:00:00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d v="2026-05-13T00:00:00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d v="2026-05-13T00:00:00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d v="2026-05-13T00:00:00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d v="2026-05-13T00:00:00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d v="2026-05-13T00:00:00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d v="2026-05-13T00:00:00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d v="2026-05-13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d v="2026-05-13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d v="2026-05-13T00:00:00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d v="2026-05-13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d v="2026-05-13T00:00:00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d v="2026-05-13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d v="2026-05-13T00:00:00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d v="2026-05-13T00:00:00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d v="2026-05-13T00:00:00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d v="2026-05-13T00:00:00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d v="2026-05-13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d v="2026-05-13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d v="2026-05-13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d v="2026-05-13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d v="2026-05-13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d v="2026-05-13T00:00:00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d v="2026-05-13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d v="2026-05-13T00:00:00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d v="2026-05-13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d v="2026-05-13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d v="2026-05-13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d v="2026-05-14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d v="2026-05-14T00:00:00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d v="2026-05-14T00:00:00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d v="2026-05-14T00:00:00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d v="2026-05-14T00:00:00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d v="2026-05-14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d v="2026-05-14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d v="2026-05-14T00:00: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d v="2026-05-14T00:00:00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d v="2026-05-14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d v="2026-05-14T00:00:00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d v="2026-05-14T00:00:00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d v="2026-05-14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d v="2026-05-14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d v="2026-05-14T00:00:00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d v="2026-05-14T00:00:00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d v="2026-05-14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d v="2026-05-14T00:00: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d v="2026-05-14T00:00:00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d v="2026-05-14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d v="2026-05-14T00:00:00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d v="2026-05-14T00:00:00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d v="2026-05-15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d v="2026-05-15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d v="2026-05-15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d v="2026-05-15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d v="2026-05-15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d v="2026-05-15T00:00:00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d v="2026-05-1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d v="2026-05-15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d v="2026-05-15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d v="2026-05-15T00:00:00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d v="2026-05-15T00:00:00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d v="2026-05-15T00:00:00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d v="2026-05-15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d v="2026-05-15T00:00:00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d v="2026-05-15T00:00:00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d v="2026-05-15T00:00:00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d v="2026-05-15T00:00:00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d v="2026-05-15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d v="2026-05-15T00:00:00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d v="2026-05-15T00:00:00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d v="2026-05-15T00:00:00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d v="2026-05-15T00:00:00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d v="2026-05-15T00:00:00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d v="2026-05-15T00:00:00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d v="2026-05-15T00:00:00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d v="2026-05-15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d v="2026-05-15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d v="2026-05-15T00:00:00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d v="2026-05-15T00:00:00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d v="2026-05-15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d v="2026-05-15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d v="2026-05-15T00:00:00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d v="2026-05-15T00:00:00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d v="2026-05-15T00:00:00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d v="2026-05-15T00:00:00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d v="2026-05-15T00:00:00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d v="2026-05-15T00:00:00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d v="2026-05-15T00:00:00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d v="2026-05-15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d v="2026-05-15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d v="2026-05-15T00:00:00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d v="2026-05-15T00:00:00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d v="2026-05-15T00:00:00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d v="2026-05-15T00:00:00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d v="2026-05-15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d v="2026-05-15T00:00:00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d v="2026-05-15T00:00:00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d v="2026-05-15T00:00:00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d v="2026-05-15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d v="2026-05-15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d v="2026-05-15T00:00:00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d v="2026-05-15T00:00:00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d v="2026-05-15T00:00:00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d v="2026-05-15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d v="2026-05-15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d v="2026-05-15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d v="2026-05-15T00:00:00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d v="2026-05-15T00:00:00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d v="2026-05-15T00:00:00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d v="2026-05-15T00:00:00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d v="2026-05-15T00:00:00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d v="2026-05-15T00:00:00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d v="2026-05-15T00:00:00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d v="2026-05-15T00:00:00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d v="2026-05-15T00:00:00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d v="2026-05-15T00:00:00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d v="2026-05-15T00:00:00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d v="2026-05-15T00:00:00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d v="2026-05-15T00:00:00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d v="2026-05-15T00:00:00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d v="2026-05-15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d v="2026-05-15T00:00:00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d v="2026-05-15T00:00:00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d v="2026-05-15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d v="2026-05-15T00:00:00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d v="2026-05-15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d v="2026-05-15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d v="2026-05-15T00:00:00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d v="2026-05-15T00:00:00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d v="2026-05-15T00:00:00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d v="2026-05-15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d v="2026-05-15T00:00:00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d v="2026-05-15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d v="2026-05-15T00:00:00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d v="2026-05-15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d v="2026-05-15T00:00:00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d v="2026-05-15T00:00:00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d v="2026-05-15T00:00:00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d v="2026-05-15T00:00:00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d v="2026-05-15T00:00:00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d v="2026-05-15T00:00:00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d v="2026-05-18T00:00:00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d v="2026-05-18T00:00:00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d v="2026-05-18T00:00:00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d v="2026-05-18T00:00:00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d v="2026-05-18T00:00:00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d v="2026-05-18T00:00:00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d v="2026-05-18T00:00:00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d v="2026-05-18T00:00:00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d v="2026-05-18T00:00:00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d v="2026-05-18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d v="2026-05-18T00:00:00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d v="2026-05-18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d v="2026-05-18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d v="2026-05-18T00:00:00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d v="2026-05-18T00:00:00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d v="2026-05-18T00:00:00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d v="2026-05-18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d v="2026-05-18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d v="2026-05-18T00:00:00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d v="2026-05-18T00:00:00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d v="2026-05-18T00:00:00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d v="2026-05-18T00:00:00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d v="2026-05-18T00:00:00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d v="2026-05-18T00:00:00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d v="2026-05-18T00:00:00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d v="2026-05-18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d v="2026-05-18T00:00:00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d v="2026-05-18T00:00:00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d v="2026-05-18T00:00: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d v="2026-05-18T00:00:00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d v="2026-05-18T00:00:00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d v="2026-05-18T00:00:00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d v="2026-05-18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d v="2026-05-19T00:00:00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d v="2026-05-19T00:00:00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d v="2026-05-19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d v="2026-05-19T00:00:00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d v="2026-05-19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d v="2026-05-19T00:00:00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d v="2026-05-19T00:00:00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d v="2026-05-19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d v="2026-05-19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d v="2026-05-19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d v="2026-05-19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d v="2026-05-19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d v="2026-05-19T00:00:00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d v="2026-05-19T00:00:00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d v="2026-05-19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d v="2026-05-19T00:00:00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d v="2026-05-19T00:00:00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d v="2026-05-19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d v="2026-05-19T00:00:00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d v="2026-05-20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d v="2026-05-20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d v="2026-05-20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d v="2026-05-20T00:00:00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d v="2026-05-20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d v="2026-05-20T00:00:00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d v="2026-05-20T00:00:00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d v="2026-05-20T00:00:00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d v="2026-05-20T00:00:00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d v="2026-05-20T00:00:00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d v="2026-05-20T00:00:00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d v="2026-05-20T00:00:00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d v="2026-05-20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d v="2026-05-20T00:00:00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d v="2026-05-20T00:00:00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d v="2026-05-20T00:00:00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d v="2026-05-20T00:00:00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d v="2026-05-20T00:00:00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d v="2026-05-20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d v="2026-05-20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d v="2026-05-20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d v="2026-05-20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d v="2026-05-20T00:00:00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d v="2026-05-20T00:00:00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d v="2026-05-20T00:00:00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d v="2026-05-20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d v="2026-05-20T00:00:00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d v="2026-05-20T00:00:00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d v="2026-05-20T00:00:00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d v="2026-05-20T00:00:00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d v="2026-05-20T00:00:00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d v="2026-05-20T00:00:00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d v="2026-05-20T00:00:00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d v="2026-05-20T00:00:00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d v="2026-05-20T00:00:00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d v="2026-05-20T00:00:00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d v="2026-05-20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d v="2026-05-20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d v="2026-05-20T00:00:00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d v="2026-05-20T00:00:00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d v="2026-05-20T00:00:00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d v="2026-05-20T00:00:00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d v="2026-05-20T00:00:00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d v="2026-05-20T00:00:00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d v="2026-05-20T00:00:00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d v="2026-05-20T00:00:00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d v="2026-05-20T00:00:00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d v="2026-05-20T00:00:00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d v="2026-05-20T00:00:0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d v="2026-05-25T00:00:0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d v="2026-05-25T00:00:0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d v="2026-05-25T00:00:0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d v="2026-05-25T00:00:0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d v="2026-05-25T00:00:0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d v="2026-05-25T00:00:0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d v="2026-05-25T00:00:0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d v="2026-05-25T00:00:0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d v="2026-05-25T00:00:0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d v="2026-05-25T00:00:0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d v="2026-05-25T00:00:0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d v="2026-05-25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d v="2026-05-25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d v="2026-05-25T00:00:0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d v="2026-05-25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d v="2026-05-25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d v="2026-05-25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d v="2026-05-2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d v="2026-05-25T00:00:0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d v="2026-05-25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d v="2026-05-25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d v="2026-05-25T00:00:0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d v="2026-05-25T00:00:0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d v="2026-05-25T00:00:0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d v="2026-05-25T00:00:0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d v="2026-05-25T00:00:0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d v="2026-05-25T00:00:0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d v="2026-05-25T00:00:0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d v="2026-05-25T00:00:0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d v="2026-05-25T00:00:0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d v="2026-05-25T00:00:0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d v="2026-05-25T00:00:0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d v="2026-05-25T00:00:0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d v="2026-05-25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d v="2026-05-25T00:00:0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d v="2026-05-25T00:00:0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d v="2026-05-25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d v="2026-05-25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d v="2026-05-25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d v="2026-05-25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d v="2026-05-25T00:00:0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d v="2026-05-25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d v="2026-05-25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d v="2026-05-25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d v="2026-05-25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d v="2026-05-25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d v="2026-05-25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d v="2026-05-25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d v="2026-05-25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d v="2026-05-25T00:00:0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d v="2026-05-25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d v="2026-05-25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d v="2026-05-25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d v="2026-05-2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d v="2026-05-25T00:00:0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d v="2026-05-25T00:00:0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d v="2026-05-25T00:00:0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d v="2026-05-25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d v="2026-05-25T00:00:0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d v="2026-05-25T00:00:0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d v="2026-05-25T00:00:0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d v="2026-05-25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d v="2026-05-26T00:00:00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d v="2026-05-26T00:00:00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d v="2026-05-26T00:00:00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d v="2026-05-26T00:00:00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d v="2026-05-26T00:00:00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d v="2026-05-26T00:00:00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d v="2026-05-26T00:00:00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d v="2026-05-26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d v="2026-05-26T00:00:00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d v="2026-05-26T00:00:0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d v="2026-05-26T00:00:00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d v="2026-05-26T00:00:00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d v="2026-05-26T00:00:00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d v="2026-05-26T00:00:00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d v="2026-05-26T00:00:0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d v="2026-05-26T00:00:00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d v="2026-05-26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d v="2026-05-26T00:00:00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d v="2026-05-26T00:00:00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d v="2026-05-26T00:00:00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d v="2026-05-26T00:00:00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d v="2026-05-26T00:00:00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d v="2026-05-26T00:00:00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d v="2026-05-26T00:00:00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d v="2026-05-26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d v="2026-05-26T00:00:00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d v="2026-05-26T00:00:00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d v="2026-05-26T00:00:00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d v="2026-05-26T00:00:00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d v="2026-05-26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d v="2026-05-26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d v="2026-05-26T00:00:00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d v="2026-05-26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d v="2026-05-26T00:00:00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d v="2026-05-27T00:00:00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d v="2026-05-27T00:00:00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d v="2026-05-27T00:00:00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d v="2026-05-27T00:00:00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d v="2026-05-27T00:00:00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d v="2026-05-27T00:00:00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d v="2026-05-27T00:00:00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d v="2026-05-27T00:00:00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d v="2026-05-27T00:00:00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d v="2026-05-27T00:00:00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d v="2026-05-27T00:00:00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d v="2026-05-27T00:00:00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d v="2026-05-27T00:00:00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d v="2026-05-27T00:00:00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d v="2026-05-27T00:00:00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d v="2026-05-27T00:00:00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d v="2026-05-27T00:00:00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d v="2026-05-27T00:00:00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d v="2026-05-27T00:00:00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d v="2026-05-27T00:00:00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d v="2026-05-27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d v="2026-05-27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d v="2026-05-27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d v="2026-05-27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d v="2026-05-27T00:00:00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d v="2026-05-27T00:00:00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d v="2026-05-27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d v="2026-05-27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d v="2026-05-27T00:00:00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d v="2026-05-27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d v="2026-05-27T00:00:00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d v="2026-05-27T00:00:00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d v="2026-05-27T00:00:0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d v="2026-05-27T00:00:0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d v="2026-05-27T00:00:0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d v="2026-05-27T00:00:0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d v="2026-05-27T00:00:0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d v="2026-05-27T00:00:0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d v="2026-05-27T00:00:0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d v="2026-05-27T00:00:00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d v="2026-05-27T00:00:00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d v="2026-05-27T00:00:00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d v="2026-05-27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d v="2026-05-27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d v="2026-05-27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d v="2026-05-28T00:00:00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d v="2026-05-28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d v="2026-05-28T00:00:00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d v="2026-05-28T00:00:00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d v="2026-05-28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d v="2026-05-28T00:00: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d v="2026-05-28T00:00:00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d v="2026-05-28T00:00:00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d v="2026-05-28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d v="2026-05-28T00:00:00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d v="2026-05-28T00:00:00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d v="2026-05-28T00:00:00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d v="2026-05-28T00:00:00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d v="2026-05-28T00:00:00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d v="2026-05-28T00:00:00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d v="2026-05-28T00:00:00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d v="2026-05-28T00:00:00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d v="2026-05-28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d v="2026-05-28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d v="2026-05-28T00:00:00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d v="2026-05-28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d v="2026-05-28T00:00:00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d v="2026-05-28T00:00:00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d v="2026-05-28T00:00:00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d v="2026-05-28T00:00:00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d v="2026-05-28T00:00:00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d v="2026-05-28T00:00:00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d v="2026-05-28T00:00:00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d v="2026-05-28T00:00:00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d v="2026-05-28T00:00:00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d v="2026-05-28T00:00:00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d v="2026-05-28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d v="2026-05-28T00:00:00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d v="2026-05-28T00:00:00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d v="2026-05-28T00:00:00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d v="2026-05-28T00:00:00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d v="2026-05-28T00:00:00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d v="2026-05-28T00:00:00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d v="2026-05-28T00:00:00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d v="2026-05-28T00:00:00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d v="2026-05-28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d v="2026-05-28T00:00:00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d v="2026-05-28T00:00:00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d v="2026-05-28T00:00:00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d v="2026-05-28T00:00:00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d v="2026-05-28T00:00:00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d v="2026-05-28T00:00:00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d v="2026-05-28T00:00:00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d v="2026-05-28T00:00:00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d v="2026-05-28T00:00:00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d v="2026-05-28T00:00:00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d v="2026-05-28T00:00:00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d v="2026-05-28T00:00:00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d v="2026-05-28T00:00:00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d v="2026-05-28T00:00:00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d v="2026-05-28T00:00:00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d v="2026-05-28T00:00:00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d v="2026-05-29T00:00:00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d v="2026-05-29T00:00:00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d v="2026-05-29T00:00:00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d v="2026-05-29T00:00:00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d v="2026-05-29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d v="2026-05-29T00:00:00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d v="2026-05-29T00:00:00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d v="2026-05-29T00:00:00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d v="2026-05-29T00:00:00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d v="2026-05-29T00:00:00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d v="2026-05-29T00:00:00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d v="2026-05-29T00:00:00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d v="2026-05-29T00:00:00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d v="2026-05-29T00:00:00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d v="2026-05-29T00:00:00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d v="2026-05-29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d v="2026-05-29T00:00:00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d v="2026-05-29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d v="2026-05-29T00:00:00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d v="2026-05-29T00:00:00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d v="2026-05-29T00:00:00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d v="2026-05-29T00:00:0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d v="2026-05-29T00:00:00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d v="2026-05-29T00:00:00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d v="2026-05-29T00:00:00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d v="2026-05-29T00:00:00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d v="2026-05-29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d v="2026-05-29T00:00:00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d v="2026-05-29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d v="2026-05-29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d v="2026-05-29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d v="2026-05-29T00:00:00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d v="2026-05-29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d v="2026-05-29T00:00:0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d v="2026-05-29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d v="2026-05-29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d v="2026-05-29T00:00:00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d v="2026-05-29T00:00:00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d v="2026-05-29T00:00:00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d v="2026-05-29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d v="2026-05-29T00:00:00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d v="2026-05-29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d v="2026-05-29T00:00:00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d v="2026-06-01T00:00:00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d v="2026-06-01T00:00:00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d v="2026-06-01T00:00:00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d v="2026-06-01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d v="2026-06-01T00:00:00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d v="2026-06-01T00:00:00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d v="2026-06-01T00:00:00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d v="2026-06-01T00:00:00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d v="2026-06-01T00:00:00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d v="2026-06-01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d v="2026-06-01T00:00:00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d v="2026-06-01T00:00:00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d v="2026-06-01T00:00:00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d v="2026-06-01T00:00:00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d v="2026-06-01T00:00:00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d v="2026-06-01T00:00:00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d v="2026-06-01T00:00:00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d v="2026-06-01T00:00:00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d v="2026-06-01T00:00:00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d v="2026-06-01T00:00:00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d v="2026-06-01T00:00:00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d v="2026-06-01T00:00:00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d v="2026-06-01T00:00:00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d v="2026-06-01T00:00:00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d v="2026-06-01T00:00:00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d v="2026-06-01T00:00:00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d v="2026-06-01T00:00:00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d v="2026-06-01T00:00:00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d v="2026-06-01T00:00:00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d v="2026-06-01T00:00:00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d v="2026-06-01T00:00:00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d v="2026-06-01T00:00:00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d v="2026-06-01T00:00:00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d v="2026-06-01T00:00:00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d v="2026-05-29T00:00:00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d v="2026-05-29T00:00:00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d v="2026-05-29T00:00:00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d v="2026-05-29T00:00:00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d v="2026-05-29T00:00:00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d v="2026-05-29T00:00:00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d v="2026-05-29T00:00:00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d v="2026-05-29T00:00:00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d v="2026-05-29T00:00:00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d v="2026-05-26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d v="2026-05-29T00:00:00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d v="2026-05-29T00:00:00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d v="2026-05-29T00:00:00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d v="2026-05-29T00:00:00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d v="2026-05-29T00:00:00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d v="2026-05-29T00:00:00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d v="2026-05-29T00:00:00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d v="2026-05-29T00:00:00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d v="2026-05-29T00:00:00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d v="2026-05-29T00:00:00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d v="2026-05-29T00:00:00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d v="2026-05-29T00:00:00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d v="2026-05-29T00:00:00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d v="2026-05-29T00:00:00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d v="2026-05-29T00:00:00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d v="2026-05-29T00:00:00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d v="2026-05-29T00:00:00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d v="2026-05-29T00:00:00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d v="2026-05-29T00:00:00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d v="2026-05-29T00:00:00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d v="2026-06-02T00:00:00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d v="2026-06-02T00:00:0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d v="2026-06-02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d v="2026-06-02T00:00:00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d v="2026-06-02T00:00:00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d v="2026-06-02T00:00:00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d v="2026-06-0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d v="2026-06-02T00:00:00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d v="2026-06-02T00:00:00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d v="2026-06-02T00:00:00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d v="2026-06-02T00:00:00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d v="2026-06-0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d v="2026-06-02T00:00:00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d v="2026-06-02T00:00:00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d v="2026-06-02T00:00:00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d v="2026-06-02T00:00:00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d v="2026-06-03T00:00:0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d v="2026-06-03T00:00:00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d v="2026-06-03T00:00:00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d v="2026-06-03T00:00:00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d v="2026-06-03T00:00:00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d v="2026-06-03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d v="2026-06-03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d v="2026-06-03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d v="2026-06-03T00:00:00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d v="2026-06-03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d v="2026-06-03T00:00:00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d v="2026-06-03T00:00:00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d v="2026-06-03T00:00:00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d v="2026-06-03T00:00:00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d v="2026-06-03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d v="2026-06-03T00:00:00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d v="2026-06-03T00:00:00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d v="2026-06-04T00:00:00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d v="2026-06-04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d v="2026-06-04T00:00:00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d v="2026-06-04T00:00:00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d v="2026-06-04T00:00:00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d v="2026-06-04T00:00:00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d v="2026-06-04T00:00:00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d v="2026-06-04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d v="2026-06-04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d v="2026-06-04T00:00:00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d v="2026-06-04T00:00:00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d v="2026-06-04T00:00:00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d v="2026-06-04T00:00:00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d v="2026-06-04T00:00:00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d v="2026-06-04T00:00:00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d v="2026-06-04T00:00:00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d v="2026-06-04T00:00:00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d v="2026-06-04T00:00:00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d v="2026-06-04T00:00:00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d v="2026-06-04T00:00:00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d v="2026-06-04T00:00:00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d v="2026-06-04T00:00:00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d v="2026-06-04T00:00:00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d v="2026-06-04T00:00:00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d v="2026-06-04T00:00:00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d v="2026-06-04T00:00:00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d v="2026-06-04T00:00:00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d v="2026-06-04T00:00:00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d v="2026-06-04T00:00:00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d v="2026-06-04T00:00:00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d v="2026-06-05T00:00:00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d v="2026-06-05T00:00:00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d v="2026-06-05T00:00:00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d v="2026-06-05T00:00:00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d v="2026-06-05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d v="2026-06-05T00:00:00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d v="2026-06-05T00:00:00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d v="2026-06-05T00:00:00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d v="2026-06-05T00:00:00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d v="2026-06-05T00:00:00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d v="2026-06-05T00:00:00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d v="2026-06-05T00:00:00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d v="2026-06-05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d v="2026-06-05T00:00:00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d v="2026-06-05T00:00:00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d v="2026-06-05T00:00:00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d v="2026-06-05T00:00:00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d v="2026-06-05T00:00:00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d v="2026-06-05T00:00:00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d v="2026-06-05T00:00:00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d v="2026-06-05T00:00:00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d v="2026-06-05T00:00:00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d v="2026-06-05T00:00:00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d v="2026-06-05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d v="2026-06-05T00:00:0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d v="2026-06-05T00:00:00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d v="2026-06-05T00:00:00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d v="2026-06-05T00:00:00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d v="2026-06-05T00:00:00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d v="2026-06-05T00:00:00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d v="2026-06-05T00:00:00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d v="2026-06-05T00:00:00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d v="2026-06-05T00:00:00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d v="2026-06-05T00:00:00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d v="2026-06-08T00:00:0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d v="2026-06-08T00:00:0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d v="2026-06-08T00:00:0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d v="2026-06-08T00:00:0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d v="2026-06-08T00:00:0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d v="2026-06-08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d v="2026-06-08T00:00:0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d v="2026-06-08T00:00:0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d v="2026-06-08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d v="2026-06-08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d v="2026-06-08T00:00:0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d v="2026-06-08T00:00:0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d v="2026-06-08T00:00:0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d v="2026-06-08T00:00:0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d v="2026-06-08T00:00:0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d v="2026-06-08T00:00:0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d v="2026-06-08T00:00:0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d v="2026-06-08T00:00:0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d v="2026-06-08T00:00:0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d v="2026-06-08T00:00:0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d v="2026-06-08T00:00:0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d v="2026-06-08T00:00:0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d v="2026-06-08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d v="2026-06-08T00:00:0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d v="2026-06-08T00:00:0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d v="2026-06-08T00:00:0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d v="2026-06-08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d v="2026-06-08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d v="2026-06-08T00:00:0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d v="2026-06-08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d v="2026-06-08T00:00:0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d v="2026-06-08T00:00:0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d v="2026-06-08T00:00:0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d v="2026-06-08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d v="2026-06-08T00:00:0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d v="2026-06-08T00:00:0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d v="2026-06-08T00:00:0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d v="2026-06-08T00:00:0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d v="2026-06-08T00:00:0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d v="2026-06-08T00:00:0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d v="2026-06-08T00:00:0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d v="2026-06-08T00:00:0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d v="2026-06-08T00:00:0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d v="2026-06-08T00:00:0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d v="2026-06-09T00:00:00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d v="2026-06-09T00:00:00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d v="2026-06-09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d v="2026-06-09T00:00:00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d v="2026-06-09T00:00:00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d v="2026-06-09T00:00:00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d v="2026-06-09T00:00:00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d v="2026-06-0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d v="2026-06-09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d v="2026-06-0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d v="2026-06-09T00:00:00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d v="2026-06-09T00:00:00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d v="2026-06-09T00:00:00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d v="2026-06-09T00:00:00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d v="2026-06-09T00:00:00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d v="2026-06-09T00:00:00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d v="2026-06-09T00:00:00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d v="2026-06-09T00:00:00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d v="2026-06-09T00:00:00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d v="2026-06-09T00:00:00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d v="2026-06-10T00:00:00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d v="2026-06-10T00:00:00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d v="2026-06-10T00:00:00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d v="2026-06-10T00:00:0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d v="2026-06-10T00:00:00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d v="2026-06-10T00:00:00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d v="2026-06-10T00:00:0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d v="2026-06-10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d v="2026-06-10T00:00:00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d v="2026-06-10T00:00:00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d v="2026-06-10T00:00:00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d v="2026-06-10T00:00:00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d v="2026-06-10T00:00:00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d v="2026-06-10T00:00:00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d v="2026-06-10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d v="2026-06-10T00:00:00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d v="2026-06-11T00:00:00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d v="2026-06-11T00:00:00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d v="2026-06-11T00:00:00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d v="2026-06-11T00:00:00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d v="2026-06-11T00:00:00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d v="2026-06-11T00:00:00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d v="2026-06-11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d v="2026-06-11T00:00:00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d v="2026-06-11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d v="2026-06-11T00:00:00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d v="2026-06-11T00:00:00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d v="2026-06-11T00:00:00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d v="2026-06-11T00:00:00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d v="2026-06-11T00:00:00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d v="2026-06-11T00:00:00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d v="2026-06-11T00:00:00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d v="2026-06-11T00:00:00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d v="2026-06-11T00:00:00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d v="2026-06-11T00:00:00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d v="2026-06-12T00:00:00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d v="2026-06-12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d v="2026-06-12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d v="2026-06-1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d v="2026-06-1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d v="2026-06-12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d v="2026-06-12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d v="2026-06-12T00:00:00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d v="2026-06-12T00:00:00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n v="6344"/>
    <n v="6579000000"/>
    <s v=""/>
    <n v="10010"/>
    <e v="#DIV/0!"/>
    <n v="0"/>
    <x v="1"/>
    <n v="50"/>
    <x v="100"/>
  </r>
  <r>
    <d v="2026-06-12T00:00:00"/>
    <d v="2026-06-12T00:00:00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n v="6344"/>
    <n v="6579000000"/>
    <n v="28575.132740000001"/>
    <n v="10010"/>
    <n v="2.3400416019060161E-3"/>
    <n v="28575.133000000002"/>
    <x v="1"/>
    <n v="10"/>
    <x v="81"/>
  </r>
  <r>
    <d v="2026-06-12T00:00:00"/>
    <d v="2026-06-12T00:00:0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n v="6344"/>
    <n v="6579000000"/>
    <n v="20421.197059999999"/>
    <n v="10010"/>
    <n v="-0.16831515801938537"/>
    <n v="20421.197"/>
    <x v="1"/>
    <n v="10"/>
    <x v="82"/>
  </r>
  <r>
    <d v="2026-06-12T00:00:00"/>
    <d v="2026-06-12T00:00:0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n v="6344"/>
    <n v="6579000000"/>
    <n v="9203.5378099999998"/>
    <n v="10010"/>
    <n v="-0.24507292738944528"/>
    <n v="9203.5380000000005"/>
    <x v="1"/>
    <n v="10"/>
    <x v="4"/>
  </r>
  <r>
    <d v="2026-06-12T00:00:00"/>
    <d v="2026-06-12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n v="6344"/>
    <n v="6579000000"/>
    <n v="104767.50644999991"/>
    <n v="10010"/>
    <n v="-0.12938654022542587"/>
    <n v="104767.505"/>
    <x v="0"/>
    <n v="50"/>
    <x v="121"/>
  </r>
  <r>
    <d v="2026-06-12T00:00:00"/>
    <d v="2026-06-12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n v="6344"/>
    <n v="6579000000"/>
    <n v="94452.677199999991"/>
    <n v="10010"/>
    <n v="2.9988563055514597E-4"/>
    <n v="94452.675000000003"/>
    <x v="1"/>
    <n v="50"/>
    <x v="4"/>
  </r>
  <r>
    <d v="2026-06-12T00:00:00"/>
    <d v="2026-06-12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n v="6344"/>
    <n v="6579000000"/>
    <n v="917083.44828000001"/>
    <n v="10010"/>
    <n v="-6.3281569552436868E-3"/>
    <n v="917083.44800000009"/>
    <x v="0"/>
    <n v="40"/>
    <x v="38"/>
  </r>
  <r>
    <d v="2026-06-12T00:00:00"/>
    <d v="2026-06-12T00:00:00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n v="6344"/>
    <n v="6579000000"/>
    <n v="100573.72"/>
    <n v="10010"/>
    <n v="-4.2105631570553435E-2"/>
    <n v="100573.72"/>
    <x v="1"/>
    <n v="2"/>
    <x v="77"/>
  </r>
  <r>
    <d v="2026-06-12T00:00:00"/>
    <d v="2026-06-12T00:00:00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n v="6344"/>
    <n v="6579000000"/>
    <n v="191558"/>
    <n v="10010"/>
    <n v="1.0440702032804685E-5"/>
    <n v="191558"/>
    <x v="1"/>
    <n v="4"/>
    <x v="4"/>
  </r>
  <r>
    <d v="2026-06-12T00:00:00"/>
    <d v="2026-06-12T00:00:00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n v="6344"/>
    <n v="6579000000"/>
    <n v="184240"/>
    <n v="10010"/>
    <n v="0"/>
    <n v="184240"/>
    <x v="1"/>
    <n v="4"/>
    <x v="4"/>
  </r>
  <r>
    <d v="2026-06-12T00:00:00"/>
    <d v="2026-06-12T00:00:00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n v="6344"/>
    <n v="6579000000"/>
    <n v="405989.40789499989"/>
    <n v="10010"/>
    <n v="5.0938747643386878E-2"/>
    <n v="405989.40799999994"/>
    <x v="1"/>
    <n v="5"/>
    <x v="4"/>
  </r>
  <r>
    <d v="2026-06-12T00:00:00"/>
    <d v="2026-06-12T00:00:00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n v="6344"/>
    <n v="6579000000"/>
    <n v="1562691.6666700004"/>
    <n v="10010"/>
    <n v="-2.1678407657369312E-2"/>
    <n v="1562691.6669999999"/>
    <x v="0"/>
    <n v="10"/>
    <x v="98"/>
  </r>
  <r>
    <d v="2026-06-12T00:00:00"/>
    <d v="2026-06-12T00:00:00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n v="6344"/>
    <n v="6579000000"/>
    <s v=""/>
    <n v="10010"/>
    <e v="#DIV/0!"/>
    <n v="0"/>
    <x v="1"/>
    <n v="10"/>
    <x v="100"/>
  </r>
  <r>
    <d v="2026-06-12T00:00:00"/>
    <d v="2026-06-12T00:00:00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n v="6344"/>
    <n v="6579000000"/>
    <n v="26604.837693000005"/>
    <n v="10010"/>
    <n v="-1.8183535094446528E-4"/>
    <n v="26604.8377"/>
    <x v="1"/>
    <n v="7"/>
    <x v="4"/>
  </r>
  <r>
    <d v="2026-06-12T00:00:00"/>
    <d v="2026-06-12T00:00:00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n v="6344"/>
    <n v="6579000000"/>
    <n v="8436.2341680000009"/>
    <n v="10010"/>
    <n v="8.0221340470167088E-2"/>
    <n v="8436.2340000000004"/>
    <x v="1"/>
    <n v="4"/>
    <x v="28"/>
  </r>
  <r>
    <d v="2026-06-12T00:00:00"/>
    <d v="2026-06-12T00:00:00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n v="6344"/>
    <n v="6579000000"/>
    <n v="8523.0292399999998"/>
    <n v="10010"/>
    <n v="0.13210922708090675"/>
    <n v="8523.0292000000009"/>
    <x v="1"/>
    <n v="4"/>
    <x v="27"/>
  </r>
  <r>
    <d v="2026-06-12T00:00:00"/>
    <d v="2026-06-12T00:00:00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n v="6344"/>
    <n v="6579000000"/>
    <n v="6392"/>
    <n v="10010"/>
    <n v="5.8510638297872342E-2"/>
    <n v="6392"/>
    <x v="1"/>
    <n v="4"/>
    <x v="142"/>
  </r>
  <r>
    <d v="2026-06-12T00:00:00"/>
    <d v="2026-06-12T00:00:00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n v="6344"/>
    <n v="6579000000"/>
    <n v="11280"/>
    <n v="10010"/>
    <n v="3.6613475177304962E-2"/>
    <n v="11280"/>
    <x v="1"/>
    <n v="8"/>
    <x v="141"/>
  </r>
  <r>
    <d v="2026-06-12T00:00:00"/>
    <d v="2026-06-12T00:00:00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n v="6344"/>
    <n v="6579000000"/>
    <n v="30504"/>
    <n v="10010"/>
    <n v="-3.0159913453973713E-3"/>
    <n v="30504"/>
    <x v="1"/>
    <n v="6"/>
    <x v="140"/>
  </r>
  <r>
    <d v="2026-06-12T00:00:00"/>
    <d v="2026-06-12T00:00:00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n v="6344"/>
    <n v="6579000000"/>
    <n v="38384"/>
    <n v="10010"/>
    <n v="-2.6052521884118384E-3"/>
    <n v="38384"/>
    <x v="1"/>
    <n v="8"/>
    <x v="139"/>
  </r>
  <r>
    <d v="2026-06-12T00:00:00"/>
    <d v="2026-06-12T00:00:00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n v="6344"/>
    <n v="6579000000"/>
    <n v="53904"/>
    <n v="10010"/>
    <n v="-7.3092905906797269E-3"/>
    <n v="53904"/>
    <x v="1"/>
    <n v="8"/>
    <x v="138"/>
  </r>
  <r>
    <d v="2026-06-12T00:00:00"/>
    <d v="2026-06-12T00:00:00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n v="6344"/>
    <n v="6579000000"/>
    <n v="27034.133332000001"/>
    <n v="10010"/>
    <n v="3.3952144616939288E-2"/>
    <n v="27034.1332"/>
    <x v="1"/>
    <n v="4"/>
    <x v="4"/>
  </r>
  <r>
    <d v="2026-06-12T00:00:00"/>
    <d v="2026-06-12T00:00:00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n v="6344"/>
    <n v="6579000000"/>
    <n v="9248"/>
    <n v="10010"/>
    <n v="2.1626297577854672E-4"/>
    <n v="9248"/>
    <x v="1"/>
    <n v="4"/>
    <x v="86"/>
  </r>
  <r>
    <d v="2026-06-12T00:00:00"/>
    <d v="2026-06-12T00:00:00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n v="6344"/>
    <n v="6579000000"/>
    <s v=""/>
    <n v="10010"/>
    <e v="#DIV/0!"/>
    <n v="0"/>
    <x v="1"/>
    <n v="4"/>
    <x v="100"/>
  </r>
  <r>
    <d v="2026-06-15T00:00:00"/>
    <d v="2026-06-15T00:00:00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n v="6344"/>
    <n v="6579000000"/>
    <n v="437541"/>
    <n v="10010"/>
    <n v="-2.2733869740207215E-2"/>
    <n v="437541"/>
    <x v="1"/>
    <n v="3"/>
    <x v="126"/>
  </r>
  <r>
    <d v="2026-06-15T00:00:00"/>
    <d v="2026-06-15T00:00:00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n v="6344"/>
    <n v="6579000000"/>
    <s v=""/>
    <n v="10010"/>
    <e v="#DIV/0!"/>
    <n v="0"/>
    <x v="1"/>
    <n v="3"/>
    <x v="100"/>
  </r>
  <r>
    <d v="2026-06-15T00:00:00"/>
    <d v="2026-06-15T00:00:00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n v="6344"/>
    <n v="6579000000"/>
    <s v=""/>
    <n v="10010"/>
    <e v="#DIV/0!"/>
    <n v="0"/>
    <x v="1"/>
    <n v="6"/>
    <x v="100"/>
  </r>
  <r>
    <d v="2026-06-15T00:00:00"/>
    <d v="2026-06-15T00:00:00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n v="6344"/>
    <n v="6579000000"/>
    <n v="8523.0292399999998"/>
    <n v="10010"/>
    <n v="0.13210922708090675"/>
    <n v="8523.0292000000009"/>
    <x v="1"/>
    <n v="4"/>
    <x v="27"/>
  </r>
  <r>
    <d v="2026-06-15T00:00:00"/>
    <d v="2026-06-15T00:00:00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n v="6344"/>
    <n v="6579000000"/>
    <n v="8436.2341680000009"/>
    <n v="10010"/>
    <n v="8.0221340470167088E-2"/>
    <n v="8436.2340000000004"/>
    <x v="1"/>
    <n v="4"/>
    <x v="28"/>
  </r>
  <r>
    <d v="2026-06-15T00:00:00"/>
    <d v="2026-06-15T00:00:00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n v="6344"/>
    <n v="6579000000"/>
    <n v="132156"/>
    <n v="10010"/>
    <n v="2.4138109506946551E-3"/>
    <n v="132156"/>
    <x v="1"/>
    <n v="36"/>
    <x v="40"/>
  </r>
  <r>
    <d v="2026-06-15T00:00:00"/>
    <d v="2026-06-15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n v="6344"/>
    <n v="6579000000"/>
    <n v="10545.292710000002"/>
    <n v="10010"/>
    <n v="8.0197633209320524E-2"/>
    <n v="10545.2925"/>
    <x v="1"/>
    <n v="5"/>
    <x v="28"/>
  </r>
  <r>
    <d v="2026-06-15T00:00:00"/>
    <d v="2026-06-15T00:00:0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n v="6344"/>
    <n v="6579000000"/>
    <n v="21307.573100000001"/>
    <n v="10010"/>
    <n v="0.1320857612455438"/>
    <n v="21307.573000000004"/>
    <x v="1"/>
    <n v="10"/>
    <x v="27"/>
  </r>
  <r>
    <d v="2026-06-15T00:00:00"/>
    <d v="2026-06-15T00:00:00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n v="6344"/>
    <n v="6579000000"/>
    <n v="2433712.1634000018"/>
    <n v="10010"/>
    <n v="-4.8971130265651804E-3"/>
    <n v="2433712.176"/>
    <x v="0"/>
    <n v="252"/>
    <x v="0"/>
  </r>
  <r>
    <d v="2026-06-15T00:00:00"/>
    <d v="2026-06-15T00:00:00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n v="6344"/>
    <n v="6579000000"/>
    <n v="2921489.9999999986"/>
    <n v="10010"/>
    <n v="4.437187958883998E-2"/>
    <n v="2921490"/>
    <x v="0"/>
    <n v="195"/>
    <x v="99"/>
  </r>
  <r>
    <d v="2026-06-15T00:00:00"/>
    <d v="2026-06-15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n v="6344"/>
    <n v="6579000000"/>
    <n v="570454.86033000005"/>
    <n v="10010"/>
    <n v="-6.758618130535847E-2"/>
    <n v="570454.86599999992"/>
    <x v="1"/>
    <n v="270"/>
    <x v="101"/>
  </r>
  <r>
    <d v="2026-06-15T00:00:00"/>
    <d v="2026-06-15T00:00:00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n v="6344"/>
    <n v="6579000000"/>
    <n v="601277.10064200009"/>
    <n v="10010"/>
    <n v="-1.5330854429655049E-2"/>
    <n v="601277.09400000004"/>
    <x v="0"/>
    <n v="162"/>
    <x v="96"/>
  </r>
  <r>
    <d v="2026-06-15T00:00:00"/>
    <d v="2026-06-15T00:00:00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n v="6344"/>
    <n v="6579000000"/>
    <n v="570454.86033000005"/>
    <n v="10010"/>
    <n v="1.3588156508074975E-3"/>
    <n v="570454.86599999992"/>
    <x v="0"/>
    <n v="270"/>
    <x v="6"/>
  </r>
  <r>
    <d v="2026-06-15T00:00:00"/>
    <d v="2026-06-15T00:00:00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n v="6344"/>
    <n v="6579000000"/>
    <n v="2365876.1999999997"/>
    <n v="10010"/>
    <n v="-5.958849914365761E-2"/>
    <n v="2365876"/>
    <x v="0"/>
    <n v="5000"/>
    <x v="8"/>
  </r>
  <r>
    <d v="2026-06-15T00:00:00"/>
    <d v="2026-06-15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n v="6344"/>
    <n v="6579000000"/>
    <n v="127277.99999999996"/>
    <n v="10010"/>
    <n v="0"/>
    <n v="127278"/>
    <x v="1"/>
    <n v="6"/>
    <x v="5"/>
  </r>
  <r>
    <d v="2026-06-15T00:00:00"/>
    <d v="2026-06-15T00:00:00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n v="6344"/>
    <n v="6579000000"/>
    <n v="38006.910989999997"/>
    <n v="10010"/>
    <n v="-1.8183535094446528E-4"/>
    <n v="38006.911"/>
    <x v="1"/>
    <n v="10"/>
    <x v="4"/>
  </r>
  <r>
    <d v="2026-06-15T00:00:00"/>
    <d v="2026-06-15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n v="6344"/>
    <n v="6579000000"/>
    <n v="75680"/>
    <n v="10010"/>
    <n v="7.5317124735726983E-4"/>
    <n v="75680"/>
    <x v="1"/>
    <n v="10"/>
    <x v="113"/>
  </r>
  <r>
    <d v="2026-06-15T00:00:00"/>
    <d v="2026-06-15T00:00:00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n v="6344"/>
    <n v="6579000000"/>
    <n v="132156"/>
    <n v="10010"/>
    <n v="2.4213838191228334E-3"/>
    <n v="132156"/>
    <x v="1"/>
    <n v="36"/>
    <x v="40"/>
  </r>
  <r>
    <d v="2026-06-15T00:00:00"/>
    <d v="2026-06-15T00:00:00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n v="6344"/>
    <n v="6579000000"/>
    <n v="41376.000000000007"/>
    <n v="10010"/>
    <n v="0.2140371229698376"/>
    <n v="41376"/>
    <x v="1"/>
    <n v="48"/>
    <x v="4"/>
  </r>
  <r>
    <d v="2026-06-15T00:00:00"/>
    <d v="2026-06-15T00:00:00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n v="6344"/>
    <n v="6579000000"/>
    <n v="33035.321376"/>
    <n v="10010"/>
    <n v="2.3994899422923075E-2"/>
    <n v="33035.320800000001"/>
    <x v="1"/>
    <n v="24"/>
    <x v="4"/>
  </r>
  <r>
    <d v="2026-06-15T00:00:00"/>
    <d v="2026-06-15T00:00:00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n v="6344"/>
    <n v="6579000000"/>
    <n v="7557.04882"/>
    <n v="10010"/>
    <n v="-0.11685103537108199"/>
    <n v="7557.0489999999991"/>
    <x v="1"/>
    <n v="10"/>
    <x v="4"/>
  </r>
  <r>
    <d v="2026-06-15T00:00:00"/>
    <d v="2026-06-15T00:00:00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n v="6344"/>
    <n v="6579000000"/>
    <n v="71496"/>
    <n v="10010"/>
    <n v="6.1807653575025177E-2"/>
    <n v="71496"/>
    <x v="1"/>
    <n v="24"/>
    <x v="100"/>
  </r>
  <r>
    <d v="2026-06-15T00:00:00"/>
    <d v="2026-06-15T00:00:00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n v="6344"/>
    <n v="6579000000"/>
    <n v="476280"/>
    <n v="10010"/>
    <n v="-1.9729990551776301E-2"/>
    <n v="476280"/>
    <x v="1"/>
    <n v="9"/>
    <x v="100"/>
  </r>
  <r>
    <d v="2026-06-15T00:00:00"/>
    <d v="2026-06-15T00:00:00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n v="6344"/>
    <n v="6579000000"/>
    <n v="466856.99999999994"/>
    <n v="10010"/>
    <n v="1.6493358780096941E-4"/>
    <n v="466857"/>
    <x v="0"/>
    <n v="9"/>
    <x v="57"/>
  </r>
  <r>
    <d v="2026-06-15T00:00:00"/>
    <d v="2026-06-15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n v="6344"/>
    <n v="6579000000"/>
    <n v="533202.50991891895"/>
    <n v="10010"/>
    <n v="-0.96749640146098337"/>
    <n v="533202.5"/>
    <x v="1"/>
    <n v="5000"/>
    <x v="63"/>
  </r>
  <r>
    <d v="2026-06-15T00:00:00"/>
    <d v="2026-06-15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n v="6344"/>
    <n v="6579000000"/>
    <n v="34391.599999999999"/>
    <n v="10010"/>
    <n v="-8.9077242923396804E-2"/>
    <n v="34391.5"/>
    <x v="1"/>
    <n v="5000"/>
    <x v="4"/>
  </r>
  <r>
    <d v="2026-06-15T00:00:00"/>
    <d v="2026-06-15T00:00:00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n v="6344"/>
    <n v="6579000000"/>
    <n v="146674.5090299999"/>
    <n v="10010"/>
    <n v="-0.12939198084367867"/>
    <n v="146674.50700000001"/>
    <x v="0"/>
    <n v="70"/>
    <x v="121"/>
  </r>
  <r>
    <d v="2026-06-15T00:00:00"/>
    <d v="2026-06-15T00:00:00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n v="6344"/>
    <n v="6579000000"/>
    <n v="14287.56637"/>
    <n v="10010"/>
    <n v="2.3400416019060161E-3"/>
    <n v="14287.566500000001"/>
    <x v="1"/>
    <n v="5"/>
    <x v="81"/>
  </r>
  <r>
    <d v="2026-06-15T00:00:00"/>
    <d v="2026-06-15T00:00:0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n v="6344"/>
    <n v="6579000000"/>
    <n v="10210.598529999999"/>
    <n v="10010"/>
    <n v="-0.16831515801938537"/>
    <n v="10210.5985"/>
    <x v="1"/>
    <n v="5"/>
    <x v="82"/>
  </r>
  <r>
    <d v="2026-06-15T00:00:00"/>
    <d v="2026-06-15T00:00:0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n v="6344"/>
    <n v="6579000000"/>
    <n v="904223.85275999969"/>
    <n v="10010"/>
    <n v="1.0474693814563501E-3"/>
    <n v="904223.853"/>
    <x v="1"/>
    <n v="6"/>
    <x v="4"/>
  </r>
  <r>
    <d v="2026-06-15T00:00:00"/>
    <d v="2026-06-15T00:00:00"/>
    <s v="STOCK"/>
    <n v="6"/>
    <s v="STOCK"/>
    <n v="907031"/>
    <x v="158"/>
    <s v="0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n v="6344"/>
    <n v="6579000000"/>
    <n v="312538.33333400008"/>
    <n v="10010"/>
    <n v="-2.1678407657369312E-2"/>
    <n v="312538.3334"/>
    <x v="0"/>
    <n v="2"/>
    <x v="98"/>
  </r>
  <r>
    <d v="2026-06-15T00:00:00"/>
    <d v="2026-06-15T00:00:00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n v="6344"/>
    <n v="6579000000"/>
    <n v="44584"/>
    <n v="10010"/>
    <n v="8.4335187511214785E-3"/>
    <n v="44584"/>
    <x v="1"/>
    <n v="2"/>
    <x v="4"/>
  </r>
  <r>
    <d v="2026-06-15T00:00:00"/>
    <d v="2026-06-15T00:00:00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n v="6344"/>
    <n v="6579000000"/>
    <n v="42425.999999999993"/>
    <n v="10010"/>
    <n v="0"/>
    <n v="42426"/>
    <x v="1"/>
    <n v="2"/>
    <x v="5"/>
  </r>
  <r>
    <d v="2026-06-15T00:00:00"/>
    <d v="2026-06-15T00:00:00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n v="6344"/>
    <n v="6579000000"/>
    <s v=""/>
    <n v="10010"/>
    <e v="#DIV/0!"/>
    <n v="0"/>
    <x v="1"/>
    <n v="3"/>
    <x v="100"/>
  </r>
  <r>
    <d v="2026-06-15T00:00:00"/>
    <d v="2026-06-15T00:00:00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n v="6344"/>
    <n v="6579000000"/>
    <s v=""/>
    <n v="10010"/>
    <e v="#DIV/0!"/>
    <n v="0"/>
    <x v="1"/>
    <n v="24"/>
    <x v="100"/>
  </r>
  <r>
    <d v="2026-06-15T00:00:00"/>
    <d v="2026-06-15T00:00:00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n v="6344"/>
    <n v="6579000000"/>
    <n v="823993.41758399969"/>
    <n v="10010"/>
    <n v="-2.1341695769083589E-2"/>
    <n v="823993.41599999997"/>
    <x v="0"/>
    <n v="72"/>
    <x v="43"/>
  </r>
  <r>
    <d v="2026-06-15T00:00:00"/>
    <d v="2026-06-15T00:00:00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n v="6344"/>
    <n v="6579000000"/>
    <n v="811237.38780000038"/>
    <n v="10010"/>
    <n v="-4.896709199025664E-3"/>
    <n v="811237.39199999999"/>
    <x v="0"/>
    <n v="84"/>
    <x v="0"/>
  </r>
  <r>
    <d v="2026-06-15T00:00:00"/>
    <d v="2026-06-15T00:00:0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n v="6344"/>
    <n v="6579000000"/>
    <n v="176208"/>
    <n v="10010"/>
    <n v="2.4175973849087443E-3"/>
    <n v="176208"/>
    <x v="1"/>
    <n v="48"/>
    <x v="40"/>
  </r>
  <r>
    <d v="2026-06-15T00:00:00"/>
    <d v="2026-06-15T00:00:00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n v="6344"/>
    <n v="6579000000"/>
    <n v="34680"/>
    <n v="10010"/>
    <n v="2.018598615916722E-4"/>
    <n v="34680"/>
    <x v="1"/>
    <n v="15"/>
    <x v="86"/>
  </r>
  <r>
    <d v="2026-06-15T00:00:00"/>
    <d v="2026-06-15T00:00:00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n v="6344"/>
    <n v="6579000000"/>
    <s v=""/>
    <n v="10010"/>
    <e v="#DIV/0!"/>
    <n v="0"/>
    <x v="1"/>
    <n v="15"/>
    <x v="100"/>
  </r>
  <r>
    <d v="2026-06-15T00:00:00"/>
    <d v="2026-06-15T00:00:00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n v="6344"/>
    <n v="6579000000"/>
    <s v=""/>
    <n v="10010"/>
    <e v="#DIV/0!"/>
    <n v="0"/>
    <x v="1"/>
    <n v="15"/>
    <x v="100"/>
  </r>
  <r>
    <d v="2026-06-16T00:00:00"/>
    <d v="2026-06-16T00:00:00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d v="2026-06-16T00:00:00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d v="2026-06-16T00:00:00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n v="6344"/>
    <n v="6579000000"/>
    <n v="475295.51668"/>
    <n v="10010"/>
    <n v="9.3378713886288892E-2"/>
    <n v="475295.516"/>
    <x v="0"/>
    <n v="40"/>
    <x v="92"/>
  </r>
  <r>
    <d v="2026-06-16T00:00:00"/>
    <d v="2026-06-16T00:00:00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n v="6344"/>
    <n v="6579000000"/>
    <n v="523300"/>
    <n v="10010"/>
    <n v="-1.7198547678223872E-5"/>
    <n v="523300"/>
    <x v="1"/>
    <n v="50"/>
    <x v="137"/>
  </r>
  <r>
    <d v="2026-06-16T00:00:00"/>
    <d v="2026-06-16T00:00:00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n v="6344"/>
    <n v="6579000000"/>
    <n v="626800"/>
    <n v="10010"/>
    <n v="0"/>
    <n v="626800"/>
    <x v="1"/>
    <n v="200"/>
    <x v="137"/>
  </r>
  <r>
    <d v="2026-06-16T00:00:00"/>
    <d v="2026-06-16T00:00:00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n v="6344"/>
    <n v="6579000000"/>
    <n v="15202.764396000002"/>
    <n v="10010"/>
    <n v="-1.8183535094446528E-4"/>
    <n v="15202.7644"/>
    <x v="1"/>
    <n v="4"/>
    <x v="4"/>
  </r>
  <r>
    <d v="2026-06-16T00:00:00"/>
    <d v="2026-06-16T00:00:00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n v="6344"/>
    <n v="6579000000"/>
    <n v="16202.162000000002"/>
    <n v="10010"/>
    <n v="-1.2344002666275806E-5"/>
    <n v="16202.2"/>
    <x v="1"/>
    <n v="1000"/>
    <x v="4"/>
  </r>
  <r>
    <d v="2026-06-16T00:00:00"/>
    <d v="2026-06-16T00:00:00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n v="6344"/>
    <n v="6579000000"/>
    <n v="1228776.2228000003"/>
    <n v="10010"/>
    <n v="6.3152263600575396E-7"/>
    <n v="1228776.2239999999"/>
    <x v="0"/>
    <n v="80"/>
    <x v="3"/>
  </r>
  <r>
    <d v="2026-06-16T00:00:00"/>
    <d v="2026-06-16T00:00:00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n v="6344"/>
    <n v="6579000000"/>
    <n v="98061.426605999994"/>
    <n v="10010"/>
    <n v="-4.3503344260560319E-6"/>
    <n v="98061.426600000006"/>
    <x v="1"/>
    <n v="2"/>
    <x v="4"/>
  </r>
  <r>
    <d v="2026-06-16T00:00:00"/>
    <d v="2026-06-16T00:00:00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n v="6344"/>
    <n v="6579000000"/>
    <n v="107244"/>
    <n v="10010"/>
    <n v="6.1812319570325583E-2"/>
    <n v="107244"/>
    <x v="1"/>
    <n v="36"/>
    <x v="100"/>
  </r>
  <r>
    <d v="2026-06-16T00:00:00"/>
    <d v="2026-06-16T00:00:00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n v="6344"/>
    <n v="6579000000"/>
    <s v=""/>
    <n v="10010"/>
    <e v="#DIV/0!"/>
    <n v="0"/>
    <x v="1"/>
    <n v="10"/>
    <x v="100"/>
  </r>
  <r>
    <d v="2026-06-16T00:00:00"/>
    <d v="2026-06-16T00:00:00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n v="6344"/>
    <n v="6579000000"/>
    <n v="1844568.9097200008"/>
    <n v="10010"/>
    <n v="-4.337105108949843E-2"/>
    <n v="1844568.9"/>
    <x v="0"/>
    <n v="360"/>
    <x v="65"/>
  </r>
  <r>
    <d v="2026-06-16T00:00:00"/>
    <d v="2026-06-16T00:00:00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n v="6344"/>
    <n v="6579000000"/>
    <n v="1659453.7037399979"/>
    <n v="10010"/>
    <n v="2.5689364515104601E-2"/>
    <n v="1659453.6924000001"/>
    <x v="0"/>
    <n v="252"/>
    <x v="95"/>
  </r>
  <r>
    <d v="2026-06-16T00:00:00"/>
    <d v="2026-06-16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n v="6344"/>
    <n v="6579000000"/>
    <n v="533202.50991891895"/>
    <n v="10010"/>
    <n v="-0.96749640146098337"/>
    <n v="533202.5"/>
    <x v="1"/>
    <n v="5000"/>
    <x v="63"/>
  </r>
  <r>
    <d v="2026-06-16T00:00:00"/>
    <d v="2026-06-16T00:00:00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n v="6344"/>
    <n v="6579000000"/>
    <n v="1647986.8351679994"/>
    <n v="10010"/>
    <n v="-2.1341084113710884E-2"/>
    <n v="1647986.8319999999"/>
    <x v="0"/>
    <n v="144"/>
    <x v="43"/>
  </r>
  <r>
    <d v="2026-06-16T00:00:00"/>
    <d v="2026-06-16T00:00:00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n v="6344"/>
    <n v="6579000000"/>
    <n v="142344.40430999998"/>
    <n v="10010"/>
    <n v="4.1856229088978387E-6"/>
    <n v="142344.4044"/>
    <x v="1"/>
    <n v="6"/>
    <x v="4"/>
  </r>
  <r>
    <d v="2026-06-16T00:00:00"/>
    <d v="2026-06-16T00:00:00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n v="6344"/>
    <n v="6579000000"/>
    <n v="565801"/>
    <n v="10010"/>
    <n v="0.31745613687497892"/>
    <n v="565801"/>
    <x v="0"/>
    <n v="19"/>
    <x v="4"/>
  </r>
  <r>
    <d v="2026-06-16T00:00:00"/>
    <d v="2026-06-16T00:00:00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n v="6344"/>
    <n v="6579000000"/>
    <n v="32364.213524000013"/>
    <n v="10010"/>
    <n v="-6.5998822847693946E-6"/>
    <n v="32364.213599999999"/>
    <x v="1"/>
    <n v="2"/>
    <x v="66"/>
  </r>
  <r>
    <d v="2026-06-16T00:00:00"/>
    <d v="2026-06-16T00:00:00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n v="6344"/>
    <n v="6579000000"/>
    <n v="1280093.442976"/>
    <n v="10010"/>
    <n v="-4.6205566878104051E-2"/>
    <n v="1280093.4432000001"/>
    <x v="0"/>
    <n v="32"/>
    <x v="13"/>
  </r>
  <r>
    <d v="2026-06-16T00:00:00"/>
    <d v="2026-06-16T00:00:00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n v="6344"/>
    <n v="6579000000"/>
    <n v="11208632.637183998"/>
    <n v="10010"/>
    <n v="-1.0029469571410684E-2"/>
    <n v="11208632.640000001"/>
    <x v="0"/>
    <n v="128"/>
    <x v="14"/>
  </r>
  <r>
    <d v="2026-06-16T00:00:00"/>
    <d v="2026-06-16T00:00:00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n v="6344"/>
    <n v="6579000000"/>
    <n v="194379.88500000001"/>
    <n v="10010"/>
    <n v="5.1445648445811355E-7"/>
    <n v="194379.9"/>
    <x v="1"/>
    <n v="500"/>
    <x v="4"/>
  </r>
  <r>
    <d v="2026-06-16T00:00:00"/>
    <d v="2026-06-16T00:00:00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n v="6344"/>
    <n v="6579000000"/>
    <s v=""/>
    <n v="10010"/>
    <e v="#DIV/0!"/>
    <n v="0"/>
    <x v="1"/>
    <n v="200"/>
    <x v="100"/>
  </r>
  <r>
    <d v="2026-06-16T00:00:00"/>
    <d v="2026-06-16T00:00:00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n v="6344"/>
    <n v="6579000000"/>
    <n v="5347368"/>
    <n v="10010"/>
    <n v="-0.20330637143357258"/>
    <n v="5347368"/>
    <x v="0"/>
    <n v="936"/>
    <x v="4"/>
  </r>
  <r>
    <d v="2026-06-16T00:00:00"/>
    <d v="2026-06-16T00:00:00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n v="6344"/>
    <n v="6579000000"/>
    <n v="209535.01289999983"/>
    <n v="10010"/>
    <n v="-0.12938654022542587"/>
    <n v="209535.01"/>
    <x v="0"/>
    <n v="100"/>
    <x v="121"/>
  </r>
  <r>
    <d v="2026-06-16T00:00:00"/>
    <d v="2026-06-16T00:00:00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n v="6344"/>
    <n v="6579000000"/>
    <n v="237837.50409999999"/>
    <n v="10010"/>
    <n v="-4.2417617070478884E-2"/>
    <n v="237837.5"/>
    <x v="1"/>
    <n v="100"/>
    <x v="4"/>
  </r>
  <r>
    <d v="2026-06-16T00:00:00"/>
    <d v="2026-06-16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n v="6344"/>
    <n v="6579000000"/>
    <n v="34391.599999999999"/>
    <n v="10010"/>
    <n v="-8.9077242923396804E-2"/>
    <n v="34391.5"/>
    <x v="1"/>
    <n v="5000"/>
    <x v="4"/>
  </r>
  <r>
    <d v="2026-06-16T00:00:00"/>
    <d v="2026-06-16T00:00:00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n v="6344"/>
    <n v="6579000000"/>
    <n v="35000.185429999998"/>
    <n v="10010"/>
    <n v="-5.2971147976295791E-6"/>
    <n v="35000.185400000002"/>
    <x v="1"/>
    <n v="2"/>
    <x v="67"/>
  </r>
  <r>
    <d v="2026-06-16T00:00:00"/>
    <d v="2026-06-16T00:00:00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n v="6344"/>
    <n v="6579000000"/>
    <n v="4880.2160000000003"/>
    <n v="10010"/>
    <n v="-4.0981926970292619E-5"/>
    <n v="4880.2000000000007"/>
    <x v="1"/>
    <n v="1000"/>
    <x v="64"/>
  </r>
  <r>
    <d v="2026-06-16T00:00:00"/>
    <d v="2026-06-16T00:00:00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n v="6344"/>
    <n v="6579000000"/>
    <n v="17598.730000000003"/>
    <n v="10010"/>
    <n v="1.4205554371827188E-5"/>
    <n v="17598.75"/>
    <x v="1"/>
    <n v="500"/>
    <x v="4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n v="6344"/>
    <n v="6579000000"/>
    <n v="453321.13050000009"/>
    <n v="10010"/>
    <n v="0.15715761825859639"/>
    <n v="453321.13320000004"/>
    <x v="0"/>
    <n v="108"/>
    <x v="12"/>
  </r>
  <r>
    <d v="2026-06-16T00:00:00"/>
    <d v="2026-06-16T00:00:00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n v="6344"/>
    <n v="6579000000"/>
    <n v="25413"/>
    <n v="10010"/>
    <n v="-3.8169401487427972E-3"/>
    <n v="25413"/>
    <x v="1"/>
    <n v="3"/>
    <x v="116"/>
  </r>
  <r>
    <d v="2026-06-16T00:00:00"/>
    <d v="2026-06-16T00:00:00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n v="6344"/>
    <n v="6579000000"/>
    <n v="0"/>
    <n v="10010"/>
    <e v="#DIV/0!"/>
    <n v="0"/>
    <x v="1"/>
    <n v="5"/>
    <x v="100"/>
  </r>
  <r>
    <d v="2026-06-16T00:00:00"/>
    <d v="2026-06-16T00:00:00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n v="6344"/>
    <n v="6579000000"/>
    <n v="9972"/>
    <n v="10010"/>
    <n v="2.0054151624549239E-4"/>
    <n v="9972"/>
    <x v="1"/>
    <n v="6"/>
    <x v="17"/>
  </r>
  <r>
    <d v="2026-06-16T00:00:00"/>
    <d v="2026-06-16T00:00:00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n v="6344"/>
    <n v="6579000000"/>
    <n v="61733.333332000002"/>
    <n v="10010"/>
    <n v="-5.8255937490833576E-2"/>
    <n v="61733.333200000001"/>
    <x v="1"/>
    <n v="4"/>
    <x v="26"/>
  </r>
  <r>
    <d v="2026-06-16T00:00:00"/>
    <d v="2026-06-16T00:00:00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n v="6344"/>
    <n v="6579000000"/>
    <s v=""/>
    <n v="10010"/>
    <e v="#DIV/0!"/>
    <n v="0"/>
    <x v="1"/>
    <n v="2"/>
    <x v="100"/>
  </r>
  <r>
    <d v="2026-06-16T00:00:00"/>
    <d v="2026-06-16T00:00:00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n v="6344"/>
    <n v="6579000000"/>
    <n v="248518.00000199999"/>
    <n v="10010"/>
    <n v="8.3655912180481164E-3"/>
    <n v="248518.00020000001"/>
    <x v="1"/>
    <n v="6"/>
    <x v="25"/>
  </r>
  <r>
    <d v="2026-06-16T00:00:00"/>
    <d v="2026-06-16T00:00:00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n v="6344"/>
    <n v="6579000000"/>
    <n v="214200"/>
    <n v="10010"/>
    <n v="0"/>
    <n v="214200"/>
    <x v="1"/>
    <n v="5"/>
    <x v="103"/>
  </r>
  <r>
    <d v="2026-06-16T00:00:00"/>
    <d v="2026-06-16T00:00:00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n v="6344"/>
    <n v="6579000000"/>
    <n v="9580"/>
    <n v="10010"/>
    <n v="8.1419624217118521E-3"/>
    <n v="9580"/>
    <x v="1"/>
    <n v="5"/>
    <x v="129"/>
  </r>
  <r>
    <d v="2026-06-16T00:00:00"/>
    <d v="2026-06-16T00:00:00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n v="6344"/>
    <n v="6579000000"/>
    <n v="14533.35548"/>
    <n v="10010"/>
    <n v="-2.4460971865759066E-5"/>
    <n v="14533.3555"/>
    <x v="1"/>
    <n v="5"/>
    <x v="4"/>
  </r>
  <r>
    <d v="2026-06-16T00:00:00"/>
    <d v="2026-06-16T00:00:00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n v="6344"/>
    <n v="6579000000"/>
    <n v="1677.4485800000002"/>
    <n v="10010"/>
    <n v="3.2847496406752241E-4"/>
    <n v="1677.4490000000001"/>
    <x v="1"/>
    <n v="10"/>
    <x v="4"/>
  </r>
  <r>
    <d v="2026-06-16T00:00:00"/>
    <d v="2026-06-16T00:00:00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n v="6344"/>
    <n v="6579000000"/>
    <n v="69900"/>
    <n v="10010"/>
    <n v="8.1845493562231808E-2"/>
    <n v="69900"/>
    <x v="1"/>
    <n v="20"/>
    <x v="39"/>
  </r>
  <r>
    <d v="2026-06-16T00:00:00"/>
    <d v="2026-06-16T00:00:00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n v="6344"/>
    <n v="6579000000"/>
    <n v="15175"/>
    <n v="10010"/>
    <n v="-8.5667215815483E-4"/>
    <n v="15175"/>
    <x v="1"/>
    <n v="5"/>
    <x v="130"/>
  </r>
  <r>
    <d v="2026-06-16T00:00:00"/>
    <d v="2026-06-16T00:00:00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n v="6344"/>
    <n v="6579000000"/>
    <n v="18160"/>
    <n v="10010"/>
    <n v="-0.13452643171806164"/>
    <n v="18160"/>
    <x v="1"/>
    <n v="5"/>
    <x v="131"/>
  </r>
  <r>
    <d v="2026-06-16T00:00:00"/>
    <d v="2026-06-16T00:00:00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n v="6344"/>
    <n v="6579000000"/>
    <n v="47350.451612999997"/>
    <n v="10010"/>
    <n v="0.28816089203220857"/>
    <n v="47350.451699999998"/>
    <x v="1"/>
    <n v="3"/>
    <x v="4"/>
  </r>
  <r>
    <d v="2026-06-16T00:00:00"/>
    <d v="2026-06-16T00:00:00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n v="6344"/>
    <n v="6579000000"/>
    <n v="36255.394428000007"/>
    <n v="10010"/>
    <n v="-1.0889413897703603E-5"/>
    <n v="36255.394800000002"/>
    <x v="1"/>
    <n v="12"/>
    <x v="52"/>
  </r>
  <r>
    <d v="2026-06-16T00:00:00"/>
    <d v="2026-06-16T00:00:00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n v="6344"/>
    <n v="6579000000"/>
    <n v="178701.44068"/>
    <n v="10010"/>
    <n v="-7.8367812378188961E-2"/>
    <n v="178701.44100000002"/>
    <x v="1"/>
    <n v="10"/>
    <x v="87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n v="6344"/>
    <n v="6579000000"/>
    <n v="66070.642752"/>
    <n v="10010"/>
    <n v="2.3994899422923075E-2"/>
    <n v="66070.641600000003"/>
    <x v="1"/>
    <n v="48"/>
    <x v="4"/>
  </r>
  <r>
    <d v="2026-06-16T00:00:00"/>
    <d v="2026-06-16T00:00:00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n v="6344"/>
    <n v="6579000000"/>
    <n v="107244"/>
    <n v="10010"/>
    <n v="6.1802987579724765E-2"/>
    <n v="107244"/>
    <x v="1"/>
    <n v="36"/>
    <x v="100"/>
  </r>
  <r>
    <d v="2026-06-16T00:00:00"/>
    <d v="2026-06-16T00:00:00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n v="6344"/>
    <n v="6579000000"/>
    <n v="65494.492760000001"/>
    <n v="10010"/>
    <n v="2.9720178606775109E-2"/>
    <n v="65494.491999999998"/>
    <x v="1"/>
    <n v="20"/>
    <x v="4"/>
  </r>
  <r>
    <d v="2026-06-16T00:00:00"/>
    <d v="2026-06-16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n v="6344"/>
    <n v="6579000000"/>
    <n v="3733.9007100000017"/>
    <n v="10010"/>
    <n v="2.6567390328128124E-5"/>
    <n v="3733.9007999999999"/>
    <x v="1"/>
    <n v="2"/>
    <x v="4"/>
  </r>
  <r>
    <d v="2026-06-16T00:00:00"/>
    <d v="2026-06-16T00:00:00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n v="6344"/>
    <n v="6579000000"/>
    <s v=""/>
    <n v="10010"/>
    <e v="#DIV/0!"/>
    <n v="0"/>
    <x v="1"/>
    <n v="50"/>
    <x v="100"/>
  </r>
  <r>
    <d v="2026-06-16T00:00:00"/>
    <d v="2026-06-16T00:00:00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n v="6344"/>
    <n v="6579000000"/>
    <n v="950591.03336"/>
    <n v="10010"/>
    <n v="9.337976586339182E-2"/>
    <n v="950591.03200000001"/>
    <x v="0"/>
    <n v="80"/>
    <x v="92"/>
  </r>
  <r>
    <d v="2026-06-16T00:00:00"/>
    <d v="2026-06-16T00:00:00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n v="6344"/>
    <n v="6579000000"/>
    <n v="17576.778947999999"/>
    <n v="10010"/>
    <n v="-0.16480715647836092"/>
    <n v="17576.779200000001"/>
    <x v="1"/>
    <n v="6"/>
    <x v="4"/>
  </r>
  <r>
    <d v="2026-06-16T00:00:00"/>
    <d v="2026-06-16T00:00:00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n v="6344"/>
    <n v="6579000000"/>
    <n v="63820"/>
    <n v="10010"/>
    <n v="-0.3628799749294892"/>
    <n v="63820"/>
    <x v="1"/>
    <n v="20"/>
    <x v="120"/>
  </r>
  <r>
    <d v="2026-06-16T00:00:00"/>
    <d v="2026-06-16T00:00:00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18618"/>
    <m/>
    <m/>
    <n v="6344"/>
    <n v="6579000000"/>
    <n v="48540"/>
    <n v="10010"/>
    <n v="-0.38222084878450768"/>
    <n v="48540"/>
    <x v="1"/>
    <n v="20"/>
    <x v="119"/>
  </r>
  <r>
    <d v="2026-06-16T00:00:00"/>
    <d v="2026-06-16T00:00:00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18618"/>
    <m/>
    <m/>
    <n v="6344"/>
    <n v="6579000000"/>
    <n v="36204.000000000007"/>
    <n v="10010"/>
    <n v="0.2140371229698376"/>
    <n v="36204"/>
    <x v="1"/>
    <n v="42"/>
    <x v="4"/>
  </r>
  <r>
    <d v="2026-06-16T00:00:00"/>
    <d v="2026-06-16T00:00:00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618"/>
    <m/>
    <m/>
    <n v="6344"/>
    <n v="6579000000"/>
    <n v="7557.04882"/>
    <n v="10010"/>
    <n v="-0.11685103537108199"/>
    <n v="7557.0489999999991"/>
    <x v="1"/>
    <n v="10"/>
    <x v="4"/>
  </r>
  <r>
    <d v="2026-06-16T00:00:00"/>
    <d v="2026-06-16T00:00:00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8618"/>
    <m/>
    <m/>
    <n v="6344"/>
    <n v="6579000000"/>
    <n v="143668.5"/>
    <n v="10010"/>
    <n v="1.0440702032804685E-5"/>
    <n v="143668.5"/>
    <x v="1"/>
    <n v="3"/>
    <x v="4"/>
  </r>
  <r>
    <d v="2026-06-16T00:00:00"/>
    <d v="2026-06-16T00:00:00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18618"/>
    <m/>
    <m/>
    <n v="6344"/>
    <n v="6579000000"/>
    <n v="138180"/>
    <n v="10010"/>
    <n v="0"/>
    <n v="138180"/>
    <x v="1"/>
    <n v="3"/>
    <x v="4"/>
  </r>
  <r>
    <d v="2026-06-16T00:00:00"/>
    <d v="2026-06-16T00:00:00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18618"/>
    <m/>
    <m/>
    <n v="6344"/>
    <n v="6579000000"/>
    <n v="150860.58000000002"/>
    <n v="10010"/>
    <n v="-4.6125900483744701E-2"/>
    <n v="150860.58000000002"/>
    <x v="1"/>
    <n v="3"/>
    <x v="77"/>
  </r>
  <r>
    <d v="2026-06-16T00:00:00"/>
    <d v="2026-06-16T00:00:00"/>
    <s v="STOCK"/>
    <n v="6"/>
    <s v="STOCK"/>
    <n v="2304008"/>
    <x v="223"/>
    <s v="UND"/>
    <n v="12"/>
    <m/>
    <n v="12"/>
    <n v="2550"/>
    <n v="30600"/>
    <n v="30600"/>
    <m/>
    <m/>
    <n v="-30600"/>
    <m/>
    <m/>
    <n v="318618"/>
    <m/>
    <m/>
    <n v="6344"/>
    <n v="6579000000"/>
    <s v=""/>
    <n v="10010"/>
    <e v="#DIV/0!"/>
    <n v="0"/>
    <x v="1"/>
    <n v="12"/>
    <x v="100"/>
  </r>
  <r>
    <d v="2026-06-16T00:00:00"/>
    <d v="2026-06-16T00:00:00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18618"/>
    <m/>
    <m/>
    <n v="6344"/>
    <n v="6579000000"/>
    <n v="105840"/>
    <n v="10010"/>
    <n v="-1.9727891156462583E-2"/>
    <n v="105840"/>
    <x v="1"/>
    <n v="2"/>
    <x v="100"/>
  </r>
  <r>
    <d v="2026-06-16T00:00:00"/>
    <d v="2026-06-16T00:00:00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8618"/>
    <m/>
    <m/>
    <n v="6344"/>
    <n v="6579000000"/>
    <n v="56671.606319999999"/>
    <n v="10010"/>
    <n v="3.0692619346142256E-4"/>
    <n v="56671.604999999996"/>
    <x v="1"/>
    <n v="30"/>
    <x v="4"/>
  </r>
  <r>
    <d v="2026-06-16T00:00:00"/>
    <d v="2026-06-16T00:00:0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8618"/>
    <m/>
    <m/>
    <n v="6344"/>
    <n v="6579000000"/>
    <n v="45408"/>
    <n v="10010"/>
    <n v="7.4877114164901746E-4"/>
    <n v="45408"/>
    <x v="1"/>
    <n v="6"/>
    <x v="113"/>
  </r>
  <r>
    <d v="2026-06-16T00:00:00"/>
    <d v="2026-06-16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618"/>
    <m/>
    <m/>
    <n v="6344"/>
    <n v="6579000000"/>
    <n v="917083.44828000001"/>
    <n v="10010"/>
    <n v="-6.3281569552436868E-3"/>
    <n v="917083.44800000009"/>
    <x v="0"/>
    <n v="40"/>
    <x v="38"/>
  </r>
  <r>
    <d v="2026-06-16T00:00:00"/>
    <d v="2026-06-16T00:00:00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8618"/>
    <m/>
    <m/>
    <n v="6344"/>
    <n v="6579000000"/>
    <n v="105000.00000000007"/>
    <n v="10010"/>
    <n v="0"/>
    <n v="105000"/>
    <x v="1"/>
    <n v="3"/>
    <x v="89"/>
  </r>
  <r>
    <d v="2026-06-16T00:00:00"/>
    <d v="2026-06-16T00:00:00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18618"/>
    <m/>
    <m/>
    <n v="6344"/>
    <n v="6579000000"/>
    <n v="142702.50245999999"/>
    <n v="10010"/>
    <n v="-4.2420434119934881E-2"/>
    <n v="142702.5"/>
    <x v="1"/>
    <n v="60"/>
    <x v="4"/>
  </r>
  <r>
    <d v="2026-06-16T00:00:00"/>
    <d v="2026-06-16T00:00:00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618"/>
    <m/>
    <m/>
    <n v="6344"/>
    <n v="6579000000"/>
    <n v="10653.786550000001"/>
    <n v="10010"/>
    <n v="0.11781853334492856"/>
    <n v="10653.786500000002"/>
    <x v="1"/>
    <n v="5"/>
    <x v="27"/>
  </r>
  <r>
    <d v="2026-06-17T00:00:00"/>
    <d v="2026-06-17T00:00:00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-ICG"/>
    <n v="194000"/>
    <n v="6344"/>
    <n v="6579000000"/>
    <n v="194000"/>
    <n v="10010"/>
    <n v="0"/>
    <n v="194000"/>
    <x v="1"/>
    <n v="10"/>
    <x v="117"/>
  </r>
  <r>
    <d v="2026-06-17T00:00:00"/>
    <d v="2026-06-17T00:00:00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s v="ANDRES BAHAMONDE-WEDO"/>
    <n v="341336"/>
    <n v="6344"/>
    <n v="6579000000"/>
    <n v="324791.52631599992"/>
    <n v="10010"/>
    <n v="5.0938747643386878E-2"/>
    <n v="324791.52639999997"/>
    <x v="1"/>
    <n v="4"/>
    <x v="4"/>
  </r>
  <r>
    <d v="2026-06-17T00:00:00"/>
    <d v="2026-06-17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s v="MARCO ZUÑIGA"/>
    <n v="7793582"/>
    <n v="6344"/>
    <n v="6579000000"/>
    <n v="7648742.5750799999"/>
    <n v="10010"/>
    <n v="1.8936368985863185E-2"/>
    <n v="7648742.5920000002"/>
    <x v="0"/>
    <n v="360"/>
    <x v="10"/>
  </r>
  <r>
    <d v="2026-06-17T00:00:00"/>
    <d v="2026-06-17T00:00:00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s v="BENJAMIN PINO- CONBES"/>
    <n v="582839"/>
    <n v="6344"/>
    <n v="6579000000"/>
    <s v=""/>
    <n v="10010"/>
    <e v="#DIV/0!"/>
    <n v="0"/>
    <x v="1"/>
    <n v="10"/>
    <x v="100"/>
  </r>
  <r>
    <d v="2026-06-17T00:00:00"/>
    <d v="2026-06-17T00:00:00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n v="6344"/>
    <n v="6579000000"/>
    <n v="88104"/>
    <n v="10010"/>
    <n v="2.4175973849087443E-3"/>
    <n v="88104"/>
    <x v="1"/>
    <n v="24"/>
    <x v="40"/>
  </r>
  <r>
    <d v="2026-06-17T00:00:00"/>
    <d v="2026-06-17T00:00:00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n v="6344"/>
    <n v="6579000000"/>
    <n v="37980"/>
    <n v="10010"/>
    <n v="5.3449183780937817E-3"/>
    <n v="37980"/>
    <x v="1"/>
    <n v="5"/>
    <x v="114"/>
  </r>
  <r>
    <d v="2026-06-17T00:00:00"/>
    <d v="2026-06-17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n v="6344"/>
    <n v="6579000000"/>
    <n v="75680"/>
    <n v="10010"/>
    <n v="7.5317124735726983E-4"/>
    <n v="75680"/>
    <x v="1"/>
    <n v="10"/>
    <x v="113"/>
  </r>
  <r>
    <d v="2026-06-17T00:00:00"/>
    <d v="2026-06-17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n v="6344"/>
    <n v="6579000000"/>
    <n v="104767.50644999991"/>
    <n v="10010"/>
    <n v="-0.12938654022542587"/>
    <n v="104767.505"/>
    <x v="0"/>
    <n v="50"/>
    <x v="121"/>
  </r>
  <r>
    <d v="2026-06-17T00:00:00"/>
    <d v="2026-06-17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n v="6344"/>
    <n v="6579000000"/>
    <n v="94452.677199999991"/>
    <n v="10010"/>
    <n v="2.9988563055514597E-4"/>
    <n v="94452.675000000003"/>
    <x v="1"/>
    <n v="50"/>
    <x v="4"/>
  </r>
  <r>
    <d v="2026-06-17T00:00:00"/>
    <d v="2026-06-17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n v="6344"/>
    <n v="6579000000"/>
    <n v="10545.292710000002"/>
    <n v="10010"/>
    <n v="8.0197633209320524E-2"/>
    <n v="10545.2925"/>
    <x v="1"/>
    <n v="5"/>
    <x v="28"/>
  </r>
  <r>
    <d v="2026-06-17T00:00:00"/>
    <d v="2026-06-17T00:00:00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s v="ALEJANDRO LEON- DUARTE"/>
    <n v="278236"/>
    <n v="6344"/>
    <n v="6579000000"/>
    <n v="4920"/>
    <n v="10010"/>
    <n v="-2.032520325203252E-4"/>
    <n v="4920"/>
    <x v="1"/>
    <n v="4"/>
    <x v="100"/>
  </r>
  <r>
    <d v="2026-06-17T00:00:00"/>
    <d v="2026-06-17T00:00:00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n v="6344"/>
    <n v="6579000000"/>
    <n v="4316"/>
    <n v="10010"/>
    <n v="0"/>
    <n v="4316"/>
    <x v="1"/>
    <n v="4"/>
    <x v="105"/>
  </r>
  <r>
    <d v="2026-06-17T00:00:00"/>
    <d v="2026-06-17T00:00:00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n v="6344"/>
    <n v="6579000000"/>
    <n v="30836"/>
    <n v="10010"/>
    <n v="-9.4045920352834353E-4"/>
    <n v="30836"/>
    <x v="1"/>
    <n v="4"/>
    <x v="115"/>
  </r>
  <r>
    <d v="2026-06-17T00:00:00"/>
    <d v="2026-06-17T00:00:00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n v="6344"/>
    <n v="6579000000"/>
    <n v="47984"/>
    <n v="10010"/>
    <n v="-9.378126042014005E-4"/>
    <n v="47984"/>
    <x v="1"/>
    <n v="4"/>
    <x v="107"/>
  </r>
  <r>
    <d v="2026-06-17T00:00:00"/>
    <d v="2026-06-17T00:00:00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n v="6344"/>
    <n v="6579000000"/>
    <n v="34981.818184000003"/>
    <n v="10010"/>
    <n v="-2.0405411515142864E-2"/>
    <n v="34981.818399999996"/>
    <x v="1"/>
    <n v="8"/>
    <x v="53"/>
  </r>
  <r>
    <d v="2026-06-17T00:00:00"/>
    <d v="2026-06-17T00:00:00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n v="6344"/>
    <n v="6579000000"/>
    <n v="25900.857144000001"/>
    <n v="10010"/>
    <n v="-7.8293039325247393E-2"/>
    <n v="25900.856800000001"/>
    <x v="1"/>
    <n v="8"/>
    <x v="54"/>
  </r>
  <r>
    <d v="2026-06-17T00:00:00"/>
    <d v="2026-06-17T00:00:00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n v="6344"/>
    <n v="6579000000"/>
    <n v="8172"/>
    <n v="10010"/>
    <n v="0"/>
    <n v="8172"/>
    <x v="1"/>
    <n v="4"/>
    <x v="4"/>
  </r>
  <r>
    <d v="2026-06-17T00:00:00"/>
    <d v="2026-06-17T00:00:00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n v="6344"/>
    <n v="6579000000"/>
    <n v="42964"/>
    <n v="10010"/>
    <n v="-1.0241132110604227E-3"/>
    <n v="42964"/>
    <x v="1"/>
    <n v="4"/>
    <x v="128"/>
  </r>
  <r>
    <d v="2026-06-17T00:00:00"/>
    <d v="2026-06-17T00:00:00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n v="6344"/>
    <n v="6579000000"/>
    <n v="59888"/>
    <n v="10010"/>
    <n v="0"/>
    <n v="59888"/>
    <x v="1"/>
    <n v="4"/>
    <x v="133"/>
  </r>
  <r>
    <d v="2026-06-17T00:00:00"/>
    <d v="2026-06-17T00:00:00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n v="6344"/>
    <n v="6579000000"/>
    <n v="18702.074076000001"/>
    <n v="10010"/>
    <n v="0.13003509664222265"/>
    <n v="18702.074000000001"/>
    <x v="1"/>
    <n v="4"/>
    <x v="20"/>
  </r>
  <r>
    <d v="2026-06-17T00:00:00"/>
    <d v="2026-06-17T00:00:00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s v="ALEJANDRO LEON- DUARTE"/>
    <n v="506263"/>
    <n v="6344"/>
    <n v="6579000000"/>
    <n v="68580"/>
    <n v="10010"/>
    <n v="-5.9682123067949837E-2"/>
    <n v="68580"/>
    <x v="1"/>
    <n v="4"/>
    <x v="110"/>
  </r>
  <r>
    <d v="2026-06-17T00:00:00"/>
    <d v="2026-06-17T00:00:00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n v="6344"/>
    <n v="6579000000"/>
    <n v="92912"/>
    <n v="10010"/>
    <n v="3.8208197003616324E-3"/>
    <n v="92912"/>
    <x v="1"/>
    <n v="4"/>
    <x v="111"/>
  </r>
  <r>
    <d v="2026-06-17T00:00:00"/>
    <d v="2026-06-17T00:00:00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n v="6344"/>
    <n v="6579000000"/>
    <n v="6443.7344400000002"/>
    <n v="10010"/>
    <n v="-0.22187978449266937"/>
    <n v="6443.7344000000003"/>
    <x v="1"/>
    <n v="4"/>
    <x v="109"/>
  </r>
  <r>
    <d v="2026-06-17T00:00:00"/>
    <d v="2026-06-17T00:00:00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n v="6344"/>
    <n v="6579000000"/>
    <n v="3891.4057859999998"/>
    <n v="10010"/>
    <n v="-1.0430677509116867E-4"/>
    <n v="3891.4058999999997"/>
    <x v="1"/>
    <n v="3"/>
    <x v="80"/>
  </r>
  <r>
    <d v="2026-06-17T00:00:00"/>
    <d v="2026-06-17T00:00:00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n v="6344"/>
    <n v="6579000000"/>
    <n v="55476"/>
    <n v="10010"/>
    <n v="0"/>
    <n v="55476"/>
    <x v="1"/>
    <n v="4"/>
    <x v="127"/>
  </r>
  <r>
    <d v="2026-06-17T00:00:00"/>
    <d v="2026-06-17T00:00:00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n v="6344"/>
    <n v="6579000000"/>
    <n v="6648"/>
    <n v="10010"/>
    <n v="1.5042117930204573E-4"/>
    <n v="6648"/>
    <x v="1"/>
    <n v="4"/>
    <x v="17"/>
  </r>
  <r>
    <d v="2026-06-17T00:00:00"/>
    <d v="2026-06-17T00:00:00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n v="6344"/>
    <n v="6579000000"/>
    <n v="15433.333333"/>
    <n v="10010"/>
    <n v="-5.8272136194972228E-2"/>
    <n v="15433.3333"/>
    <x v="1"/>
    <n v="1"/>
    <x v="26"/>
  </r>
  <r>
    <d v="2026-06-17T00:00:00"/>
    <d v="2026-06-17T00:00:00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n v="6344"/>
    <n v="6579000000"/>
    <s v=""/>
    <n v="10010"/>
    <e v="#DIV/0!"/>
    <n v="0"/>
    <x v="1"/>
    <n v="3"/>
    <x v="100"/>
  </r>
  <r>
    <d v="2026-06-17T00:00:00"/>
    <d v="2026-06-17T00:00:00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n v="6344"/>
    <n v="6579000000"/>
    <n v="165678.66666799999"/>
    <n v="10010"/>
    <n v="8.3615665598776624E-3"/>
    <n v="165678.66680000001"/>
    <x v="1"/>
    <n v="4"/>
    <x v="25"/>
  </r>
  <r>
    <d v="2026-06-17T00:00:00"/>
    <d v="2026-06-17T00:00:00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n v="6344"/>
    <n v="6579000000"/>
    <n v="6736"/>
    <n v="10010"/>
    <n v="2.4792161520190023E-2"/>
    <n v="6736"/>
    <x v="1"/>
    <n v="4"/>
    <x v="100"/>
  </r>
  <r>
    <d v="2026-06-17T00:00:00"/>
    <d v="2026-06-17T00:00:00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n v="6344"/>
    <n v="6579000000"/>
    <n v="8796"/>
    <n v="10010"/>
    <n v="0"/>
    <n v="8796"/>
    <x v="1"/>
    <n v="4"/>
    <x v="4"/>
  </r>
  <r>
    <d v="2026-06-17T00:00:00"/>
    <d v="2026-06-17T00:00:00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n v="6344"/>
    <n v="6579000000"/>
    <n v="36488"/>
    <n v="10010"/>
    <n v="0"/>
    <n v="36488"/>
    <x v="1"/>
    <n v="4"/>
    <x v="132"/>
  </r>
  <r>
    <d v="2026-06-17T00:00:00"/>
    <d v="2026-06-17T00:00:00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s v="ALEJANDRO LEON- DUARTE"/>
    <n v="13246"/>
    <n v="6344"/>
    <n v="6579000000"/>
    <n v="9172"/>
    <n v="10010"/>
    <n v="-3.4888791975577843E-2"/>
    <n v="9172"/>
    <x v="1"/>
    <n v="4"/>
    <x v="134"/>
  </r>
  <r>
    <d v="2026-06-17T00:00:00"/>
    <d v="2026-06-17T00:00:00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n v="6344"/>
    <n v="6579000000"/>
    <n v="4356"/>
    <n v="10010"/>
    <n v="8.7235996326905426E-3"/>
    <n v="4356"/>
    <x v="1"/>
    <n v="4"/>
    <x v="108"/>
  </r>
  <r>
    <d v="2026-06-18T00:00:00"/>
    <d v="2026-06-18T00:00:00"/>
    <s v="STOCK"/>
    <n v="6"/>
    <s v="STOCK"/>
    <n v="2505058"/>
    <x v="99"/>
    <s v="UND"/>
    <n v="25"/>
    <m/>
    <n v="25"/>
    <n v="16469.68"/>
    <n v="411742"/>
    <n v="411742"/>
    <n v="17870.144100000001"/>
    <n v="1400.4640999999999"/>
    <n v="35011.601699999999"/>
    <n v="7.8368929912983012E-2"/>
    <m/>
    <n v="318776"/>
    <s v="BENJAMIN PINO- CONBES"/>
    <n v="443946"/>
    <n v="6344"/>
    <n v="6579000000"/>
    <n v="446753.60170000006"/>
    <n v="10010"/>
    <n v="-7.8368931563344305E-2"/>
    <n v="446753.60250000004"/>
    <x v="1"/>
    <n v="25"/>
    <x v="87"/>
  </r>
  <r>
    <d v="2026-06-18T00:00:00"/>
    <d v="2026-06-18T00:00:00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776"/>
    <m/>
    <m/>
    <n v="6344"/>
    <n v="6579000000"/>
    <n v="30212.828690000009"/>
    <n v="10010"/>
    <n v="5.6598473449896557E-6"/>
    <n v="30212.829000000002"/>
    <x v="1"/>
    <n v="10"/>
    <x v="52"/>
  </r>
  <r>
    <d v="2026-06-18T00:00:00"/>
    <d v="2026-06-18T00:00:00"/>
    <s v="STOCK"/>
    <n v="6"/>
    <s v="STOCK"/>
    <n v="610019"/>
    <x v="281"/>
    <s v=""/>
    <n v="2"/>
    <m/>
    <n v="2"/>
    <n v="995.5"/>
    <n v="1991"/>
    <n v="1991"/>
    <m/>
    <m/>
    <n v="-1991"/>
    <m/>
    <m/>
    <n v="318776"/>
    <m/>
    <m/>
    <n v="6344"/>
    <n v="6579000000"/>
    <s v=""/>
    <n v="10010"/>
    <e v="#DIV/0!"/>
    <n v="0"/>
    <x v="1"/>
    <n v="2"/>
    <x v="100"/>
  </r>
  <r>
    <d v="2026-06-18T00:00:00"/>
    <d v="2026-06-18T00:00:00"/>
    <s v="STOCK"/>
    <n v="6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8779"/>
    <s v="CATALINA VALENZUELA"/>
    <n v="13686510"/>
    <n v="6344"/>
    <n v="6579000000"/>
    <n v="11044.245371999999"/>
    <n v="10010"/>
    <n v="-0.24512725432328306"/>
    <n v="11044.2456"/>
    <x v="1"/>
    <n v="12"/>
    <x v="4"/>
  </r>
  <r>
    <d v="2026-06-18T00:00:00"/>
    <d v="2026-06-18T00:00:00"/>
    <s v="STOCK"/>
    <n v="6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8779"/>
    <m/>
    <m/>
    <n v="6344"/>
    <n v="6579000000"/>
    <n v="24505.436472000001"/>
    <n v="10010"/>
    <n v="-0.16834782015961158"/>
    <n v="24505.436399999999"/>
    <x v="1"/>
    <n v="12"/>
    <x v="82"/>
  </r>
  <r>
    <d v="2026-06-18T00:00:00"/>
    <d v="2026-06-18T00:00:00"/>
    <s v="STOCK"/>
    <n v="6"/>
    <s v="STOCK"/>
    <n v="408034"/>
    <x v="194"/>
    <s v="CJA"/>
    <n v="4"/>
    <m/>
    <n v="4"/>
    <n v="1867"/>
    <n v="7468"/>
    <n v="7468"/>
    <n v="1866.9503999999999"/>
    <n v="-4.9599999999999998E-2"/>
    <n v="-0.1986"/>
    <n v="-2.6591494447838636E-5"/>
    <m/>
    <n v="318779"/>
    <m/>
    <m/>
    <n v="6344"/>
    <n v="6579000000"/>
    <n v="7467.8014200000034"/>
    <n v="10010"/>
    <n v="2.6567390328128124E-5"/>
    <n v="7467.8015999999998"/>
    <x v="1"/>
    <n v="4"/>
    <x v="4"/>
  </r>
  <r>
    <d v="2026-06-18T00:00:00"/>
    <d v="2026-06-18T00:00:00"/>
    <s v="STOCK"/>
    <n v="6"/>
    <s v="STOCK"/>
    <n v="302046"/>
    <x v="78"/>
    <s v="PZA"/>
    <n v="288"/>
    <m/>
    <n v="288"/>
    <n v="10234.663200000001"/>
    <n v="2947583"/>
    <n v="2947583"/>
    <n v="10156.5985"/>
    <n v="-78.064700000000002"/>
    <n v="-22482.641500000002"/>
    <n v="-7.6861094487574002E-3"/>
    <m/>
    <n v="318779"/>
    <m/>
    <m/>
    <n v="6344"/>
    <n v="6579000000"/>
    <n v="2925100.3584960005"/>
    <n v="10010"/>
    <n v="7.6861067216549726E-3"/>
    <n v="2925100.3679999998"/>
    <x v="0"/>
    <n v="288"/>
    <x v="46"/>
  </r>
  <r>
    <d v="2026-06-18T00:00:00"/>
    <d v="2026-06-18T00:00:00"/>
    <s v="STOCK"/>
    <n v="6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8779"/>
    <m/>
    <m/>
    <n v="6344"/>
    <n v="6579000000"/>
    <n v="534314.19551999995"/>
    <n v="10010"/>
    <n v="-3.5933914109194611E-7"/>
    <n v="534314.18400000001"/>
    <x v="1"/>
    <n v="240"/>
    <x v="4"/>
  </r>
  <r>
    <d v="2026-06-18T00:00:00"/>
    <d v="2026-06-18T00:00:00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8779"/>
    <m/>
    <m/>
    <n v="6344"/>
    <n v="6579000000"/>
    <n v="2961510.1115760002"/>
    <n v="10010"/>
    <n v="3.3028041248091389E-2"/>
    <n v="2961510.12"/>
    <x v="0"/>
    <n v="216"/>
    <x v="2"/>
  </r>
  <r>
    <d v="2026-06-18T00:00:00"/>
    <d v="2026-06-18T00:00:00"/>
    <s v="STOCK"/>
    <n v="6"/>
    <s v="STOCK"/>
    <n v="302010"/>
    <x v="136"/>
    <s v="PZA"/>
    <n v="168"/>
    <m/>
    <n v="168"/>
    <n v="6754.2975999999999"/>
    <n v="1134722"/>
    <n v="1134722"/>
    <n v="6585.1337000000003"/>
    <n v="-169.16390000000001"/>
    <n v="-28419.5308"/>
    <n v="-2.5688752969682861E-2"/>
    <m/>
    <n v="318779"/>
    <m/>
    <m/>
    <n v="6344"/>
    <n v="6579000000"/>
    <n v="1106302.4691599987"/>
    <n v="10010"/>
    <n v="2.5688757086283539E-2"/>
    <n v="1106302.4616"/>
    <x v="0"/>
    <n v="168"/>
    <x v="95"/>
  </r>
  <r>
    <d v="2026-06-18T00:00:00"/>
    <d v="2026-06-18T00:00:00"/>
    <s v="STOCK"/>
    <n v="6"/>
    <s v="STOCK"/>
    <n v="408017"/>
    <x v="187"/>
    <s v="CJA"/>
    <n v="2"/>
    <m/>
    <n v="2"/>
    <n v="17300"/>
    <n v="34600"/>
    <n v="34600"/>
    <m/>
    <m/>
    <n v="-34600"/>
    <m/>
    <m/>
    <n v="318779"/>
    <m/>
    <m/>
    <n v="6344"/>
    <n v="6579000000"/>
    <s v=""/>
    <n v="10010"/>
    <e v="#DIV/0!"/>
    <n v="0"/>
    <x v="1"/>
    <n v="2"/>
    <x v="100"/>
  </r>
  <r>
    <d v="2026-06-18T00:00:00"/>
    <d v="2026-06-18T00:00:00"/>
    <s v="STOCK"/>
    <n v="6"/>
    <s v="STOCK"/>
    <s v="040815X"/>
    <x v="51"/>
    <s v="CJA"/>
    <n v="5"/>
    <m/>
    <n v="5"/>
    <n v="36939.800000000003"/>
    <n v="184699"/>
    <n v="184699"/>
    <n v="36939.818200000002"/>
    <n v="1.8200000000000001E-2"/>
    <n v="9.0899999999999995E-2"/>
    <n v="4.9220599559162897E-7"/>
    <m/>
    <n v="318779"/>
    <m/>
    <m/>
    <n v="6344"/>
    <n v="6579000000"/>
    <n v="184699.09090999991"/>
    <n v="10010"/>
    <n v="-4.9269327477671928E-7"/>
    <n v="184699.09100000001"/>
    <x v="0"/>
    <n v="5"/>
    <x v="45"/>
  </r>
  <r>
    <d v="2026-06-18T00:00:00"/>
    <d v="2026-06-18T00:00:00"/>
    <s v="STOCK"/>
    <n v="6"/>
    <s v="STOCK"/>
    <n v="410126"/>
    <x v="108"/>
    <s v="UND"/>
    <n v="88"/>
    <m/>
    <n v="88"/>
    <n v="983.875"/>
    <n v="86581"/>
    <n v="86581"/>
    <n v="983.61890000000005"/>
    <n v="-0.25609999999999999"/>
    <n v="-22.538499999999999"/>
    <n v="-2.6038438763956455E-4"/>
    <m/>
    <n v="318779"/>
    <m/>
    <m/>
    <n v="6344"/>
    <n v="6579000000"/>
    <n v="86558.461528000014"/>
    <n v="10010"/>
    <n v="2.6036506618564028E-4"/>
    <n v="86558.463199999998"/>
    <x v="1"/>
    <n v="88"/>
    <x v="4"/>
  </r>
  <r>
    <d v="2026-06-18T00:00:00"/>
    <d v="2026-06-18T00:00:00"/>
    <s v="STOCK"/>
    <n v="6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8779"/>
    <m/>
    <m/>
    <n v="6344"/>
    <n v="6579000000"/>
    <n v="85376.31575199998"/>
    <n v="10010"/>
    <n v="-8.7006734213511128E-2"/>
    <n v="85376.324800000002"/>
    <x v="1"/>
    <n v="232"/>
    <x v="68"/>
  </r>
  <r>
    <d v="2026-06-18T00:00:00"/>
    <d v="2026-06-18T00:00:00"/>
    <s v="STOCK"/>
    <n v="6"/>
    <s v="STOCK"/>
    <n v="410046"/>
    <x v="143"/>
    <s v="UND"/>
    <n v="129"/>
    <m/>
    <n v="129"/>
    <n v="746"/>
    <n v="96234"/>
    <n v="96234"/>
    <n v="746"/>
    <n v="0"/>
    <n v="0"/>
    <n v="0"/>
    <m/>
    <n v="318779"/>
    <m/>
    <m/>
    <n v="6344"/>
    <n v="6579000000"/>
    <n v="96234"/>
    <n v="10010"/>
    <n v="0"/>
    <n v="96234"/>
    <x v="1"/>
    <n v="129"/>
    <x v="4"/>
  </r>
  <r>
    <d v="2026-06-18T00:00:00"/>
    <d v="2026-06-18T00:00:00"/>
    <s v="STOCK"/>
    <n v="6"/>
    <s v="STOCK"/>
    <n v="701096"/>
    <x v="135"/>
    <s v="PL"/>
    <n v="210"/>
    <m/>
    <n v="210"/>
    <n v="16248.880999999999"/>
    <n v="3412265"/>
    <n v="3412265"/>
    <n v="16019.885700000001"/>
    <n v="-228.99529999999999"/>
    <n v="-48089.006099999999"/>
    <n v="-1.4294438292738E-2"/>
    <m/>
    <n v="318779"/>
    <m/>
    <m/>
    <n v="6344"/>
    <n v="6579000000"/>
    <n v="3364175.9938500007"/>
    <n v="10010"/>
    <n v="1.4294440315513529E-2"/>
    <n v="3364175.997"/>
    <x v="0"/>
    <n v="210"/>
    <x v="94"/>
  </r>
  <r>
    <d v="2026-06-18T00:00:00"/>
    <d v="2026-06-18T00:00:00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8779"/>
    <m/>
    <m/>
    <n v="6344"/>
    <n v="6579000000"/>
    <n v="749454"/>
    <n v="10010"/>
    <n v="0"/>
    <n v="749454"/>
    <x v="1"/>
    <n v="6"/>
    <x v="24"/>
  </r>
  <r>
    <d v="2026-06-18T00:00:00"/>
    <d v="2026-06-18T00:00:00"/>
    <s v="STOCK"/>
    <n v="6"/>
    <s v="STOCK"/>
    <n v="5309018"/>
    <x v="77"/>
    <s v="MTS"/>
    <n v="500"/>
    <m/>
    <n v="500"/>
    <n v="717.12599999999998"/>
    <n v="358563"/>
    <n v="358563"/>
    <n v="699.99919999999997"/>
    <n v="-17.126799999999999"/>
    <n v="-8563.384"/>
    <n v="-2.4466838272187569E-2"/>
    <m/>
    <n v="318779"/>
    <m/>
    <m/>
    <n v="6344"/>
    <n v="6579000000"/>
    <n v="349999.61600000021"/>
    <n v="10010"/>
    <n v="2.4466885105011552E-2"/>
    <n v="349999.6"/>
    <x v="1"/>
    <n v="500"/>
    <x v="4"/>
  </r>
  <r>
    <d v="2026-06-18T00:00:00"/>
    <d v="2026-06-18T00:00:00"/>
    <s v="STOCK"/>
    <n v="6"/>
    <s v="STOCK"/>
    <n v="701084"/>
    <x v="13"/>
    <s v="PL"/>
    <n v="20"/>
    <m/>
    <n v="20"/>
    <n v="39944.699999999997"/>
    <n v="798894"/>
    <n v="798894"/>
    <n v="38182.916700000002"/>
    <n v="-1761.7833000000001"/>
    <n v="-35235.666700000002"/>
    <n v="-4.6140616977084936E-2"/>
    <m/>
    <n v="318779"/>
    <m/>
    <m/>
    <n v="6344"/>
    <n v="6579000000"/>
    <n v="763658.3333399999"/>
    <n v="10010"/>
    <n v="4.614061607294645E-2"/>
    <n v="763658.33400000003"/>
    <x v="1"/>
    <n v="20"/>
    <x v="11"/>
  </r>
  <r>
    <d v="2026-06-18T00:00:00"/>
    <d v="2026-06-18T00:00:00"/>
    <s v="STOCK"/>
    <n v="6"/>
    <s v="STOCK"/>
    <n v="2304008"/>
    <x v="223"/>
    <s v="UND"/>
    <n v="12"/>
    <m/>
    <n v="12"/>
    <n v="2550"/>
    <n v="30600"/>
    <n v="30600"/>
    <m/>
    <m/>
    <n v="-30600"/>
    <m/>
    <m/>
    <n v="318779"/>
    <m/>
    <m/>
    <n v="6344"/>
    <n v="6579000000"/>
    <s v=""/>
    <n v="10010"/>
    <e v="#DIV/0!"/>
    <n v="0"/>
    <x v="1"/>
    <n v="12"/>
    <x v="100"/>
  </r>
  <r>
    <d v="2026-06-18T00:00:00"/>
    <d v="2026-06-18T00:00:00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8779"/>
    <m/>
    <m/>
    <n v="6344"/>
    <n v="6579000000"/>
    <n v="145216.99515200002"/>
    <n v="10010"/>
    <n v="-4.6275244786224915E-3"/>
    <n v="145216.9952"/>
    <x v="1"/>
    <n v="16"/>
    <x v="4"/>
  </r>
  <r>
    <d v="2026-06-18T00:00:00"/>
    <d v="2026-06-18T00:00:00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798"/>
    <s v="ANDRES BAHAMONDE-WEDO"/>
    <n v="107722"/>
    <n v="6344"/>
    <n v="6579000000"/>
    <n v="32364.213524000013"/>
    <n v="10010"/>
    <n v="-6.5998822847693946E-6"/>
    <n v="32364.213599999999"/>
    <x v="1"/>
    <n v="2"/>
    <x v="66"/>
  </r>
  <r>
    <d v="2026-06-18T00:00:00"/>
    <d v="2026-06-18T00:00:00"/>
    <s v="STOCK"/>
    <n v="6"/>
    <s v="STOCK"/>
    <n v="1610023"/>
    <x v="31"/>
    <s v="KG"/>
    <n v="10"/>
    <m/>
    <n v="10"/>
    <n v="2278.1999999999998"/>
    <n v="22782"/>
    <n v="22782"/>
    <n v="2109.0585000000001"/>
    <n v="-169.14150000000001"/>
    <n v="-1691.4146000000001"/>
    <n v="-8.0197611698158158E-2"/>
    <m/>
    <n v="318798"/>
    <m/>
    <m/>
    <n v="6344"/>
    <n v="6579000000"/>
    <n v="21090.585420000003"/>
    <n v="10010"/>
    <n v="8.0197633209320524E-2"/>
    <n v="21090.584999999999"/>
    <x v="1"/>
    <n v="10"/>
    <x v="28"/>
  </r>
  <r>
    <d v="2026-06-18T00:00:00"/>
    <d v="2026-06-18T00:00:00"/>
    <s v="STOCK"/>
    <n v="6"/>
    <s v="STOCK"/>
    <n v="617057"/>
    <x v="94"/>
    <s v="UND"/>
    <n v="10"/>
    <m/>
    <n v="10"/>
    <n v="1698.6"/>
    <n v="16986"/>
    <n v="16986"/>
    <n v="2042.1197"/>
    <n v="343.5197"/>
    <n v="3435.1970999999999"/>
    <n v="0.16821722301131353"/>
    <m/>
    <n v="318798"/>
    <m/>
    <m/>
    <n v="6344"/>
    <n v="6579000000"/>
    <n v="20421.197059999999"/>
    <n v="10010"/>
    <n v="-0.16821722056743299"/>
    <n v="20421.197"/>
    <x v="1"/>
    <n v="10"/>
    <x v="82"/>
  </r>
  <r>
    <d v="2026-06-18T00:00:00"/>
    <d v="2026-06-18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8798"/>
    <m/>
    <m/>
    <n v="6344"/>
    <n v="6579000000"/>
    <n v="28575.132740000001"/>
    <n v="10010"/>
    <n v="2.3750370645694318E-3"/>
    <n v="28575.133000000002"/>
    <x v="1"/>
    <n v="10"/>
    <x v="81"/>
  </r>
  <r>
    <d v="2026-06-18T00:00:00"/>
    <d v="2026-06-18T00:00:00"/>
    <s v="STOCK"/>
    <n v="6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8798"/>
    <m/>
    <m/>
    <n v="6344"/>
    <n v="6579000000"/>
    <n v="9203.5378099999998"/>
    <n v="10010"/>
    <n v="-0.24518158125712083"/>
    <n v="9203.5380000000005"/>
    <x v="1"/>
    <n v="10"/>
    <x v="4"/>
  </r>
  <r>
    <d v="2026-06-19T00:00:00"/>
    <d v="2026-06-19T00:00:00"/>
    <s v="STOCK"/>
    <n v="6"/>
    <s v="STOCK"/>
    <n v="601250"/>
    <x v="282"/>
    <s v="GAL"/>
    <n v="1"/>
    <m/>
    <n v="1"/>
    <n v="17178"/>
    <n v="17178"/>
    <n v="17178"/>
    <m/>
    <m/>
    <n v="-17178"/>
    <m/>
    <m/>
    <n v="318935"/>
    <s v="CESAR BRAVO"/>
    <n v="95165"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604019"/>
    <x v="283"/>
    <s v="GAL"/>
    <n v="1"/>
    <m/>
    <n v="1"/>
    <n v="15918"/>
    <n v="15918"/>
    <n v="15918"/>
    <m/>
    <m/>
    <n v="-15918"/>
    <m/>
    <m/>
    <n v="318935"/>
    <m/>
    <m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602012"/>
    <x v="284"/>
    <s v="GAL"/>
    <n v="1"/>
    <m/>
    <n v="1"/>
    <n v="62069"/>
    <n v="62069"/>
    <n v="62069"/>
    <m/>
    <m/>
    <n v="-62069"/>
    <m/>
    <m/>
    <n v="318935"/>
    <m/>
    <m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2304053"/>
    <x v="141"/>
    <s v="UND"/>
    <n v="48"/>
    <m/>
    <n v="48"/>
    <n v="1016.25"/>
    <n v="48780"/>
    <n v="48780"/>
    <n v="862"/>
    <n v="-154.25"/>
    <n v="-7404"/>
    <n v="-0.17894431554524343"/>
    <m/>
    <n v="318917"/>
    <s v="BENJAMIN PINO- CONBES"/>
    <n v="571005"/>
    <n v="6344"/>
    <n v="6579000000"/>
    <n v="41376.000000000007"/>
    <n v="10010"/>
    <n v="0.17894431554524362"/>
    <n v="41376"/>
    <x v="1"/>
    <n v="48"/>
    <x v="4"/>
  </r>
  <r>
    <d v="2026-06-19T00:00:00"/>
    <d v="2026-06-19T00:00:00"/>
    <s v="STOCK"/>
    <n v="6"/>
    <s v="STOCK"/>
    <n v="106022"/>
    <x v="157"/>
    <s v="UND"/>
    <n v="10"/>
    <m/>
    <n v="10"/>
    <n v="3800.1"/>
    <n v="38001"/>
    <n v="38001"/>
    <n v="3800.6911"/>
    <n v="0.59109999999999996"/>
    <n v="5.9109999999999996"/>
    <n v="1.5552408354264617E-4"/>
    <m/>
    <n v="318917"/>
    <m/>
    <m/>
    <n v="6344"/>
    <n v="6579000000"/>
    <n v="38006.910989999997"/>
    <n v="10010"/>
    <n v="-1.5552434661161933E-4"/>
    <n v="38006.911"/>
    <x v="1"/>
    <n v="10"/>
    <x v="4"/>
  </r>
  <r>
    <d v="2026-06-19T00:00:00"/>
    <d v="2026-06-19T00:00:00"/>
    <s v="STOCK"/>
    <n v="6"/>
    <s v="STOCK"/>
    <n v="1802162"/>
    <x v="169"/>
    <s v="UND"/>
    <n v="3"/>
    <m/>
    <n v="3"/>
    <n v="42840"/>
    <n v="128520"/>
    <n v="128520"/>
    <n v="42840"/>
    <n v="0"/>
    <n v="0"/>
    <n v="0"/>
    <m/>
    <n v="318917"/>
    <m/>
    <m/>
    <n v="6344"/>
    <n v="6579000000"/>
    <n v="128520"/>
    <n v="10010"/>
    <n v="0"/>
    <n v="128520"/>
    <x v="1"/>
    <n v="3"/>
    <x v="103"/>
  </r>
  <r>
    <d v="2026-06-19T00:00:00"/>
    <d v="2026-06-19T00:00:00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917"/>
    <m/>
    <m/>
    <n v="6344"/>
    <n v="6579000000"/>
    <n v="132156"/>
    <n v="10010"/>
    <n v="2.4138109506946551E-3"/>
    <n v="132156"/>
    <x v="1"/>
    <n v="36"/>
    <x v="40"/>
  </r>
  <r>
    <d v="2026-06-19T00:00:00"/>
    <d v="2026-06-19T00:00:00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917"/>
    <m/>
    <m/>
    <n v="6344"/>
    <n v="6579000000"/>
    <n v="10653.786550000001"/>
    <n v="10010"/>
    <n v="0.11781853334492856"/>
    <n v="10653.786500000002"/>
    <x v="1"/>
    <n v="5"/>
    <x v="27"/>
  </r>
  <r>
    <d v="2026-06-19T00:00:00"/>
    <d v="2026-06-19T00:00:00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917"/>
    <m/>
    <m/>
    <n v="6344"/>
    <n v="6579000000"/>
    <n v="37980"/>
    <n v="10010"/>
    <n v="5.3449183780937817E-3"/>
    <n v="37980"/>
    <x v="1"/>
    <n v="5"/>
    <x v="114"/>
  </r>
  <r>
    <d v="2026-06-19T00:00:00"/>
    <d v="2026-06-19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917"/>
    <m/>
    <m/>
    <n v="6344"/>
    <n v="6579000000"/>
    <n v="75680"/>
    <n v="10010"/>
    <n v="7.5317124735726983E-4"/>
    <n v="75680"/>
    <x v="1"/>
    <n v="10"/>
    <x v="113"/>
  </r>
  <r>
    <d v="2026-06-19T00:00:00"/>
    <d v="2026-06-1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8917"/>
    <m/>
    <m/>
    <n v="6344"/>
    <n v="6579000000"/>
    <n v="97400"/>
    <n v="10010"/>
    <n v="0"/>
    <n v="97400"/>
    <x v="1"/>
    <n v="200"/>
    <x v="118"/>
  </r>
  <r>
    <d v="2026-06-19T00:00:00"/>
    <d v="2026-06-19T00:00:00"/>
    <s v="STOCK"/>
    <n v="6"/>
    <s v="STOCK"/>
    <n v="1402016"/>
    <x v="264"/>
    <s v="UND"/>
    <n v="18"/>
    <m/>
    <n v="18"/>
    <n v="754.22220000000004"/>
    <n v="13576"/>
    <n v="13576"/>
    <m/>
    <m/>
    <n v="-13576"/>
    <m/>
    <m/>
    <n v="318934"/>
    <s v="CESAR BRAVO"/>
    <n v="10370124"/>
    <n v="6344"/>
    <n v="6579000000"/>
    <s v=""/>
    <n v="10010"/>
    <e v="#DIV/0!"/>
    <n v="0"/>
    <x v="1"/>
    <n v="18"/>
    <x v="100"/>
  </r>
  <r>
    <d v="2026-06-19T00:00:00"/>
    <d v="2026-06-19T00:00:00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934"/>
    <m/>
    <m/>
    <n v="6344"/>
    <n v="6579000000"/>
    <s v=""/>
    <n v="10010"/>
    <e v="#DIV/0!"/>
    <n v="0"/>
    <x v="1"/>
    <n v="6"/>
    <x v="100"/>
  </r>
  <r>
    <d v="2026-06-19T00:00:00"/>
    <d v="2026-06-19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934"/>
    <m/>
    <m/>
    <n v="6344"/>
    <n v="6579000000"/>
    <n v="127277.99999999996"/>
    <n v="10010"/>
    <n v="0"/>
    <n v="127278"/>
    <x v="1"/>
    <n v="6"/>
    <x v="5"/>
  </r>
  <r>
    <d v="2026-06-19T00:00:00"/>
    <d v="2026-06-19T00:00:00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8934"/>
    <m/>
    <m/>
    <n v="6344"/>
    <n v="6579000000"/>
    <n v="1482000"/>
    <n v="10010"/>
    <n v="1.417004048582996E-2"/>
    <n v="1482000"/>
    <x v="1"/>
    <n v="10"/>
    <x v="4"/>
  </r>
  <r>
    <d v="2026-06-19T00:00:00"/>
    <d v="2026-06-19T00:00:00"/>
    <s v="STOCK"/>
    <n v="6"/>
    <s v="STOCK"/>
    <n v="408014"/>
    <x v="73"/>
    <s v="CJA"/>
    <n v="5"/>
    <m/>
    <n v="5"/>
    <n v="16182.2"/>
    <n v="80911"/>
    <n v="80911"/>
    <n v="16182.1068"/>
    <n v="-9.3200000000000005E-2"/>
    <n v="-0.4662"/>
    <n v="-5.7617961224285662E-6"/>
    <m/>
    <n v="318934"/>
    <m/>
    <m/>
    <n v="6344"/>
    <n v="6579000000"/>
    <n v="80910.533810000037"/>
    <n v="10010"/>
    <n v="5.7594478366167532E-6"/>
    <n v="80910.534"/>
    <x v="1"/>
    <n v="5"/>
    <x v="66"/>
  </r>
  <r>
    <d v="2026-06-19T00:00:00"/>
    <d v="2026-06-19T00:00:00"/>
    <s v="STOCK"/>
    <n v="6"/>
    <s v="STOCK"/>
    <n v="701084"/>
    <x v="13"/>
    <s v="PL"/>
    <n v="20"/>
    <m/>
    <n v="20"/>
    <n v="40365.599999999999"/>
    <n v="807312"/>
    <n v="807312"/>
    <n v="38182.916700000002"/>
    <n v="-2182.6833000000001"/>
    <n v="-43653.666700000002"/>
    <n v="-5.7163871268283935E-2"/>
    <m/>
    <n v="318934"/>
    <m/>
    <m/>
    <n v="6344"/>
    <n v="6579000000"/>
    <n v="763658.3333399999"/>
    <n v="10010"/>
    <n v="5.7163870354618479E-2"/>
    <n v="763658.33400000003"/>
    <x v="1"/>
    <n v="20"/>
    <x v="11"/>
  </r>
  <r>
    <d v="2026-06-19T00:00:00"/>
    <d v="2026-06-19T00:00:00"/>
    <s v="STOCK"/>
    <n v="6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8934"/>
    <m/>
    <m/>
    <n v="6344"/>
    <n v="6579000000"/>
    <n v="284688.80861999997"/>
    <n v="10010"/>
    <n v="6.7020548080679807E-7"/>
    <n v="284688.8088"/>
    <x v="1"/>
    <n v="12"/>
    <x v="4"/>
  </r>
  <r>
    <d v="2026-06-19T00:00:00"/>
    <d v="2026-06-19T00:00:00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8934"/>
    <m/>
    <m/>
    <n v="6344"/>
    <n v="6579000000"/>
    <n v="1892700.9599999995"/>
    <n v="10010"/>
    <n v="-5.9588921820078536E-2"/>
    <n v="1892700.8"/>
    <x v="0"/>
    <n v="4000"/>
    <x v="8"/>
  </r>
  <r>
    <d v="2026-06-19T00:00:00"/>
    <d v="2026-06-19T00:00:00"/>
    <s v="STOCK"/>
    <n v="6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8934"/>
    <m/>
    <m/>
    <n v="6344"/>
    <n v="6579000000"/>
    <n v="3840280.3289279998"/>
    <n v="10010"/>
    <n v="-4.6205566878104051E-2"/>
    <n v="3840280.3296000003"/>
    <x v="0"/>
    <n v="96"/>
    <x v="13"/>
  </r>
  <r>
    <d v="2026-06-19T00:00:00"/>
    <d v="2026-06-19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934"/>
    <m/>
    <m/>
    <n v="6344"/>
    <n v="6579000000"/>
    <n v="453321.13050000009"/>
    <n v="10010"/>
    <n v="0.15715761825859639"/>
    <n v="453321.13320000004"/>
    <x v="0"/>
    <n v="108"/>
    <x v="12"/>
  </r>
  <r>
    <d v="2026-06-19T00:00:00"/>
    <d v="2026-06-19T00:00:00"/>
    <s v="STOCK"/>
    <n v="6"/>
    <s v="STOCK"/>
    <n v="1901086"/>
    <x v="149"/>
    <s v="M2"/>
    <n v="162"/>
    <m/>
    <n v="162"/>
    <n v="3672.9630000000002"/>
    <n v="595020"/>
    <n v="595020"/>
    <n v="3711.587"/>
    <n v="38.624099999999999"/>
    <n v="6257.1005999999998"/>
    <n v="1.0406351140462768E-2"/>
    <m/>
    <n v="318934"/>
    <m/>
    <m/>
    <n v="6344"/>
    <n v="6579000000"/>
    <n v="601277.10064200009"/>
    <n v="10010"/>
    <n v="-1.0406330230168334E-2"/>
    <n v="601277.09400000004"/>
    <x v="0"/>
    <n v="162"/>
    <x v="96"/>
  </r>
  <r>
    <d v="2026-06-19T00:00:00"/>
    <d v="2026-06-19T00:00:00"/>
    <s v="STOCK"/>
    <n v="6"/>
    <s v="STOCK"/>
    <n v="1901008"/>
    <x v="6"/>
    <s v="M2"/>
    <n v="270"/>
    <m/>
    <n v="270"/>
    <n v="2046.663"/>
    <n v="552599"/>
    <n v="552599"/>
    <n v="2112.7957999999999"/>
    <n v="66.132800000000003"/>
    <n v="17855.8603"/>
    <n v="3.1301092464477688E-2"/>
    <m/>
    <n v="318934"/>
    <m/>
    <m/>
    <n v="6344"/>
    <n v="6579000000"/>
    <n v="570454.86033000005"/>
    <n v="10010"/>
    <n v="-3.1301084562928357E-2"/>
    <n v="570454.86599999992"/>
    <x v="0"/>
    <n v="270"/>
    <x v="6"/>
  </r>
  <r>
    <d v="2026-06-18T00:00:00"/>
    <d v="2026-06-18T00:00:00"/>
    <s v="STOCK"/>
    <n v="6"/>
    <s v="STOCK"/>
    <n v="1103107"/>
    <x v="220"/>
    <s v="ML"/>
    <n v="90"/>
    <n v="90"/>
    <n v="0"/>
    <n v="1200"/>
    <n v="108000"/>
    <n v="0"/>
    <n v="5092"/>
    <n v="3892"/>
    <n v="0"/>
    <n v="0.76433621366849946"/>
    <m/>
    <n v="318832"/>
    <s v="BENJAMIN PINO- CONBES"/>
    <n v="519679"/>
    <n v="6344"/>
    <n v="6579000000"/>
    <n v="0"/>
    <n v="10010"/>
    <n v="-0.76433621366849958"/>
    <n v="0"/>
    <x v="1"/>
    <n v="0"/>
    <x v="100"/>
  </r>
  <r>
    <d v="2026-06-18T00:00:00"/>
    <d v="2026-06-18T00:00:00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832"/>
    <m/>
    <m/>
    <n v="6344"/>
    <n v="6579000000"/>
    <n v="475295.51668"/>
    <n v="10010"/>
    <n v="9.3380817840494901E-2"/>
    <n v="475295.516"/>
    <x v="0"/>
    <n v="40"/>
    <x v="92"/>
  </r>
  <r>
    <d v="2026-06-19T00:00:00"/>
    <d v="2026-06-19T00:00:00"/>
    <s v="STOCK"/>
    <n v="6"/>
    <s v="STOCK"/>
    <n v="1103105"/>
    <x v="219"/>
    <s v="ML"/>
    <n v="90"/>
    <m/>
    <n v="90"/>
    <n v="1200"/>
    <n v="108000"/>
    <n v="108000"/>
    <n v="5092"/>
    <n v="3892"/>
    <n v="350280"/>
    <n v="0.76433621366849946"/>
    <m/>
    <n v="318907"/>
    <s v="GERMAN PINO"/>
    <n v="280800"/>
    <n v="6344"/>
    <n v="6579000000"/>
    <n v="458280"/>
    <n v="10010"/>
    <n v="-0.76433621366849958"/>
    <n v="458280"/>
    <x v="1"/>
    <n v="90"/>
    <x v="100"/>
  </r>
  <r>
    <d v="2026-06-19T00:00:00"/>
    <d v="2026-06-19T00:00:00"/>
    <s v="STOCK"/>
    <n v="6"/>
    <s v="STOCK"/>
    <n v="1103107"/>
    <x v="220"/>
    <s v="ML"/>
    <n v="144"/>
    <m/>
    <n v="144"/>
    <n v="1200"/>
    <n v="172800"/>
    <n v="172800"/>
    <n v="5092"/>
    <n v="3892"/>
    <n v="560448"/>
    <n v="0.76433621366849946"/>
    <m/>
    <n v="318907"/>
    <m/>
    <m/>
    <n v="6344"/>
    <n v="6579000000"/>
    <n v="733248"/>
    <n v="10010"/>
    <n v="-0.76433621366849958"/>
    <n v="733248"/>
    <x v="1"/>
    <n v="144"/>
    <x v="100"/>
  </r>
  <r>
    <d v="2026-06-22T00:00:00"/>
    <d v="2026-06-22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997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2T00:00:00"/>
    <d v="2026-06-22T00:00:00"/>
    <s v="STOCK"/>
    <n v="6"/>
    <s v="STOCK"/>
    <n v="1808146"/>
    <x v="201"/>
    <s v="UND"/>
    <n v="5"/>
    <m/>
    <n v="5"/>
    <n v="3311.6"/>
    <n v="16558"/>
    <n v="16558"/>
    <n v="3404"/>
    <n v="92.4"/>
    <n v="462"/>
    <n v="2.7144535840188042E-2"/>
    <m/>
    <n v="319040"/>
    <s v="ALEJANDRO LEON- DUARTE"/>
    <n v="16558"/>
    <m/>
    <n v="6579000000"/>
    <n v="17020"/>
    <n v="10010"/>
    <n v="-2.7144535840188042E-2"/>
    <n v="17020"/>
    <x v="1"/>
    <n v="5"/>
    <x v="125"/>
  </r>
  <r>
    <d v="2026-06-22T00:00:00"/>
    <d v="2026-06-22T00:00:00"/>
    <s v="STOCK"/>
    <n v="6"/>
    <s v="STOCK"/>
    <n v="1902003"/>
    <x v="105"/>
    <s v="RLL"/>
    <n v="10"/>
    <m/>
    <n v="10"/>
    <n v="150861.79999999999"/>
    <n v="1508618"/>
    <n v="1508618"/>
    <n v="150703.9755"/>
    <n v="-157.8245"/>
    <n v="-1578.2454"/>
    <n v="-1.047248684172373E-3"/>
    <m/>
    <n v="319058"/>
    <s v="BENJAMIN PINO- CONBES"/>
    <n v="1746897"/>
    <m/>
    <n v="6579000000"/>
    <n v="1507039.7545999996"/>
    <n v="10010"/>
    <n v="1.047248418473127E-3"/>
    <n v="1507039.7549999999"/>
    <x v="1"/>
    <n v="10"/>
    <x v="4"/>
  </r>
  <r>
    <d v="2026-06-22T00:00:00"/>
    <d v="2026-06-22T00:00:00"/>
    <s v="STOCK"/>
    <n v="6"/>
    <s v="STOCK"/>
    <n v="307096"/>
    <x v="197"/>
    <s v="TRA"/>
    <n v="70"/>
    <m/>
    <n v="70"/>
    <n v="2027.5857000000001"/>
    <n v="141931"/>
    <n v="141931"/>
    <n v="2095.3501000000001"/>
    <n v="67.764399999999995"/>
    <n v="4743.509"/>
    <n v="3.2340377761412506E-2"/>
    <m/>
    <n v="319058"/>
    <m/>
    <m/>
    <m/>
    <n v="6579000000"/>
    <n v="146674.5090299999"/>
    <n v="10010"/>
    <n v="-3.234037118665755E-2"/>
    <n v="146674.50700000001"/>
    <x v="0"/>
    <n v="70"/>
    <x v="121"/>
  </r>
  <r>
    <d v="2026-06-22T00:00:00"/>
    <d v="2026-06-22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9058"/>
    <m/>
    <m/>
    <m/>
    <n v="6579000000"/>
    <n v="94452.677199999991"/>
    <n v="10010"/>
    <n v="2.9988563055514597E-4"/>
    <n v="94452.675000000003"/>
    <x v="1"/>
    <n v="50"/>
    <x v="4"/>
  </r>
  <r>
    <d v="2026-06-22T00:00:00"/>
    <d v="2026-06-22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9058"/>
    <m/>
    <m/>
    <m/>
    <n v="6579000000"/>
    <n v="1866.9503550000009"/>
    <n v="10010"/>
    <n v="2.6567390328128124E-5"/>
    <n v="1866.9503999999999"/>
    <x v="1"/>
    <n v="1"/>
    <x v="4"/>
  </r>
  <r>
    <d v="2026-06-22T00:00:00"/>
    <d v="2026-06-22T00:00:0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9004"/>
    <s v="ANDRES BAHAMONDE-WEDO"/>
    <n v="3198245"/>
    <m/>
    <n v="6579000000"/>
    <n v="45408"/>
    <n v="10010"/>
    <n v="7.4877114164901746E-4"/>
    <n v="45408"/>
    <x v="1"/>
    <n v="6"/>
    <x v="113"/>
  </r>
  <r>
    <d v="2026-06-22T00:00:00"/>
    <d v="2026-06-22T00:00:00"/>
    <s v="STOCK"/>
    <n v="6"/>
    <s v="STOCK"/>
    <n v="1405039"/>
    <x v="180"/>
    <s v="UND"/>
    <n v="2"/>
    <m/>
    <n v="2"/>
    <n v="7636.5"/>
    <n v="15273"/>
    <n v="15273"/>
    <n v="7596"/>
    <n v="-40.5"/>
    <n v="-81"/>
    <n v="-5.3317535545023701E-3"/>
    <m/>
    <n v="319004"/>
    <m/>
    <m/>
    <m/>
    <n v="6579000000"/>
    <n v="15192"/>
    <n v="10010"/>
    <n v="5.3317535545023701E-3"/>
    <n v="15192"/>
    <x v="1"/>
    <n v="2"/>
    <x v="114"/>
  </r>
  <r>
    <d v="2026-06-22T00:00:00"/>
    <d v="2026-06-22T00:00:0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9004"/>
    <m/>
    <m/>
    <m/>
    <n v="6579000000"/>
    <n v="5640"/>
    <n v="10010"/>
    <n v="3.6702127659574466E-2"/>
    <n v="5640"/>
    <x v="1"/>
    <n v="4"/>
    <x v="141"/>
  </r>
  <r>
    <d v="2026-06-22T00:00:00"/>
    <d v="2026-06-22T00:00:00"/>
    <s v="STOCK"/>
    <n v="6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9004"/>
    <m/>
    <m/>
    <m/>
    <n v="6579000000"/>
    <n v="40551.199997999996"/>
    <n v="10010"/>
    <n v="3.3952144616939288E-2"/>
    <n v="40551.199800000002"/>
    <x v="1"/>
    <n v="6"/>
    <x v="4"/>
  </r>
  <r>
    <d v="2026-06-22T00:00:00"/>
    <d v="2026-06-22T00:00:0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9004"/>
    <m/>
    <m/>
    <m/>
    <n v="6579000000"/>
    <n v="26952"/>
    <n v="10010"/>
    <n v="-7.3092905906797269E-3"/>
    <n v="26952"/>
    <x v="1"/>
    <n v="4"/>
    <x v="138"/>
  </r>
  <r>
    <d v="2026-06-22T00:00:00"/>
    <d v="2026-06-22T00:00:0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9004"/>
    <m/>
    <m/>
    <m/>
    <n v="6579000000"/>
    <n v="904223.85275999969"/>
    <n v="10010"/>
    <n v="1.0474693814563501E-3"/>
    <n v="904223.853"/>
    <x v="1"/>
    <n v="6"/>
    <x v="4"/>
  </r>
  <r>
    <d v="2026-06-22T00:00:00"/>
    <d v="2026-06-22T00:00:00"/>
    <s v="STOCK"/>
    <n v="6"/>
    <s v="STOCK"/>
    <n v="408042"/>
    <x v="101"/>
    <s v="CJA"/>
    <n v="2"/>
    <m/>
    <n v="2"/>
    <n v="35000"/>
    <n v="70000"/>
    <n v="70000"/>
    <n v="35000"/>
    <n v="0"/>
    <n v="0"/>
    <n v="8.3153801304950006E-16"/>
    <m/>
    <n v="319004"/>
    <m/>
    <m/>
    <m/>
    <n v="6579000000"/>
    <n v="70000.000000000058"/>
    <n v="10010"/>
    <n v="0"/>
    <n v="70000"/>
    <x v="1"/>
    <n v="2"/>
    <x v="89"/>
  </r>
  <r>
    <d v="2026-06-22T00:00:00"/>
    <d v="2026-06-22T00:00:00"/>
    <s v="STOCK"/>
    <n v="6"/>
    <s v="STOCK"/>
    <n v="2302017"/>
    <x v="106"/>
    <s v="TIN"/>
    <n v="10"/>
    <m/>
    <n v="10"/>
    <n v="86477.7"/>
    <n v="864777"/>
    <n v="864777"/>
    <n v="81197.881599999993"/>
    <n v="-5279.8184000000001"/>
    <n v="-52798.184200000003"/>
    <n v="-6.5024090756150038E-2"/>
    <m/>
    <n v="319004"/>
    <m/>
    <m/>
    <m/>
    <n v="6579000000"/>
    <n v="811978.81578999979"/>
    <n v="10010"/>
    <n v="6.5024090480705399E-2"/>
    <n v="811978.81599999988"/>
    <x v="1"/>
    <n v="10"/>
    <x v="4"/>
  </r>
  <r>
    <d v="2026-06-22T00:00:00"/>
    <d v="2026-06-22T00:00:00"/>
    <s v="STOCK"/>
    <n v="6"/>
    <s v="STOCK"/>
    <n v="907031"/>
    <x v="158"/>
    <s v="0"/>
    <n v="8"/>
    <m/>
    <n v="8"/>
    <n v="152881.5"/>
    <n v="1223052"/>
    <n v="1223052"/>
    <n v="156269.1667"/>
    <n v="3387.6667000000002"/>
    <n v="27101.333299999998"/>
    <n v="2.1678407450773384E-2"/>
    <m/>
    <n v="319004"/>
    <m/>
    <m/>
    <m/>
    <n v="6579000000"/>
    <n v="1250153.3333360003"/>
    <n v="10010"/>
    <n v="-2.1678407657369312E-2"/>
    <n v="1250153.3336"/>
    <x v="0"/>
    <n v="8"/>
    <x v="98"/>
  </r>
  <r>
    <d v="2026-06-23T00:00:00"/>
    <d v="2026-06-23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014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3T00:00:00"/>
    <d v="2026-06-23T00:00:00"/>
    <s v="STOCK"/>
    <n v="6"/>
    <s v="STOCK"/>
    <n v="304101"/>
    <x v="0"/>
    <s v="PL"/>
    <n v="84"/>
    <m/>
    <n v="84"/>
    <n v="9610.3333000000002"/>
    <n v="807268"/>
    <n v="807268"/>
    <n v="9657.5879999999997"/>
    <n v="47.254600000000003"/>
    <n v="3969.3878"/>
    <n v="4.8930040203952457E-3"/>
    <m/>
    <n v="319159"/>
    <s v="CATALINA VALENZUELA"/>
    <n v="29446263"/>
    <m/>
    <n v="6579000000"/>
    <n v="811237.38780000038"/>
    <n v="10010"/>
    <n v="-4.8930126238559257E-3"/>
    <n v="811237.39199999999"/>
    <x v="0"/>
    <n v="84"/>
    <x v="0"/>
  </r>
  <r>
    <d v="2026-06-23T00:00:00"/>
    <d v="2026-06-23T00:00:00"/>
    <s v="STOCK"/>
    <n v="6"/>
    <s v="STOCK"/>
    <n v="304049"/>
    <x v="159"/>
    <s v="PL"/>
    <n v="130"/>
    <m/>
    <n v="130"/>
    <n v="15629.853800000001"/>
    <n v="2031881"/>
    <n v="2031881"/>
    <n v="14982"/>
    <n v="-647.85379999999998"/>
    <n v="-84221"/>
    <n v="-4.3242146986640903E-2"/>
    <m/>
    <n v="319159"/>
    <m/>
    <m/>
    <m/>
    <n v="6579000000"/>
    <n v="1947659.9999999993"/>
    <n v="10010"/>
    <n v="4.3242143906020609E-2"/>
    <n v="1947660"/>
    <x v="0"/>
    <n v="130"/>
    <x v="99"/>
  </r>
  <r>
    <d v="2026-06-23T00:00:00"/>
    <d v="2026-06-23T00:00:00"/>
    <s v="STOCK"/>
    <n v="6"/>
    <s v="STOCK"/>
    <n v="701015"/>
    <x v="46"/>
    <s v="PL"/>
    <n v="100"/>
    <m/>
    <n v="100"/>
    <n v="9369.3799999999992"/>
    <n v="936938"/>
    <n v="936938"/>
    <n v="9151.2975000000006"/>
    <n v="-218.08250000000001"/>
    <n v="-21808.253199999999"/>
    <n v="-2.3830777303719325E-2"/>
    <m/>
    <n v="319159"/>
    <m/>
    <m/>
    <m/>
    <n v="6579000000"/>
    <n v="915129.74679999996"/>
    <n v="10010"/>
    <n v="2.3830773723616635E-2"/>
    <n v="915129.75"/>
    <x v="1"/>
    <n v="100"/>
    <x v="41"/>
  </r>
  <r>
    <d v="2026-06-23T00:00:00"/>
    <d v="2026-06-23T00:00:00"/>
    <s v="STOCK"/>
    <n v="6"/>
    <s v="STOCK"/>
    <n v="701096"/>
    <x v="135"/>
    <s v="PL"/>
    <n v="70"/>
    <m/>
    <n v="70"/>
    <n v="16344.614299999999"/>
    <n v="1144123"/>
    <n v="1144123"/>
    <n v="16019.885700000001"/>
    <n v="-324.72859999999997"/>
    <n v="-22731.002"/>
    <n v="-2.0270344439370005E-2"/>
    <m/>
    <n v="319159"/>
    <m/>
    <m/>
    <m/>
    <n v="6579000000"/>
    <n v="1121391.9979500002"/>
    <n v="10010"/>
    <n v="2.0270344375802791E-2"/>
    <n v="1121391.9990000001"/>
    <x v="0"/>
    <n v="70"/>
    <x v="94"/>
  </r>
  <r>
    <d v="2026-06-23T00:00:00"/>
    <d v="2026-06-23T00:00:00"/>
    <s v="STOCK"/>
    <n v="6"/>
    <s v="STOCK"/>
    <n v="701040"/>
    <x v="1"/>
    <s v="PL"/>
    <n v="80"/>
    <m/>
    <n v="80"/>
    <n v="8218.7999999999993"/>
    <n v="657504"/>
    <n v="657504"/>
    <n v="7835.7259999999997"/>
    <n v="-383.07400000000001"/>
    <n v="-30645.923699999999"/>
    <n v="-4.8888137263714423E-2"/>
    <m/>
    <n v="319159"/>
    <m/>
    <m/>
    <m/>
    <n v="6579000000"/>
    <n v="626858.07631999976"/>
    <n v="10010"/>
    <n v="4.8888131106166757E-2"/>
    <n v="626858.07999999996"/>
    <x v="1"/>
    <n v="80"/>
    <x v="1"/>
  </r>
  <r>
    <d v="2026-06-23T00:00:00"/>
    <d v="2026-06-23T00:00:00"/>
    <s v="STOCK"/>
    <n v="6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9159"/>
    <m/>
    <m/>
    <m/>
    <n v="6579000000"/>
    <n v="272999.88560000004"/>
    <n v="10010"/>
    <n v="4.0293056526552117E-7"/>
    <n v="272999.89"/>
    <x v="1"/>
    <n v="100"/>
    <x v="31"/>
  </r>
  <r>
    <d v="2026-06-23T00:00:00"/>
    <d v="2026-06-23T00:00:00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9159"/>
    <m/>
    <m/>
    <m/>
    <n v="6579000000"/>
    <n v="17598.730000000003"/>
    <n v="10010"/>
    <n v="1.4205554371827188E-5"/>
    <n v="17598.75"/>
    <x v="1"/>
    <n v="500"/>
    <x v="4"/>
  </r>
  <r>
    <d v="2026-06-23T00:00:00"/>
    <d v="2026-06-23T00:00:00"/>
    <s v="STOCK"/>
    <n v="6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9159"/>
    <m/>
    <m/>
    <m/>
    <n v="6579000000"/>
    <n v="2440.1080000000002"/>
    <n v="10010"/>
    <n v="-4.0981926970292619E-5"/>
    <n v="2440.1000000000004"/>
    <x v="1"/>
    <n v="500"/>
    <x v="64"/>
  </r>
  <r>
    <d v="2026-06-23T00:00:00"/>
    <d v="2026-06-23T00:00:00"/>
    <s v="STOCK"/>
    <n v="6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9159"/>
    <m/>
    <m/>
    <m/>
    <n v="6579000000"/>
    <n v="56700"/>
    <n v="10010"/>
    <n v="-3.354497354497351E-2"/>
    <n v="56700"/>
    <x v="1"/>
    <n v="100"/>
    <x v="4"/>
  </r>
  <r>
    <d v="2026-06-23T00:00:00"/>
    <d v="2026-06-23T00:00:00"/>
    <s v="STOCK"/>
    <n v="6"/>
    <s v="STOCK"/>
    <n v="4212234"/>
    <x v="27"/>
    <s v="UND"/>
    <n v="10"/>
    <m/>
    <n v="10"/>
    <n v="124909"/>
    <n v="1249090"/>
    <n v="1249090"/>
    <n v="124909"/>
    <n v="0"/>
    <n v="0"/>
    <n v="0"/>
    <m/>
    <n v="319159"/>
    <m/>
    <m/>
    <m/>
    <n v="6579000000"/>
    <n v="1249090"/>
    <n v="10010"/>
    <n v="0"/>
    <n v="1249090"/>
    <x v="1"/>
    <n v="10"/>
    <x v="24"/>
  </r>
  <r>
    <d v="2026-06-23T00:00:00"/>
    <d v="2026-06-23T00:00:00"/>
    <s v="STOCK"/>
    <n v="6"/>
    <s v="STOCK"/>
    <n v="302054"/>
    <x v="162"/>
    <s v="PZA"/>
    <n v="1872"/>
    <m/>
    <n v="1872"/>
    <n v="4551.5106999999998"/>
    <n v="8520428"/>
    <n v="8520428"/>
    <n v="5713"/>
    <n v="1161.4893"/>
    <n v="2174308"/>
    <n v="0.20330637427609247"/>
    <m/>
    <n v="319159"/>
    <m/>
    <m/>
    <m/>
    <n v="6579000000"/>
    <n v="10694736"/>
    <n v="10010"/>
    <n v="-0.20330637143357258"/>
    <n v="10694736"/>
    <x v="0"/>
    <n v="1872"/>
    <x v="4"/>
  </r>
  <r>
    <d v="2026-06-23T00:00:00"/>
    <d v="2026-06-23T00:00:00"/>
    <s v="STOCK"/>
    <n v="6"/>
    <s v="STOCK"/>
    <n v="404792"/>
    <x v="279"/>
    <s v="CJA"/>
    <n v="8"/>
    <m/>
    <n v="8"/>
    <n v="18351.75"/>
    <n v="146814"/>
    <n v="146814"/>
    <m/>
    <m/>
    <n v="-146814"/>
    <m/>
    <m/>
    <n v="319159"/>
    <m/>
    <m/>
    <m/>
    <n v="6579000000"/>
    <s v=""/>
    <n v="10010"/>
    <e v="#DIV/0!"/>
    <n v="0"/>
    <x v="1"/>
    <n v="8"/>
    <x v="100"/>
  </r>
  <r>
    <d v="2026-06-23T00:00:00"/>
    <d v="2026-06-23T00:00:00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9159"/>
    <m/>
    <m/>
    <m/>
    <n v="6579000000"/>
    <n v="1892700.9599999995"/>
    <n v="10010"/>
    <n v="-5.9588921820078536E-2"/>
    <n v="1892700.8"/>
    <x v="0"/>
    <n v="4000"/>
    <x v="8"/>
  </r>
  <r>
    <d v="2026-06-23T00:00:00"/>
    <d v="2026-06-23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9159"/>
    <m/>
    <m/>
    <m/>
    <n v="6579000000"/>
    <n v="570454.86033000005"/>
    <n v="10010"/>
    <n v="-6.758618130535847E-2"/>
    <n v="570454.86599999992"/>
    <x v="1"/>
    <n v="270"/>
    <x v="101"/>
  </r>
  <r>
    <d v="2026-06-23T00:00:00"/>
    <d v="2026-06-23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9159"/>
    <m/>
    <m/>
    <m/>
    <n v="6579000000"/>
    <n v="453321.13050000009"/>
    <n v="10010"/>
    <n v="0.15715761825859639"/>
    <n v="453321.13320000004"/>
    <x v="0"/>
    <n v="108"/>
    <x v="12"/>
  </r>
  <r>
    <d v="2026-06-23T00:00:00"/>
    <d v="2026-06-23T00:00:00"/>
    <s v="STOCK"/>
    <n v="6"/>
    <s v="STOCK"/>
    <n v="1901086"/>
    <x v="149"/>
    <s v="M2"/>
    <n v="162"/>
    <m/>
    <n v="162"/>
    <n v="3641.0369999999998"/>
    <n v="589848"/>
    <n v="589848"/>
    <n v="3711.587"/>
    <n v="70.55"/>
    <n v="11429.1006"/>
    <n v="1.9008042431346357E-2"/>
    <m/>
    <n v="319159"/>
    <m/>
    <m/>
    <m/>
    <n v="6579000000"/>
    <n v="601277.10064200009"/>
    <n v="10010"/>
    <n v="-1.9008041573591077E-2"/>
    <n v="601277.09400000004"/>
    <x v="0"/>
    <n v="162"/>
    <x v="96"/>
  </r>
  <r>
    <d v="2026-06-23T00:00:00"/>
    <d v="2026-06-23T00:00:00"/>
    <s v="STOCK"/>
    <n v="6"/>
    <s v="STOCK"/>
    <n v="1901008"/>
    <x v="6"/>
    <s v="M2"/>
    <n v="270"/>
    <m/>
    <n v="270"/>
    <n v="2100.1185"/>
    <n v="567032"/>
    <n v="567032"/>
    <n v="2112.7957999999999"/>
    <n v="12.677300000000001"/>
    <n v="3422.8602999999998"/>
    <n v="6.00022993584437E-3"/>
    <m/>
    <n v="319159"/>
    <m/>
    <m/>
    <m/>
    <n v="6579000000"/>
    <n v="570454.86033000005"/>
    <n v="10010"/>
    <n v="-6.0002485805773715E-3"/>
    <n v="570454.86599999992"/>
    <x v="0"/>
    <n v="270"/>
    <x v="6"/>
  </r>
  <r>
    <d v="2026-06-23T00:00:00"/>
    <d v="2026-06-23T00:00:00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9159"/>
    <m/>
    <m/>
    <m/>
    <n v="6579000000"/>
    <n v="1844568.9097200008"/>
    <n v="10010"/>
    <n v="-4.337105108949843E-2"/>
    <n v="1844568.9"/>
    <x v="0"/>
    <n v="360"/>
    <x v="65"/>
  </r>
  <r>
    <d v="2026-06-23T00:00:00"/>
    <d v="2026-06-23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9159"/>
    <m/>
    <m/>
    <m/>
    <n v="6579000000"/>
    <n v="1480755.0557880001"/>
    <n v="10010"/>
    <n v="3.3028376752600841E-2"/>
    <n v="1480755.06"/>
    <x v="0"/>
    <n v="108"/>
    <x v="2"/>
  </r>
  <r>
    <d v="2026-06-23T00:00:00"/>
    <d v="2026-06-23T00:00:00"/>
    <s v="STOCK"/>
    <n v="6"/>
    <s v="STOCK"/>
    <n v="307096"/>
    <x v="197"/>
    <s v="TRA"/>
    <n v="200"/>
    <m/>
    <n v="200"/>
    <n v="2027.5350000000001"/>
    <n v="405507"/>
    <n v="405507"/>
    <n v="2095.3501000000001"/>
    <n v="67.815100000000001"/>
    <n v="13563.025799999999"/>
    <n v="3.2364581012703161E-2"/>
    <m/>
    <n v="319159"/>
    <m/>
    <m/>
    <m/>
    <n v="6579000000"/>
    <n v="419070.02579999965"/>
    <n v="10010"/>
    <n v="-3.2364567620465919E-2"/>
    <n v="419070.02"/>
    <x v="0"/>
    <n v="200"/>
    <x v="121"/>
  </r>
  <r>
    <d v="2026-06-23T00:00:00"/>
    <d v="2026-06-23T00:00:00"/>
    <s v="STOCK"/>
    <n v="6"/>
    <s v="STOCK"/>
    <n v="701043"/>
    <x v="132"/>
    <s v="PL"/>
    <n v="120"/>
    <m/>
    <n v="120"/>
    <n v="22884.5167"/>
    <n v="2746142"/>
    <n v="2746142"/>
    <n v="22146.362799999999"/>
    <n v="-738.15390000000002"/>
    <n v="-88578.467399999994"/>
    <n v="-3.3330705464642972E-2"/>
    <m/>
    <n v="319159"/>
    <m/>
    <m/>
    <m/>
    <n v="6579000000"/>
    <n v="2657563.5326399999"/>
    <n v="10010"/>
    <n v="3.3330705663324599E-2"/>
    <n v="2657563.5359999998"/>
    <x v="0"/>
    <n v="120"/>
    <x v="93"/>
  </r>
  <r>
    <d v="2026-06-23T00:00:00"/>
    <d v="2026-06-23T00:00:00"/>
    <s v="STOCK"/>
    <n v="6"/>
    <s v="STOCK"/>
    <n v="1902013"/>
    <x v="144"/>
    <s v="RLL"/>
    <n v="40"/>
    <m/>
    <n v="40"/>
    <n v="41556"/>
    <n v="1662240"/>
    <n v="1662240"/>
    <n v="29779"/>
    <n v="-11777"/>
    <n v="-471080"/>
    <n v="-0.39548003626716816"/>
    <m/>
    <n v="319159"/>
    <m/>
    <m/>
    <m/>
    <n v="6579000000"/>
    <n v="1191160"/>
    <n v="10010"/>
    <n v="0.39548003626716816"/>
    <n v="1191160"/>
    <x v="0"/>
    <n v="40"/>
    <x v="4"/>
  </r>
  <r>
    <d v="2026-06-23T00:00:00"/>
    <d v="2026-06-23T00:00:00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9159"/>
    <m/>
    <m/>
    <m/>
    <n v="6579000000"/>
    <n v="1482000"/>
    <n v="10010"/>
    <n v="1.417004048582996E-2"/>
    <n v="1482000"/>
    <x v="1"/>
    <n v="10"/>
    <x v="4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56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6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1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9"/>
    <n v="63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46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4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0"/>
    <n v="73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2"/>
    <n v="71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4"/>
    <n v="86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4"/>
    <n v="86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3"/>
    <n v="87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4"/>
    <n v="84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6"/>
    <n v="96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0"/>
    <n v="83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7"/>
    <n v="85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0"/>
    <n v="105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3"/>
    <n v="77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5"/>
    <n v="7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79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9"/>
    <n v="76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8"/>
    <n v="76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9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1"/>
    <n v="89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2"/>
    <n v="95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2"/>
    <n v="48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6"/>
    <n v="49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9"/>
    <n v="58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8"/>
    <n v="61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7"/>
    <n v="63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9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8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6"/>
    <n v="67"/>
  </r>
  <r>
    <x v="1"/>
    <x v="32"/>
    <n v="2282600033"/>
    <x v="0"/>
    <x v="0"/>
    <d v="2026-04-06T00:00:00"/>
    <x v="24"/>
    <d v="2026-06-12T00:00:00"/>
    <d v="2026-05-0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7"/>
  </r>
  <r>
    <x v="1"/>
    <x v="33"/>
    <n v="2302600034"/>
    <x v="1"/>
    <x v="0"/>
    <d v="2026-04-07T00:00:00"/>
    <x v="25"/>
    <d v="2026-06-11T00:00:00"/>
    <d v="2026-05-17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5"/>
  </r>
  <r>
    <x v="1"/>
    <x v="34"/>
    <n v="2302600035"/>
    <x v="1"/>
    <x v="0"/>
    <d v="2026-04-10T00:00:00"/>
    <x v="26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3"/>
  </r>
  <r>
    <x v="1"/>
    <x v="35"/>
    <n v="2282600036"/>
    <x v="0"/>
    <x v="0"/>
    <d v="2026-04-10T00:00:00"/>
    <x v="26"/>
    <d v="2026-06-12T00:00:00"/>
    <d v="2026-05-0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36"/>
    <n v="2282600037"/>
    <x v="0"/>
    <x v="0"/>
    <d v="2026-04-11T00:00:00"/>
    <x v="27"/>
    <d v="2026-06-15T00:00:00"/>
    <d v="2026-05-10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37"/>
    <n v="2302600038"/>
    <x v="1"/>
    <x v="0"/>
    <d v="2026-04-11T00:00:00"/>
    <x v="27"/>
    <d v="2026-06-17T00:00:00"/>
    <d v="2026-05-21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38"/>
    <n v="2302600039"/>
    <x v="1"/>
    <x v="0"/>
    <d v="2026-04-07T00:00:00"/>
    <x v="25"/>
    <d v="2026-06-22T00:00:00"/>
    <d v="2026-05-17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76"/>
  </r>
  <r>
    <x v="1"/>
    <x v="39"/>
    <n v="2282600040"/>
    <x v="0"/>
    <x v="0"/>
    <d v="2026-04-07T00:00:00"/>
    <x v="25"/>
    <d v="2026-06-12T00:00:00"/>
    <d v="2026-05-06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0"/>
    <n v="2282600041"/>
    <x v="0"/>
    <x v="0"/>
    <d v="2026-04-12T00:00:00"/>
    <x v="28"/>
    <d v="2026-06-12T00:00:00"/>
    <d v="2026-05-11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1"/>
  </r>
  <r>
    <x v="1"/>
    <x v="41"/>
    <n v="2302600042"/>
    <x v="1"/>
    <x v="0"/>
    <d v="2026-04-17T00:00:00"/>
    <x v="29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2"/>
  </r>
  <r>
    <x v="1"/>
    <x v="42"/>
    <n v="2302600043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3"/>
    <n v="2282600044"/>
    <x v="0"/>
    <x v="0"/>
    <d v="2026-04-15T00:00:00"/>
    <x v="30"/>
    <d v="2026-06-17T00:00:00"/>
    <d v="2026-05-14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44"/>
    <n v="2282600045"/>
    <x v="0"/>
    <x v="0"/>
    <d v="2026-04-20T00:00:00"/>
    <x v="31"/>
    <d v="2026-06-18T00:00:00"/>
    <d v="2026-05-19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9"/>
  </r>
  <r>
    <x v="1"/>
    <x v="45"/>
    <n v="2302600046"/>
    <x v="1"/>
    <x v="0"/>
    <d v="2026-04-14T00:00:00"/>
    <x v="32"/>
    <d v="2026-06-22T00:00:00"/>
    <d v="2026-05-24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9"/>
  </r>
  <r>
    <x v="1"/>
    <x v="46"/>
    <n v="2302600047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7"/>
    <n v="2282600048"/>
    <x v="0"/>
    <x v="0"/>
    <d v="2026-04-14T00:00:00"/>
    <x v="32"/>
    <d v="2026-06-19T00:00:00"/>
    <d v="2026-05-13T00:00:00"/>
    <s v=""/>
    <d v="2026-06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8"/>
    <n v="2282600049"/>
    <x v="0"/>
    <x v="0"/>
    <d v="2026-04-22T00:00:00"/>
    <x v="33"/>
    <d v="2026-06-18T00:00:00"/>
    <d v="2026-05-21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49"/>
    <n v="2302600050"/>
    <x v="1"/>
    <x v="0"/>
    <d v="2026-04-24T00:00:00"/>
    <x v="34"/>
    <d v="2026-06-22T00:00:00"/>
    <d v="2026-06-03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9"/>
  </r>
  <r>
    <x v="1"/>
    <x v="50"/>
    <n v="2302600051"/>
    <x v="1"/>
    <x v="0"/>
    <d v="2026-04-28T00:00:00"/>
    <x v="35"/>
    <d v="2026-06-24T00:00:00"/>
    <d v="2026-06-07T00:00:00"/>
    <s v=""/>
    <d v="2026-06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1"/>
    <n v="2282600052"/>
    <x v="0"/>
    <x v="0"/>
    <d v="2026-04-22T00:00:00"/>
    <x v="33"/>
    <d v="2026-06-23T00:00:00"/>
    <d v="2026-05-21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2"/>
  </r>
  <r>
    <x v="1"/>
    <x v="52"/>
    <n v="2282600053"/>
    <x v="0"/>
    <x v="0"/>
    <d v="2026-04-27T00:00:00"/>
    <x v="36"/>
    <d v="2026-06-23T00:00:00"/>
    <d v="2026-05-26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53"/>
    <n v="2302600054"/>
    <x v="1"/>
    <x v="0"/>
    <d v="2026-04-29T00:00:00"/>
    <x v="37"/>
    <d v="2026-06-25T00:00:00"/>
    <d v="2026-06-08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4"/>
    <n v="2302600055"/>
    <x v="1"/>
    <x v="0"/>
    <d v="2026-04-24T00:00:00"/>
    <x v="34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55"/>
    <n v="2282600056"/>
    <x v="0"/>
    <x v="0"/>
    <d v="2026-04-22T00:00:00"/>
    <x v="33"/>
    <d v="2026-06-26T00:00:00"/>
    <d v="2026-05-21T00:00:00"/>
    <s v=""/>
    <d v="2026-06-26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56"/>
    <n v="2282600057"/>
    <x v="0"/>
    <x v="0"/>
    <d v="2026-05-04T00:00:00"/>
    <x v="38"/>
    <d v="2026-06-25T00:00:00"/>
    <d v="2026-06-02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0"/>
  </r>
  <r>
    <x v="1"/>
    <x v="57"/>
    <n v="2302600058"/>
    <x v="1"/>
    <x v="0"/>
    <d v="2026-05-04T00:00:00"/>
    <x v="39"/>
    <d v="2026-07-01T00:00:00"/>
    <d v="2026-06-13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7"/>
  </r>
  <r>
    <x v="1"/>
    <x v="58"/>
    <n v="2302600059"/>
    <x v="1"/>
    <x v="0"/>
    <d v="2026-05-05T00:00:00"/>
    <x v="40"/>
    <d v="2026-07-01T00:00:00"/>
    <d v="2026-06-14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1"/>
    <x v="2"/>
    <x v="0"/>
    <n v="40"/>
    <n v="58"/>
  </r>
  <r>
    <x v="1"/>
    <x v="59"/>
    <n v="2282600060"/>
    <x v="0"/>
    <x v="0"/>
    <d v="2026-05-05T00:00:00"/>
    <x v="41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4"/>
  </r>
  <r>
    <x v="1"/>
    <x v="60"/>
    <n v="2282600061"/>
    <x v="0"/>
    <x v="0"/>
    <d v="2026-05-06T00:00:00"/>
    <x v="42"/>
    <d v="2026-06-30T00:00:00"/>
    <d v="2026-06-04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3"/>
  </r>
  <r>
    <x v="1"/>
    <x v="61"/>
    <n v="2302600062"/>
    <x v="1"/>
    <x v="0"/>
    <d v="2026-05-06T00:00:00"/>
    <x v="41"/>
    <d v="2026-07-02T00:00:00"/>
    <d v="2026-06-1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6"/>
  </r>
  <r>
    <x v="1"/>
    <x v="62"/>
    <n v="2302600063"/>
    <x v="1"/>
    <x v="0"/>
    <d v="2026-05-07T00:00:00"/>
    <x v="39"/>
    <d v="2026-07-03T00:00:00"/>
    <d v="2026-06-1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2"/>
    <x v="2"/>
    <x v="0"/>
    <n v="40"/>
    <n v="59"/>
  </r>
  <r>
    <x v="1"/>
    <x v="63"/>
    <n v="2282600064"/>
    <x v="0"/>
    <x v="0"/>
    <d v="2026-05-07T00:00:00"/>
    <x v="41"/>
    <d v="2026-07-02T00:00:00"/>
    <d v="2026-06-0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6"/>
  </r>
  <r>
    <x v="2"/>
    <x v="64"/>
    <n v="2282600065"/>
    <x v="0"/>
    <x v="0"/>
    <d v="2026-05-08T00:00:00"/>
    <x v="43"/>
    <d v="2026-07-02T00:00:00"/>
    <d v="2026-06-03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2"/>
  </r>
  <r>
    <x v="2"/>
    <x v="65"/>
    <n v="2302600066"/>
    <x v="1"/>
    <x v="0"/>
    <d v="2026-05-08T00:00:00"/>
    <x v="44"/>
    <d v="2026-07-08T00:00:00"/>
    <d v="2026-06-13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4"/>
    <x v="1"/>
    <x v="0"/>
    <n v="36"/>
    <n v="57"/>
  </r>
  <r>
    <x v="2"/>
    <x v="66"/>
    <n v="2302600067"/>
    <x v="1"/>
    <x v="0"/>
    <d v="2026-05-11T00:00:00"/>
    <x v="45"/>
    <d v="2026-07-07T00:00:00"/>
    <d v="2026-06-16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5"/>
    <x v="1"/>
    <x v="0"/>
    <n v="36"/>
    <n v="52"/>
  </r>
  <r>
    <x v="2"/>
    <x v="67"/>
    <n v="2282600068"/>
    <x v="0"/>
    <x v="0"/>
    <d v="2026-05-11T00:00:00"/>
    <x v="46"/>
    <d v="2026-07-03T00:00:00"/>
    <d v="2026-06-0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0"/>
  </r>
  <r>
    <x v="2"/>
    <x v="68"/>
    <n v="2282600069"/>
    <x v="0"/>
    <x v="0"/>
    <d v="2026-05-12T00:00:00"/>
    <x v="46"/>
    <d v="2026-07-03T00:00:00"/>
    <d v="2026-06-07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6"/>
    <n v="50"/>
  </r>
  <r>
    <x v="2"/>
    <x v="69"/>
    <n v="2302600070"/>
    <x v="1"/>
    <x v="0"/>
    <d v="2026-05-12T00:00:00"/>
    <x v="45"/>
    <d v="2026-07-07T00:00:00"/>
    <d v="2026-06-17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4"/>
    <x v="1"/>
    <x v="0"/>
    <n v="36"/>
    <n v="52"/>
  </r>
  <r>
    <x v="2"/>
    <x v="70"/>
    <n v="2302600071"/>
    <x v="1"/>
    <x v="0"/>
    <d v="2026-05-13T00:00:00"/>
    <x v="46"/>
    <d v="2026-07-07T00:00:00"/>
    <d v="2026-06-18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36"/>
    <n v="54"/>
  </r>
  <r>
    <x v="2"/>
    <x v="71"/>
    <n v="2282600072"/>
    <x v="0"/>
    <x v="0"/>
    <d v="2026-05-13T00:00:00"/>
    <x v="44"/>
    <d v="2026-07-07T00:00:00"/>
    <d v="2026-06-08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-1"/>
    <x v="2"/>
    <x v="0"/>
    <n v="26"/>
    <n v="56"/>
  </r>
  <r>
    <x v="2"/>
    <x v="72"/>
    <n v="2282600073"/>
    <x v="0"/>
    <x v="0"/>
    <d v="2026-05-14T00:00:00"/>
    <x v="47"/>
    <d v="2026-07-08T00:00:00"/>
    <d v="2026-06-09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1"/>
    <x v="1"/>
    <x v="0"/>
    <n v="26"/>
    <n v="44"/>
  </r>
  <r>
    <x v="2"/>
    <x v="73"/>
    <n v="2302600074"/>
    <x v="1"/>
    <x v="0"/>
    <d v="2026-05-14T00:00:00"/>
    <x v="48"/>
    <d v="2026-07-08T00:00:00"/>
    <d v="2026-06-19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5"/>
    <x v="1"/>
    <x v="0"/>
    <n v="36"/>
    <n v="50"/>
  </r>
  <r>
    <x v="2"/>
    <x v="74"/>
    <n v="2302600075"/>
    <x v="1"/>
    <x v="0"/>
    <d v="2026-05-15T00:00:00"/>
    <x v="49"/>
    <d v="2026-07-10T00:00:00"/>
    <d v="2026-06-20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3"/>
    <x v="1"/>
    <x v="0"/>
    <n v="36"/>
    <n v="53"/>
  </r>
  <r>
    <x v="2"/>
    <x v="75"/>
    <n v="2282600076"/>
    <x v="0"/>
    <x v="0"/>
    <d v="2026-05-15T00:00:00"/>
    <x v="50"/>
    <d v="2026-07-10T00:00:00"/>
    <d v="2026-06-10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2"/>
    <x v="1"/>
    <x v="0"/>
    <n v="26"/>
    <n v="44"/>
  </r>
  <r>
    <x v="2"/>
    <x v="76"/>
    <n v="2282600077"/>
    <x v="0"/>
    <x v="0"/>
    <d v="2026-05-18T00:00:00"/>
    <x v="51"/>
    <d v="2026-07-08T00:00:00"/>
    <d v="2026-06-13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8"/>
    <x v="1"/>
    <x v="0"/>
    <n v="26"/>
    <n v="43"/>
  </r>
  <r>
    <x v="2"/>
    <x v="77"/>
    <n v="2302600078"/>
    <x v="1"/>
    <x v="0"/>
    <d v="2026-05-18T00:00:00"/>
    <x v="45"/>
    <d v="2026-07-13T00:00:00"/>
    <d v="2026-06-23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2"/>
    <x v="2"/>
    <x v="0"/>
    <n v="36"/>
    <n v="58"/>
  </r>
  <r>
    <x v="2"/>
    <x v="78"/>
    <n v="2302600079"/>
    <x v="1"/>
    <x v="0"/>
    <d v="2026-05-19T00:00:00"/>
    <x v="52"/>
    <d v="2026-07-13T00:00:00"/>
    <d v="2026-06-24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36"/>
    <n v="54"/>
  </r>
  <r>
    <x v="2"/>
    <x v="79"/>
    <n v="2282600080"/>
    <x v="0"/>
    <x v="0"/>
    <d v="2026-05-19T00:00:00"/>
    <x v="51"/>
    <d v="2026-07-10T00:00:00"/>
    <d v="2026-06-14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7"/>
    <x v="1"/>
    <x v="0"/>
    <n v="26"/>
    <n v="45"/>
  </r>
  <r>
    <x v="2"/>
    <x v="80"/>
    <n v="2282600081"/>
    <x v="0"/>
    <x v="0"/>
    <d v="2026-05-20T00:00:00"/>
    <x v="53"/>
    <d v="2026-07-10T00:00:00"/>
    <d v="2026-06-15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9"/>
    <x v="1"/>
    <x v="0"/>
    <n v="26"/>
    <n v="42"/>
  </r>
  <r>
    <x v="2"/>
    <x v="81"/>
    <n v="2302600082"/>
    <x v="1"/>
    <x v="0"/>
    <d v="2026-05-20T00:00:00"/>
    <x v="53"/>
    <d v="2026-07-14T00:00:00"/>
    <d v="2026-06-25T00:00:00"/>
    <s v=""/>
    <d v="2026-07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9"/>
    <x v="1"/>
    <x v="0"/>
    <n v="36"/>
    <n v="46"/>
  </r>
  <r>
    <x v="2"/>
    <x v="82"/>
    <n v="2302600083"/>
    <x v="1"/>
    <x v="0"/>
    <d v="2026-05-22T00:00:00"/>
    <x v="54"/>
    <d v="2026-07-14T00:00:00"/>
    <d v="2026-06-27T00:00:00"/>
    <s v=""/>
    <d v="2026-07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0"/>
    <x v="1"/>
    <x v="0"/>
    <n v="36"/>
    <n v="43"/>
  </r>
  <r>
    <x v="2"/>
    <x v="83"/>
    <n v="2282600084"/>
    <x v="0"/>
    <x v="0"/>
    <d v="2026-05-22T00:00:00"/>
    <x v="53"/>
    <d v="2026-07-13T00:00:00"/>
    <d v="2026-06-17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7"/>
    <x v="1"/>
    <x v="0"/>
    <n v="26"/>
    <n v="45"/>
  </r>
  <r>
    <x v="2"/>
    <x v="84"/>
    <n v="2282600085"/>
    <x v="0"/>
    <x v="0"/>
    <d v="2026-05-25T00:00:00"/>
    <x v="53"/>
    <d v="2026-07-13T00:00:00"/>
    <d v="2026-06-20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4"/>
    <x v="1"/>
    <x v="0"/>
    <n v="26"/>
    <n v="45"/>
  </r>
  <r>
    <x v="2"/>
    <x v="85"/>
    <n v="2302600086"/>
    <x v="1"/>
    <x v="0"/>
    <d v="2026-05-25T00:00:00"/>
    <x v="55"/>
    <d v="2026-07-22T00:00:00"/>
    <d v="2026-06-30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9"/>
    <x v="1"/>
    <x v="0"/>
    <n v="36"/>
    <n v="49"/>
  </r>
  <r>
    <x v="2"/>
    <x v="86"/>
    <n v="2302600087"/>
    <x v="1"/>
    <x v="0"/>
    <d v="2026-05-26T00:00:00"/>
    <x v="53"/>
    <d v="2026-07-15T00:00:00"/>
    <d v="2026-07-01T00:00:00"/>
    <s v=""/>
    <d v="2026-07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3"/>
    <x v="1"/>
    <x v="0"/>
    <n v="36"/>
    <n v="47"/>
  </r>
  <r>
    <x v="2"/>
    <x v="87"/>
    <n v="2282600088"/>
    <x v="0"/>
    <x v="0"/>
    <d v="2026-05-26T00:00:00"/>
    <x v="53"/>
    <d v="2026-07-14T00:00:00"/>
    <d v="2026-06-21T00:00:00"/>
    <s v=""/>
    <d v="2026-07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46"/>
  </r>
  <r>
    <x v="2"/>
    <x v="88"/>
    <n v="2282600089"/>
    <x v="0"/>
    <x v="0"/>
    <d v="2026-05-27T00:00:00"/>
    <x v="56"/>
    <d v="2026-07-13T00:00:00"/>
    <d v="2026-06-22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9"/>
    <x v="1"/>
    <x v="0"/>
    <n v="26"/>
    <n v="38"/>
  </r>
  <r>
    <x v="2"/>
    <x v="89"/>
    <n v="2302600090"/>
    <x v="1"/>
    <x v="0"/>
    <d v="2026-05-27T00:00:00"/>
    <x v="55"/>
    <d v="2026-07-22T00:00:00"/>
    <d v="2026-07-02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7"/>
    <x v="1"/>
    <x v="0"/>
    <n v="36"/>
    <n v="49"/>
  </r>
  <r>
    <x v="2"/>
    <x v="90"/>
    <n v="2302600091"/>
    <x v="1"/>
    <x v="0"/>
    <d v="2026-05-28T00:00:00"/>
    <x v="57"/>
    <d v="2026-07-22T00:00:00"/>
    <d v="2026-07-03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1"/>
    <x v="1"/>
    <x v="0"/>
    <n v="36"/>
    <n v="44"/>
  </r>
  <r>
    <x v="2"/>
    <x v="91"/>
    <n v="2282600092"/>
    <x v="0"/>
    <x v="0"/>
    <d v="2026-05-28T00:00:00"/>
    <x v="58"/>
    <d v="2026-07-15T00:00:00"/>
    <d v="2026-06-23T00:00:00"/>
    <s v=""/>
    <d v="2026-07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4"/>
    <x v="1"/>
    <x v="0"/>
    <n v="26"/>
    <n v="34"/>
  </r>
  <r>
    <x v="2"/>
    <x v="92"/>
    <n v="2282600093"/>
    <x v="0"/>
    <x v="0"/>
    <d v="2026-05-29T00:00:00"/>
    <x v="58"/>
    <d v="2026-07-21T00:00:00"/>
    <d v="2026-06-24T00:00:00"/>
    <s v=""/>
    <d v="2026-07-2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3"/>
    <x v="1"/>
    <x v="0"/>
    <n v="26"/>
    <n v="40"/>
  </r>
  <r>
    <x v="2"/>
    <x v="93"/>
    <n v="2302600094"/>
    <x v="1"/>
    <x v="0"/>
    <d v="2026-05-29T00:00:00"/>
    <x v="57"/>
    <d v="2026-07-22T00:00:00"/>
    <d v="2026-07-04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0"/>
    <x v="1"/>
    <x v="0"/>
    <n v="36"/>
    <n v="44"/>
  </r>
  <r>
    <x v="2"/>
    <x v="94"/>
    <n v="2302600095"/>
    <x v="1"/>
    <x v="0"/>
    <d v="2026-06-01T00:00:00"/>
    <x v="59"/>
    <d v="2026-07-22T00:00:00"/>
    <d v="2026-07-07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3"/>
    <x v="1"/>
    <x v="0"/>
    <n v="36"/>
    <n v="48"/>
  </r>
  <r>
    <x v="2"/>
    <x v="95"/>
    <n v="2282600096"/>
    <x v="0"/>
    <x v="0"/>
    <d v="2026-06-01T00:00:00"/>
    <x v="59"/>
    <d v="2026-07-15T00:00:00"/>
    <d v="2026-06-27T00:00:00"/>
    <s v=""/>
    <d v="2026-07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41"/>
  </r>
  <r>
    <x v="3"/>
    <x v="96"/>
    <n v="2282600097"/>
    <x v="0"/>
    <x v="0"/>
    <d v="2026-06-02T00:00:00"/>
    <x v="58"/>
    <d v="2026-07-23T00:00:00"/>
    <d v="2026-06-26T00:00:00"/>
    <s v=""/>
    <d v="2026-07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9"/>
    <x v="1"/>
    <x v="0"/>
    <n v="24"/>
    <n v="42"/>
  </r>
  <r>
    <x v="3"/>
    <x v="97"/>
    <n v="2302600098"/>
    <x v="1"/>
    <x v="0"/>
    <d v="2026-06-02T00:00:00"/>
    <x v="58"/>
    <d v="2026-07-24T00:00:00"/>
    <d v="2026-07-06T00:00:00"/>
    <s v=""/>
    <d v="2026-07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9"/>
    <x v="1"/>
    <x v="0"/>
    <n v="34"/>
    <n v="43"/>
  </r>
  <r>
    <x v="3"/>
    <x v="98"/>
    <n v="2302600099"/>
    <x v="1"/>
    <x v="0"/>
    <d v="2026-06-03T00:00:00"/>
    <x v="60"/>
    <d v="2026-07-24T00:00:00"/>
    <d v="2026-07-07T00:00:00"/>
    <s v=""/>
    <d v="2026-07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6"/>
    <x v="1"/>
    <x v="0"/>
    <n v="34"/>
    <n v="35"/>
  </r>
  <r>
    <x v="3"/>
    <x v="99"/>
    <n v="2282600100"/>
    <x v="0"/>
    <x v="0"/>
    <d v="2026-06-03T00:00:00"/>
    <x v="61"/>
    <d v="2026-07-24T00:00:00"/>
    <d v="2026-06-27T00:00:00"/>
    <s v=""/>
    <d v="2026-07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2"/>
    <x v="1"/>
    <x v="0"/>
    <n v="24"/>
    <n v="39"/>
  </r>
  <r>
    <x v="3"/>
    <x v="100"/>
    <n v="2282600101"/>
    <x v="0"/>
    <x v="0"/>
    <d v="2026-06-04T00:00:00"/>
    <x v="62"/>
    <d v="2026-07-27T00:00:00"/>
    <d v="2026-06-28T00:00:00"/>
    <s v=""/>
    <d v="2026-07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3"/>
    <x v="1"/>
    <x v="0"/>
    <n v="24"/>
    <n v="40"/>
  </r>
  <r>
    <x v="3"/>
    <x v="101"/>
    <n v="2302600102"/>
    <x v="1"/>
    <x v="0"/>
    <d v="2026-06-04T00:00:00"/>
    <x v="62"/>
    <d v="2026-07-28T00:00:00"/>
    <d v="2026-07-08T00:00:00"/>
    <s v=""/>
    <d v="2026-07-2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3"/>
    <x v="1"/>
    <x v="0"/>
    <n v="34"/>
    <n v="41"/>
  </r>
  <r>
    <x v="3"/>
    <x v="102"/>
    <n v="2302600103"/>
    <x v="1"/>
    <x v="1"/>
    <d v="2026-06-05T00:00:00"/>
    <x v="58"/>
    <d v="2026-07-27T00:00:00"/>
    <d v="2026-07-09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6"/>
    <x v="1"/>
    <x v="1"/>
    <n v="34"/>
    <n v="-46184"/>
  </r>
  <r>
    <x v="3"/>
    <x v="103"/>
    <n v="2282600104"/>
    <x v="0"/>
    <x v="0"/>
    <d v="2026-06-05T00:00:00"/>
    <x v="58"/>
    <d v="2026-07-21T00:00:00"/>
    <d v="2026-06-29T00:00:00"/>
    <s v=""/>
    <d v="2026-07-2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6"/>
    <x v="1"/>
    <x v="0"/>
    <n v="24"/>
    <n v="40"/>
  </r>
  <r>
    <x v="3"/>
    <x v="104"/>
    <n v="2282600105"/>
    <x v="0"/>
    <x v="0"/>
    <d v="2026-06-08T00:00:00"/>
    <x v="63"/>
    <d v="2026-07-23T00:00:00"/>
    <d v="2026-07-02T00:00:00"/>
    <s v=""/>
    <d v="2026-07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8"/>
    <x v="1"/>
    <x v="0"/>
    <n v="24"/>
    <n v="37"/>
  </r>
  <r>
    <x v="3"/>
    <x v="105"/>
    <n v="2302600106"/>
    <x v="1"/>
    <x v="0"/>
    <d v="2026-06-08T00:00:00"/>
    <x v="62"/>
    <d v="2026-07-27T00:00:00"/>
    <d v="2026-07-12T00:00:00"/>
    <s v=""/>
    <d v="2026-07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9"/>
    <x v="1"/>
    <x v="0"/>
    <n v="34"/>
    <n v="40"/>
  </r>
  <r>
    <x v="3"/>
    <x v="106"/>
    <n v="2302600107"/>
    <x v="1"/>
    <x v="2"/>
    <d v="2026-06-09T00:00:00"/>
    <x v="64"/>
    <d v="2026-07-27T00:00:00"/>
    <d v="2026-07-13T00:00:00"/>
    <n v="3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14"/>
    <x v="1"/>
    <x v="1"/>
    <n v="34"/>
    <n v="-46196"/>
  </r>
  <r>
    <x v="3"/>
    <x v="107"/>
    <n v="2282600108"/>
    <x v="0"/>
    <x v="0"/>
    <d v="2026-06-09T00:00:00"/>
    <x v="64"/>
    <d v="2026-07-27T00:00:00"/>
    <d v="2026-07-03T00:00:00"/>
    <s v=""/>
    <d v="2026-07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4"/>
    <x v="1"/>
    <x v="0"/>
    <n v="24"/>
    <n v="34"/>
  </r>
  <r>
    <x v="3"/>
    <x v="108"/>
    <n v="2282600109"/>
    <x v="0"/>
    <x v="0"/>
    <d v="2026-06-10T00:00:00"/>
    <x v="64"/>
    <d v="2026-07-29T00:00:00"/>
    <d v="2026-07-04T00:00:00"/>
    <s v=""/>
    <d v="2026-07-2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3"/>
    <x v="1"/>
    <x v="0"/>
    <n v="24"/>
    <n v="36"/>
  </r>
  <r>
    <x v="3"/>
    <x v="109"/>
    <n v="2302600110"/>
    <x v="1"/>
    <x v="1"/>
    <d v="2026-06-10T00:00:00"/>
    <x v="65"/>
    <d v="2026-07-28T00:00:00"/>
    <d v="2026-07-14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14"/>
    <x v="1"/>
    <x v="1"/>
    <n v="34"/>
    <n v="-46197"/>
  </r>
  <r>
    <x v="3"/>
    <x v="110"/>
    <n v="2302600111"/>
    <x v="1"/>
    <x v="0"/>
    <d v="2026-06-11T00:00:00"/>
    <x v="62"/>
    <d v="2026-07-29T00:00:00"/>
    <d v="2026-07-15T00:00:00"/>
    <s v=""/>
    <d v="2026-07-2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6"/>
    <x v="1"/>
    <x v="0"/>
    <n v="34"/>
    <n v="42"/>
  </r>
  <r>
    <x v="3"/>
    <x v="111"/>
    <n v="2282600112"/>
    <x v="0"/>
    <x v="0"/>
    <d v="2026-06-11T00:00:00"/>
    <x v="60"/>
    <d v="2026-07-29T00:00:00"/>
    <d v="2026-07-05T00:00:00"/>
    <s v=""/>
    <d v="2026-07-2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8"/>
    <x v="1"/>
    <x v="0"/>
    <n v="24"/>
    <n v="40"/>
  </r>
  <r>
    <x v="3"/>
    <x v="112"/>
    <n v="2282600113"/>
    <x v="0"/>
    <x v="3"/>
    <d v="2026-06-12T00:00:00"/>
    <x v="66"/>
    <d v="2026-07-27T00:00:00"/>
    <d v="2026-07-06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0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3"/>
    <x v="1"/>
    <x v="1"/>
    <n v="24"/>
    <n v="-46198"/>
  </r>
  <r>
    <x v="3"/>
    <x v="113"/>
    <n v="2302600114"/>
    <x v="1"/>
    <x v="4"/>
    <d v="2026-06-12T00:00:00"/>
    <x v="66"/>
    <d v="2026-07-29T00:00:00"/>
    <d v="2026-07-16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11"/>
    <n v="1"/>
    <n v="0.27272727272727271"/>
    <n v="0.27272727272727271"/>
    <n v="9.0909090909090912E-2"/>
    <n v="0.18181818181818185"/>
    <n v="0.18181818181818185"/>
    <n v="0.32499999999999984"/>
    <n v="0.8783783783783779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13"/>
    <x v="1"/>
    <x v="1"/>
    <n v="34"/>
    <n v="-46198"/>
  </r>
  <r>
    <x v="3"/>
    <x v="114"/>
    <n v="2302600115"/>
    <x v="1"/>
    <x v="1"/>
    <d v="2026-06-15T00:00:00"/>
    <x v="67"/>
    <d v="2026-07-28T00:00:00"/>
    <d v="2026-07-19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11"/>
    <x v="1"/>
    <x v="1"/>
    <n v="34"/>
    <n v="-46199"/>
  </r>
  <r>
    <x v="3"/>
    <x v="115"/>
    <n v="2282600116"/>
    <x v="0"/>
    <x v="5"/>
    <d v="2026-06-15T00:00:00"/>
    <x v="67"/>
    <d v="2026-07-29T00:00:00"/>
    <d v="2026-07-09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11"/>
    <x v="1"/>
    <x v="1"/>
    <n v="24"/>
    <n v="-46199"/>
  </r>
  <r>
    <x v="3"/>
    <x v="116"/>
    <n v="2282600117"/>
    <x v="0"/>
    <x v="1"/>
    <d v="2026-06-16T00:00:00"/>
    <x v="67"/>
    <d v="2026-07-27T00:00:00"/>
    <d v="2026-07-10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0"/>
    <x v="1"/>
    <x v="1"/>
    <n v="24"/>
    <n v="-46199"/>
  </r>
  <r>
    <x v="3"/>
    <x v="117"/>
    <n v="2302600118"/>
    <x v="1"/>
    <x v="6"/>
    <d v="2026-06-16T00:00:00"/>
    <x v="67"/>
    <d v="2026-07-29T00:00:00"/>
    <d v="2026-07-20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26999999999999985"/>
    <n v="0.72972972972972949"/>
    <n v="5.4054054054054029E-2"/>
    <n v="5.4054054054054029E-2"/>
    <n v="2.7027027027027015E-2"/>
    <n v="8.1081081081081058E-2"/>
    <n v="8.1081081081081058E-2"/>
    <n v="0"/>
    <n v="5.4054054054054029E-2"/>
    <n v="1.3513513513513507E-2"/>
    <n v="4.0540540540540529E-2"/>
    <n v="1.3513513513513507E-2"/>
    <n v="0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10"/>
    <x v="1"/>
    <x v="1"/>
    <n v="34"/>
    <n v="-46199"/>
  </r>
  <r>
    <x v="3"/>
    <x v="118"/>
    <n v="2302600119"/>
    <x v="1"/>
    <x v="7"/>
    <d v="2026-06-17T00:00:00"/>
    <x v="67"/>
    <d v="2026-07-29T00:00:00"/>
    <d v="2026-07-21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11"/>
    <n v="1"/>
    <n v="0.27272727272727271"/>
    <n v="0.27272727272727271"/>
    <n v="9.0909090909090912E-2"/>
    <n v="0.18181818181818185"/>
    <n v="0.18181818181818185"/>
    <n v="0.24999999999999992"/>
    <n v="0.67567567567567544"/>
    <n v="5.4054054054054029E-2"/>
    <n v="5.4054054054054029E-2"/>
    <n v="2.7027027027027015E-2"/>
    <n v="8.1081081081081058E-2"/>
    <n v="8.1081081081081058E-2"/>
    <n v="0"/>
    <n v="0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2"/>
    <n v="9"/>
    <x v="1"/>
    <x v="1"/>
    <n v="34"/>
    <n v="-46199"/>
  </r>
  <r>
    <x v="3"/>
    <x v="119"/>
    <n v="2282600120"/>
    <x v="0"/>
    <x v="8"/>
    <d v="2026-06-17T00:00:00"/>
    <x v="66"/>
    <d v="2026-07-29T00:00:00"/>
    <d v="2026-07-11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8"/>
    <x v="1"/>
    <x v="1"/>
    <n v="24"/>
    <n v="-46198"/>
  </r>
  <r>
    <x v="3"/>
    <x v="120"/>
    <n v="2282600121"/>
    <x v="0"/>
    <x v="9"/>
    <d v="2026-06-18T00:00:00"/>
    <x v="68"/>
    <d v="2026-07-29T00:00:00"/>
    <d v="2026-07-12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5"/>
    <x v="1"/>
    <x v="1"/>
    <n v="24"/>
    <n v="-46206"/>
  </r>
  <r>
    <x v="3"/>
    <x v="121"/>
    <n v="2302600122"/>
    <x v="1"/>
    <x v="10"/>
    <d v="2026-06-18T00:00:00"/>
    <x v="69"/>
    <d v="2026-07-29T00:00:00"/>
    <d v="2026-07-22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0999999999999996"/>
    <n v="0.2972972972972972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2.7027027027027015E-2"/>
    <n v="31.32"/>
    <x v="3"/>
    <n v="14"/>
    <x v="1"/>
    <x v="1"/>
    <n v="34"/>
    <n v="-46205"/>
  </r>
  <r>
    <x v="3"/>
    <x v="122"/>
    <n v="2302600123"/>
    <x v="1"/>
    <x v="11"/>
    <d v="2026-06-19T00:00:00"/>
    <x v="68"/>
    <d v="2026-07-29T00:00:00"/>
    <d v="2026-07-23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11"/>
    <n v="1"/>
    <n v="0.27272727272727271"/>
    <n v="0.27272727272727271"/>
    <n v="9.0909090909090912E-2"/>
    <n v="0.18181818181818185"/>
    <n v="0.18181818181818185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0"/>
    <n v="31.32"/>
    <x v="3"/>
    <n v="14"/>
    <x v="1"/>
    <x v="1"/>
    <n v="34"/>
    <n v="-46206"/>
  </r>
  <r>
    <x v="3"/>
    <x v="123"/>
    <n v="2282600124"/>
    <x v="0"/>
    <x v="12"/>
    <d v="2026-06-19T00:00:00"/>
    <x v="68"/>
    <d v="2026-07-28T00:00:00"/>
    <d v="2026-07-13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4"/>
    <x v="1"/>
    <x v="1"/>
    <n v="24"/>
    <n v="-46206"/>
  </r>
  <r>
    <x v="3"/>
    <x v="124"/>
    <n v="2282600125"/>
    <x v="0"/>
    <x v="13"/>
    <d v="2026-06-22T00:00:00"/>
    <x v="70"/>
    <d v="2026-07-29T00:00:00"/>
    <d v="2026-07-16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649999999999999"/>
    <n v="0.716216216216215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5"/>
    <x v="1"/>
    <x v="1"/>
    <n v="24"/>
    <n v="-46210"/>
  </r>
  <r>
    <x v="3"/>
    <x v="125"/>
    <n v="2302600126"/>
    <x v="1"/>
    <x v="14"/>
    <d v="2026-06-22T00:00:00"/>
    <x v="68"/>
    <d v="2026-07-29T00:00:00"/>
    <d v="2026-07-26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1499999999999991"/>
    <n v="0.58108108108108092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0"/>
    <n v="5.4054054054054029E-2"/>
    <n v="2.7027027027027015E-2"/>
    <n v="0"/>
    <n v="5.4054054054054029E-2"/>
    <n v="2.7027027027027015E-2"/>
    <n v="0"/>
    <n v="5.4054054054054029E-2"/>
    <n v="0"/>
    <n v="0"/>
    <n v="2.7027027027027015E-2"/>
    <n v="31.32"/>
    <x v="4"/>
    <n v="11"/>
    <x v="1"/>
    <x v="1"/>
    <n v="34"/>
    <n v="-46206"/>
  </r>
  <r>
    <x v="3"/>
    <x v="126"/>
    <n v="2302600127"/>
    <x v="1"/>
    <x v="15"/>
    <d v="2026-06-23T00:00:00"/>
    <x v="69"/>
    <d v="2026-07-28T00:00:00"/>
    <d v="2026-07-27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0"/>
    <n v="31.32"/>
    <x v="3"/>
    <n v="9"/>
    <x v="1"/>
    <x v="1"/>
    <n v="34"/>
    <n v="-46205"/>
  </r>
  <r>
    <x v="3"/>
    <x v="127"/>
    <n v="2282600128"/>
    <x v="0"/>
    <x v="16"/>
    <d v="2026-06-23T00:00:00"/>
    <x v="69"/>
    <d v="2026-07-28T00:00:00"/>
    <d v="2026-07-17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499999999999987"/>
    <n v="0.79729729729729693"/>
    <n v="5.4054054054054029E-2"/>
    <n v="5.4054054054054029E-2"/>
    <n v="2.7027027027027015E-2"/>
    <n v="8.1081081081081058E-2"/>
    <n v="8.1081081081081058E-2"/>
    <n v="0"/>
    <n v="5.4054054054054029E-2"/>
    <n v="0"/>
    <n v="4.0540540540540529E-2"/>
    <n v="1.3513513513513507E-2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9"/>
    <x v="1"/>
    <x v="1"/>
    <n v="24"/>
    <n v="-46205"/>
  </r>
  <r>
    <x v="4"/>
    <x v="128"/>
    <n v="2282600129"/>
    <x v="0"/>
    <x v="9"/>
    <d v="2026-06-24T00:00:00"/>
    <x v="71"/>
    <d v="2026-07-28T00:00:00"/>
    <d v="2026-07-16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91"/>
    <n v="0.66216216216216195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5"/>
    <x v="1"/>
    <x v="1"/>
    <n v="22"/>
    <n v="-46212"/>
  </r>
  <r>
    <x v="4"/>
    <x v="129"/>
    <n v="2302600130"/>
    <x v="1"/>
    <x v="17"/>
    <d v="2026-06-24T00:00:00"/>
    <x v="72"/>
    <d v="2026-07-29T00:00:00"/>
    <d v="2026-07-26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3999999999999996"/>
    <n v="0.37837837837837834"/>
    <n v="0"/>
    <n v="5.4054054054054029E-2"/>
    <n v="0"/>
    <n v="8.1081081081081058E-2"/>
    <n v="0"/>
    <n v="0"/>
    <n v="0"/>
    <n v="0"/>
    <n v="0"/>
    <n v="0"/>
    <n v="0"/>
    <n v="5.4054054054054029E-2"/>
    <n v="2.7027027027027015E-2"/>
    <n v="0"/>
    <n v="5.4054054054054029E-2"/>
    <n v="2.7027027027027015E-2"/>
    <n v="0"/>
    <n v="5.4054054054054029E-2"/>
    <n v="0"/>
    <n v="0"/>
    <n v="2.7027027027027015E-2"/>
    <n v="31.32"/>
    <x v="3"/>
    <n v="14"/>
    <x v="1"/>
    <x v="1"/>
    <n v="32"/>
    <n v="-46211"/>
  </r>
  <r>
    <x v="4"/>
    <x v="130"/>
    <n v="2302600131"/>
    <x v="1"/>
    <x v="18"/>
    <d v="2026-06-25T00:00:00"/>
    <x v="71"/>
    <d v="2026-07-28T00:00:00"/>
    <d v="2026-07-27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0"/>
    <n v="31.32"/>
    <x v="3"/>
    <n v="14"/>
    <x v="1"/>
    <x v="1"/>
    <n v="32"/>
    <n v="-46212"/>
  </r>
  <r>
    <x v="4"/>
    <x v="131"/>
    <n v="2282600132"/>
    <x v="0"/>
    <x v="19"/>
    <d v="2026-06-25T00:00:00"/>
    <x v="73"/>
    <d v="2026-07-28T00:00:00"/>
    <d v="2026-07-17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349999999999999"/>
    <n v="0.63513513513513487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8"/>
    <x v="1"/>
    <x v="1"/>
    <n v="22"/>
    <n v="-46216"/>
  </r>
  <r>
    <x v="4"/>
    <x v="132"/>
    <n v="2282600133"/>
    <x v="0"/>
    <x v="20"/>
    <d v="2026-06-25T00:00:00"/>
    <x v="73"/>
    <d v="2026-07-29T00:00:00"/>
    <d v="2026-07-1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8"/>
    <x v="1"/>
    <x v="1"/>
    <n v="22"/>
    <n v="-46216"/>
  </r>
  <r>
    <x v="4"/>
    <x v="133"/>
    <n v="2302600134"/>
    <x v="1"/>
    <x v="21"/>
    <d v="2026-06-26T00:00:00"/>
    <x v="73"/>
    <d v="2026-07-29T00:00:00"/>
    <d v="2026-07-28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8499999999999997"/>
    <n v="0.49999999999999994"/>
    <n v="5.4054054054054029E-2"/>
    <n v="5.4054054054054029E-2"/>
    <n v="0"/>
    <n v="8.1081081081081058E-2"/>
    <n v="8.1081081081081058E-2"/>
    <n v="6.7567567567567557E-2"/>
    <n v="5.4054054054054029E-2"/>
    <n v="0"/>
    <n v="0"/>
    <n v="0"/>
    <n v="0"/>
    <n v="0"/>
    <n v="0"/>
    <n v="0"/>
    <n v="0"/>
    <n v="2.7027027027027015E-2"/>
    <n v="0"/>
    <n v="5.4054054054054029E-2"/>
    <n v="0"/>
    <n v="0"/>
    <n v="2.7027027027027015E-2"/>
    <n v="31.32"/>
    <x v="3"/>
    <n v="17"/>
    <x v="1"/>
    <x v="1"/>
    <n v="32"/>
    <n v="-46216"/>
  </r>
  <r>
    <x v="4"/>
    <x v="134"/>
    <n v="2302600135"/>
    <x v="1"/>
    <x v="22"/>
    <d v="2026-06-26T00:00:00"/>
    <x v="71"/>
    <d v="2026-07-29T00:00:00"/>
    <d v="2026-07-28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4499999999999988"/>
    <n v="0.66216216216216184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8.1081081081081058E-2"/>
    <n v="5.4054054054054029E-2"/>
    <n v="2.7027027027027015E-2"/>
    <n v="0"/>
    <n v="5.4054054054054029E-2"/>
    <n v="2.7027027027027015E-2"/>
    <n v="0"/>
    <n v="5.4054054054054029E-2"/>
    <n v="0"/>
    <n v="0"/>
    <n v="2.7027027027027015E-2"/>
    <n v="31.32"/>
    <x v="4"/>
    <n v="13"/>
    <x v="1"/>
    <x v="1"/>
    <n v="32"/>
    <n v="-46212"/>
  </r>
  <r>
    <x v="4"/>
    <x v="135"/>
    <n v="2282600136"/>
    <x v="0"/>
    <x v="9"/>
    <d v="2026-06-29T00:00:00"/>
    <x v="71"/>
    <d v="2026-07-29T00:00:00"/>
    <d v="2026-07-21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91"/>
    <n v="0.66216216216216195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0"/>
    <x v="1"/>
    <x v="1"/>
    <n v="22"/>
    <n v="-46212"/>
  </r>
  <r>
    <x v="4"/>
    <x v="136"/>
    <n v="2282600137"/>
    <x v="0"/>
    <x v="23"/>
    <d v="2026-06-29T00:00:00"/>
    <x v="74"/>
    <d v="2026-07-28T00:00:00"/>
    <d v="2026-07-21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6"/>
    <x v="1"/>
    <x v="1"/>
    <n v="22"/>
    <n v="-46218"/>
  </r>
  <r>
    <x v="4"/>
    <x v="137"/>
    <n v="2302600138"/>
    <x v="1"/>
    <x v="24"/>
    <d v="2026-06-29T00:00:00"/>
    <x v="75"/>
    <d v="2026-07-28T00:00:00"/>
    <d v="2026-07-31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5"/>
    <x v="1"/>
    <x v="1"/>
    <n v="32"/>
    <n v="-46217"/>
  </r>
  <r>
    <x v="4"/>
    <x v="138"/>
    <n v="2302600139"/>
    <x v="1"/>
    <x v="24"/>
    <d v="2026-06-30T00:00:00"/>
    <x v="74"/>
    <d v="2026-07-24T00:00:00"/>
    <d v="2026-08-01T00:00:00"/>
    <n v="6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5"/>
    <x v="1"/>
    <x v="1"/>
    <n v="32"/>
    <n v="-46218"/>
  </r>
  <r>
    <x v="4"/>
    <x v="139"/>
    <n v="2282600140"/>
    <x v="0"/>
    <x v="25"/>
    <d v="2026-06-30T00:00:00"/>
    <x v="76"/>
    <d v="2026-07-29T00:00:00"/>
    <d v="2026-07-22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7"/>
    <x v="1"/>
    <x v="1"/>
    <n v="22"/>
    <n v="-46220"/>
  </r>
  <r>
    <x v="4"/>
    <x v="140"/>
    <n v="2282600141"/>
    <x v="0"/>
    <x v="26"/>
    <d v="2026-07-01T00:00:00"/>
    <x v="76"/>
    <d v="2026-07-27T00:00:00"/>
    <d v="2026-07-23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7499999999999996"/>
    <n v="0.47297297297297286"/>
    <n v="0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4"/>
    <n v="16"/>
    <x v="1"/>
    <x v="1"/>
    <n v="22"/>
    <n v="-46220"/>
  </r>
  <r>
    <x v="4"/>
    <x v="141"/>
    <n v="2302600142"/>
    <x v="1"/>
    <x v="15"/>
    <d v="2026-07-01T00:00:00"/>
    <x v="74"/>
    <d v="2026-07-28T00:00:00"/>
    <d v="2026-08-02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0"/>
    <n v="31.32"/>
    <x v="3"/>
    <n v="14"/>
    <x v="1"/>
    <x v="1"/>
    <n v="32"/>
    <n v="-46218"/>
  </r>
  <r>
    <x v="4"/>
    <x v="142"/>
    <n v="2302600143"/>
    <x v="1"/>
    <x v="15"/>
    <d v="2026-07-01T00:00:00"/>
    <x v="75"/>
    <d v="2026-07-27T00:00:00"/>
    <d v="2026-08-02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0"/>
    <n v="31.32"/>
    <x v="3"/>
    <n v="13"/>
    <x v="1"/>
    <x v="1"/>
    <n v="32"/>
    <n v="-46217"/>
  </r>
  <r>
    <x v="4"/>
    <x v="143"/>
    <n v="2282600144"/>
    <x v="0"/>
    <x v="9"/>
    <d v="2026-07-02T00:00:00"/>
    <x v="75"/>
    <d v="2026-07-28T00:00:00"/>
    <d v="2026-07-24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2"/>
    <x v="1"/>
    <x v="1"/>
    <n v="22"/>
    <n v="-46217"/>
  </r>
  <r>
    <x v="4"/>
    <x v="144"/>
    <n v="2282600145"/>
    <x v="0"/>
    <x v="27"/>
    <d v="2026-07-02T00:00:00"/>
    <x v="77"/>
    <d v="2026-07-29T00:00:00"/>
    <d v="2026-07-24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049999999999999"/>
    <n v="0.55405405405405384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0"/>
    <n v="0"/>
    <n v="0"/>
    <n v="8.1081081081081058E-2"/>
    <n v="1.3513513513513507E-2"/>
    <n v="2.7027027027027015E-2"/>
    <n v="28.87"/>
    <x v="4"/>
    <n v="21"/>
    <x v="1"/>
    <x v="1"/>
    <n v="22"/>
    <n v="-46226"/>
  </r>
  <r>
    <x v="4"/>
    <x v="145"/>
    <n v="2302600146"/>
    <x v="1"/>
    <x v="24"/>
    <d v="2026-07-03T00:00:00"/>
    <x v="78"/>
    <d v="2026-07-29T00:00:00"/>
    <d v="2026-08-04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9"/>
    <x v="1"/>
    <x v="1"/>
    <n v="32"/>
    <n v="-46225"/>
  </r>
  <r>
    <x v="4"/>
    <x v="146"/>
    <n v="2302600147"/>
    <x v="1"/>
    <x v="24"/>
    <d v="2026-07-03T00:00:00"/>
    <x v="78"/>
    <d v="2026-07-28T00:00:00"/>
    <d v="2026-08-04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9"/>
    <x v="1"/>
    <x v="1"/>
    <n v="32"/>
    <n v="-46225"/>
  </r>
  <r>
    <x v="4"/>
    <x v="147"/>
    <n v="2282600148"/>
    <x v="0"/>
    <x v="28"/>
    <d v="2026-07-03T00:00:00"/>
    <x v="79"/>
    <d v="2026-07-27T00:00:00"/>
    <d v="2026-07-25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5499999999999994"/>
    <n v="0.4189189189189188"/>
    <n v="5.4054054054054029E-2"/>
    <n v="5.4054054054054029E-2"/>
    <n v="2.7027027027027015E-2"/>
    <n v="0"/>
    <n v="0"/>
    <n v="0"/>
    <n v="5.4054054054054029E-2"/>
    <n v="0"/>
    <n v="0"/>
    <n v="0"/>
    <n v="0"/>
    <n v="5.4054054054054029E-2"/>
    <n v="0"/>
    <n v="0"/>
    <n v="5.4054054054054029E-2"/>
    <n v="0"/>
    <n v="0"/>
    <n v="0"/>
    <n v="8.1081081081081058E-2"/>
    <n v="1.3513513513513507E-2"/>
    <n v="2.7027027027027015E-2"/>
    <n v="28.87"/>
    <x v="4"/>
    <n v="18"/>
    <x v="1"/>
    <x v="1"/>
    <n v="22"/>
    <n v="-46224"/>
  </r>
  <r>
    <x v="4"/>
    <x v="148"/>
    <n v="2282600149"/>
    <x v="0"/>
    <x v="29"/>
    <d v="2026-07-06T00:00:00"/>
    <x v="79"/>
    <d v="2026-07-27T00:00:00"/>
    <d v="2026-07-28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4"/>
    <n v="15"/>
    <x v="1"/>
    <x v="1"/>
    <n v="22"/>
    <n v="-46224"/>
  </r>
  <r>
    <x v="4"/>
    <x v="149"/>
    <n v="2302600150"/>
    <x v="1"/>
    <x v="30"/>
    <d v="2026-07-06T00:00:00"/>
    <x v="79"/>
    <d v="2026-07-28T00:00:00"/>
    <d v="2026-08-07T00:00:00"/>
    <n v="2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5"/>
    <x v="1"/>
    <x v="1"/>
    <n v="32"/>
    <n v="-46224"/>
  </r>
  <r>
    <x v="4"/>
    <x v="150"/>
    <n v="2302600151"/>
    <x v="1"/>
    <x v="31"/>
    <d v="2026-07-07T00:00:00"/>
    <x v="77"/>
    <d v="2026-07-29T00:00:00"/>
    <d v="2026-08-08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16"/>
    <x v="1"/>
    <x v="1"/>
    <n v="32"/>
    <n v="-46226"/>
  </r>
  <r>
    <x v="4"/>
    <x v="151"/>
    <n v="2282600152"/>
    <x v="0"/>
    <x v="29"/>
    <d v="2026-07-07T00:00:00"/>
    <x v="79"/>
    <d v="2026-07-29T00:00:00"/>
    <d v="2026-07-29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4"/>
    <n v="14"/>
    <x v="1"/>
    <x v="1"/>
    <n v="22"/>
    <n v="-46224"/>
  </r>
  <r>
    <x v="4"/>
    <x v="152"/>
    <n v="2282600153"/>
    <x v="0"/>
    <x v="29"/>
    <d v="2026-07-07T00:00:00"/>
    <x v="80"/>
    <d v="2026-07-29T00:00:00"/>
    <d v="2026-07-29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4"/>
    <n v="17"/>
    <x v="1"/>
    <x v="1"/>
    <n v="22"/>
    <n v="-46227"/>
  </r>
  <r>
    <x v="4"/>
    <x v="153"/>
    <n v="2302600154"/>
    <x v="1"/>
    <x v="32"/>
    <d v="2026-07-08T00:00:00"/>
    <x v="81"/>
    <d v="2026-07-28T00:00:00"/>
    <d v="2026-08-09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9"/>
    <x v="1"/>
    <x v="1"/>
    <n v="32"/>
    <n v="-46230"/>
  </r>
  <r>
    <x v="4"/>
    <x v="154"/>
    <n v="2302600155"/>
    <x v="1"/>
    <x v="32"/>
    <d v="2026-07-08T00:00:00"/>
    <x v="82"/>
    <d v="2026-07-29T00:00:00"/>
    <d v="2026-08-09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20"/>
    <x v="1"/>
    <x v="1"/>
    <n v="32"/>
    <n v="-46231"/>
  </r>
  <r>
    <x v="4"/>
    <x v="155"/>
    <n v="2282600156"/>
    <x v="0"/>
    <x v="32"/>
    <d v="2026-07-09T00:00:00"/>
    <x v="82"/>
    <d v="2026-07-29T00:00:00"/>
    <d v="2026-07-31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9"/>
    <x v="1"/>
    <x v="1"/>
    <n v="22"/>
    <n v="-46231"/>
  </r>
  <r>
    <x v="4"/>
    <x v="156"/>
    <n v="2282600157"/>
    <x v="0"/>
    <x v="32"/>
    <d v="2026-07-09T00:00:00"/>
    <x v="82"/>
    <d v="2026-07-29T00:00:00"/>
    <d v="2026-07-31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9"/>
    <x v="1"/>
    <x v="1"/>
    <n v="22"/>
    <n v="-46231"/>
  </r>
  <r>
    <x v="4"/>
    <x v="157"/>
    <n v="2302600158"/>
    <x v="1"/>
    <x v="32"/>
    <d v="2026-07-09T00:00:00"/>
    <x v="82"/>
    <d v="2026-07-28T00:00:00"/>
    <d v="2026-08-10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9"/>
    <x v="1"/>
    <x v="1"/>
    <n v="32"/>
    <n v="-46231"/>
  </r>
  <r>
    <x v="4"/>
    <x v="158"/>
    <n v="2302600159"/>
    <x v="1"/>
    <x v="32"/>
    <d v="2026-07-10T00:00:00"/>
    <x v="81"/>
    <d v="2026-07-28T00:00:00"/>
    <d v="2026-08-11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7"/>
    <x v="1"/>
    <x v="1"/>
    <n v="32"/>
    <n v="-46230"/>
  </r>
  <r>
    <x v="4"/>
    <x v="159"/>
    <n v="2282600160"/>
    <x v="0"/>
    <x v="32"/>
    <d v="2026-07-10T00:00:00"/>
    <x v="80"/>
    <d v="2026-07-27T00:00:00"/>
    <d v="2026-08-01T00:00:00"/>
    <n v="3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4"/>
    <x v="1"/>
    <x v="1"/>
    <n v="22"/>
    <n v="-46227"/>
  </r>
  <r>
    <x v="5"/>
    <x v="160"/>
    <n v="2282600161"/>
    <x v="0"/>
    <x v="33"/>
    <d v="2026-07-13T00:00:00"/>
    <x v="83"/>
    <d v="1899-12-30T00:00:00"/>
    <d v="2026-08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61"/>
    <n v="2302600162"/>
    <x v="1"/>
    <x v="33"/>
    <d v="2026-07-13T00:00:00"/>
    <x v="83"/>
    <d v="1899-12-30T00:00:00"/>
    <d v="2026-08-1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62"/>
    <n v="2302600163"/>
    <x v="1"/>
    <x v="33"/>
    <d v="2026-07-13T00:00:00"/>
    <x v="83"/>
    <d v="1899-12-30T00:00:00"/>
    <d v="2026-08-1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63"/>
    <n v="2282600164"/>
    <x v="0"/>
    <x v="33"/>
    <d v="2026-07-14T00:00:00"/>
    <x v="83"/>
    <d v="1899-12-30T00:00:00"/>
    <d v="2026-08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64"/>
    <n v="2282600165"/>
    <x v="0"/>
    <x v="33"/>
    <d v="2026-07-14T00:00:00"/>
    <x v="83"/>
    <d v="1899-12-30T00:00:00"/>
    <d v="2026-08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65"/>
    <n v="2302600166"/>
    <x v="1"/>
    <x v="33"/>
    <d v="2026-07-15T00:00:00"/>
    <x v="83"/>
    <d v="1899-12-30T00:00:00"/>
    <d v="2026-08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66"/>
    <n v="2302600167"/>
    <x v="1"/>
    <x v="33"/>
    <d v="2026-07-15T00:00:00"/>
    <x v="83"/>
    <d v="1899-12-30T00:00:00"/>
    <d v="2026-08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67"/>
    <n v="2282600168"/>
    <x v="0"/>
    <x v="33"/>
    <d v="2026-07-15T00:00:00"/>
    <x v="83"/>
    <d v="1899-12-30T00:00:00"/>
    <d v="2026-08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68"/>
    <n v="2282600169"/>
    <x v="0"/>
    <x v="33"/>
    <d v="2026-07-16T00:00:00"/>
    <x v="83"/>
    <d v="1899-12-30T00:00:00"/>
    <d v="2026-08-0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69"/>
    <n v="2302600170"/>
    <x v="1"/>
    <x v="33"/>
    <d v="2026-07-16T00:00:00"/>
    <x v="83"/>
    <d v="1899-12-30T00:00:00"/>
    <d v="2026-08-1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70"/>
    <n v="2302600171"/>
    <x v="1"/>
    <x v="33"/>
    <d v="2026-07-17T00:00:00"/>
    <x v="83"/>
    <d v="1899-12-30T00:00:00"/>
    <d v="2026-08-1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71"/>
    <n v="2282600172"/>
    <x v="0"/>
    <x v="33"/>
    <d v="2026-07-17T00:00:00"/>
    <x v="83"/>
    <d v="1899-12-30T00:00:00"/>
    <d v="2026-08-0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72"/>
    <n v="2282600173"/>
    <x v="0"/>
    <x v="33"/>
    <d v="2026-07-17T00:00:00"/>
    <x v="83"/>
    <d v="1899-12-30T00:00:00"/>
    <d v="2026-08-0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73"/>
    <n v="2302600174"/>
    <x v="1"/>
    <x v="33"/>
    <d v="2026-07-20T00:00:00"/>
    <x v="83"/>
    <d v="1899-12-30T00:00:00"/>
    <d v="2026-08-1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74"/>
    <n v="2302600175"/>
    <x v="1"/>
    <x v="33"/>
    <d v="2026-07-20T00:00:00"/>
    <x v="83"/>
    <d v="1899-12-30T00:00:00"/>
    <d v="2026-08-1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75"/>
    <n v="2282600176"/>
    <x v="0"/>
    <x v="33"/>
    <d v="2026-07-21T00:00:00"/>
    <x v="83"/>
    <d v="1899-12-30T00:00:00"/>
    <d v="2026-08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76"/>
    <n v="2282600177"/>
    <x v="0"/>
    <x v="33"/>
    <d v="2026-07-21T00:00:00"/>
    <x v="83"/>
    <d v="1899-12-30T00:00:00"/>
    <d v="2026-08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77"/>
    <n v="2302600178"/>
    <x v="1"/>
    <x v="33"/>
    <d v="2026-07-21T00:00:00"/>
    <x v="83"/>
    <d v="1899-12-30T00:00:00"/>
    <d v="2026-08-2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78"/>
    <n v="2302600179"/>
    <x v="1"/>
    <x v="33"/>
    <d v="2026-07-22T00:00:00"/>
    <x v="83"/>
    <d v="1899-12-30T00:00:00"/>
    <d v="2026-08-2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79"/>
    <n v="2282600180"/>
    <x v="0"/>
    <x v="33"/>
    <d v="2026-07-22T00:00:00"/>
    <x v="83"/>
    <d v="1899-12-30T00:00:00"/>
    <d v="2026-08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80"/>
    <n v="2282600181"/>
    <x v="0"/>
    <x v="33"/>
    <d v="2026-07-23T00:00:00"/>
    <x v="83"/>
    <d v="1899-12-30T00:00:00"/>
    <d v="2026-08-1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81"/>
    <n v="2302600182"/>
    <x v="1"/>
    <x v="33"/>
    <d v="2026-07-23T00:00:00"/>
    <x v="83"/>
    <d v="1899-12-30T00:00:00"/>
    <d v="2026-08-2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82"/>
    <n v="2302600183"/>
    <x v="1"/>
    <x v="33"/>
    <d v="2026-07-23T00:00:00"/>
    <x v="83"/>
    <d v="1899-12-30T00:00:00"/>
    <d v="2026-08-2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83"/>
    <n v="2282600184"/>
    <x v="0"/>
    <x v="33"/>
    <d v="2026-07-24T00:00:00"/>
    <x v="83"/>
    <d v="1899-12-30T00:00:00"/>
    <d v="2026-08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84"/>
    <n v="2282600185"/>
    <x v="0"/>
    <x v="33"/>
    <d v="2026-07-24T00:00:00"/>
    <x v="83"/>
    <d v="1899-12-30T00:00:00"/>
    <d v="2026-08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85"/>
    <n v="2302600186"/>
    <x v="1"/>
    <x v="33"/>
    <d v="2026-07-27T00:00:00"/>
    <x v="83"/>
    <d v="1899-12-30T00:00:00"/>
    <d v="2026-08-2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86"/>
    <n v="2302600187"/>
    <x v="1"/>
    <x v="33"/>
    <d v="2026-07-27T00:00:00"/>
    <x v="83"/>
    <d v="1899-12-30T00:00:00"/>
    <d v="2026-08-2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87"/>
    <n v="2282600188"/>
    <x v="0"/>
    <x v="33"/>
    <d v="2026-07-27T00:00:00"/>
    <x v="83"/>
    <d v="1899-12-30T00:00:00"/>
    <d v="2026-08-1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88"/>
    <n v="2282600189"/>
    <x v="0"/>
    <x v="33"/>
    <d v="2026-07-28T00:00:00"/>
    <x v="83"/>
    <d v="1899-12-30T00:00:00"/>
    <d v="2026-08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89"/>
    <n v="2302600190"/>
    <x v="1"/>
    <x v="33"/>
    <d v="2026-07-28T00:00:00"/>
    <x v="83"/>
    <d v="1899-12-30T00:00:00"/>
    <d v="2026-08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90"/>
    <n v="2302600191"/>
    <x v="1"/>
    <x v="33"/>
    <d v="2026-07-29T00:00:00"/>
    <x v="83"/>
    <d v="1899-12-30T00:00:00"/>
    <d v="2026-08-2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91"/>
    <n v="2282600192"/>
    <x v="0"/>
    <x v="33"/>
    <d v="2026-07-29T00:00:00"/>
    <x v="83"/>
    <d v="1899-12-30T00:00:00"/>
    <d v="2026-08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192"/>
    <n v="2282600193"/>
    <x v="0"/>
    <x v="33"/>
    <d v="2026-07-29T00:00:00"/>
    <x v="83"/>
    <d v="1899-12-30T00:00:00"/>
    <d v="2026-08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193"/>
    <n v="2302600194"/>
    <x v="1"/>
    <x v="33"/>
    <d v="2026-07-30T00:00:00"/>
    <x v="83"/>
    <d v="1899-12-30T00:00:00"/>
    <d v="2026-08-2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194"/>
    <n v="2302600195"/>
    <x v="1"/>
    <x v="33"/>
    <d v="2026-07-30T00:00:00"/>
    <x v="83"/>
    <d v="1899-12-30T00:00:00"/>
    <d v="2026-08-2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195"/>
    <n v="2282600196"/>
    <x v="0"/>
    <x v="33"/>
    <d v="2026-07-31T00:00:00"/>
    <x v="83"/>
    <d v="1899-12-30T00:00:00"/>
    <d v="2026-08-2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196"/>
    <n v="2282600197"/>
    <x v="0"/>
    <x v="33"/>
    <d v="2026-07-31T00:00:00"/>
    <x v="83"/>
    <d v="1899-12-30T00:00:00"/>
    <d v="2026-08-2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197"/>
    <n v="2302600198"/>
    <x v="1"/>
    <x v="33"/>
    <d v="2026-07-31T00:00:00"/>
    <x v="83"/>
    <d v="1899-12-30T00:00:00"/>
    <d v="2026-08-3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198"/>
    <n v="2302600199"/>
    <x v="1"/>
    <x v="33"/>
    <d v="2026-08-03T00:00:00"/>
    <x v="83"/>
    <d v="1899-12-30T00:00:00"/>
    <d v="2026-09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199"/>
    <n v="2282600200"/>
    <x v="0"/>
    <x v="33"/>
    <d v="2026-08-03T00:00:00"/>
    <x v="83"/>
    <d v="1899-12-30T00:00:00"/>
    <d v="2026-08-2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00"/>
    <n v="2282600201"/>
    <x v="0"/>
    <x v="33"/>
    <d v="2026-08-04T00:00:00"/>
    <x v="83"/>
    <d v="1899-12-30T00:00:00"/>
    <d v="2026-08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01"/>
    <n v="2302600202"/>
    <x v="1"/>
    <x v="33"/>
    <d v="2026-08-04T00:00:00"/>
    <x v="83"/>
    <d v="1899-12-30T00:00:00"/>
    <d v="2026-09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02"/>
    <n v="2302600203"/>
    <x v="1"/>
    <x v="33"/>
    <d v="2026-08-04T00:00:00"/>
    <x v="83"/>
    <d v="1899-12-30T00:00:00"/>
    <d v="2026-09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03"/>
    <n v="2282600204"/>
    <x v="0"/>
    <x v="33"/>
    <d v="2026-08-05T00:00:00"/>
    <x v="83"/>
    <d v="1899-12-30T00:00:00"/>
    <d v="2026-08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04"/>
    <n v="2282600205"/>
    <x v="0"/>
    <x v="33"/>
    <d v="2026-08-05T00:00:00"/>
    <x v="83"/>
    <d v="1899-12-30T00:00:00"/>
    <d v="2026-08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05"/>
    <n v="2302600206"/>
    <x v="1"/>
    <x v="33"/>
    <d v="2026-08-06T00:00:00"/>
    <x v="83"/>
    <d v="1899-12-30T00:00:00"/>
    <d v="2026-09-0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06"/>
    <n v="2302600207"/>
    <x v="1"/>
    <x v="33"/>
    <d v="2026-08-06T00:00:00"/>
    <x v="83"/>
    <d v="1899-12-30T00:00:00"/>
    <d v="2026-09-0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07"/>
    <n v="2282600208"/>
    <x v="0"/>
    <x v="33"/>
    <d v="2026-08-06T00:00:00"/>
    <x v="83"/>
    <d v="1899-12-30T00:00:00"/>
    <d v="2026-08-2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08"/>
    <n v="2282600209"/>
    <x v="0"/>
    <x v="33"/>
    <d v="2026-08-07T00:00:00"/>
    <x v="83"/>
    <d v="1899-12-30T00:00:00"/>
    <d v="2026-08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09"/>
    <n v="2302600210"/>
    <x v="1"/>
    <x v="33"/>
    <d v="2026-08-07T00:00:00"/>
    <x v="83"/>
    <d v="1899-12-30T00:00:00"/>
    <d v="2026-09-0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10"/>
    <n v="2302600211"/>
    <x v="1"/>
    <x v="33"/>
    <d v="2026-08-10T00:00:00"/>
    <x v="83"/>
    <d v="1899-12-30T00:00:00"/>
    <d v="2026-09-0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11"/>
    <n v="2282600212"/>
    <x v="0"/>
    <x v="33"/>
    <d v="2026-08-10T00:00:00"/>
    <x v="83"/>
    <d v="1899-12-30T00:00:00"/>
    <d v="2026-08-3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12"/>
    <n v="2282600213"/>
    <x v="0"/>
    <x v="33"/>
    <d v="2026-08-10T00:00:00"/>
    <x v="83"/>
    <d v="1899-12-30T00:00:00"/>
    <d v="2026-08-3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13"/>
    <n v="2302600214"/>
    <x v="1"/>
    <x v="33"/>
    <d v="2026-08-11T00:00:00"/>
    <x v="83"/>
    <d v="1899-12-30T00:00:00"/>
    <d v="2026-09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14"/>
    <n v="2302600215"/>
    <x v="1"/>
    <x v="33"/>
    <d v="2026-08-11T00:00:00"/>
    <x v="83"/>
    <d v="1899-12-30T00:00:00"/>
    <d v="2026-09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15"/>
    <n v="2282600216"/>
    <x v="0"/>
    <x v="33"/>
    <d v="2026-08-12T00:00:00"/>
    <x v="83"/>
    <d v="1899-12-30T00:00:00"/>
    <d v="2026-09-0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16"/>
    <n v="2282600217"/>
    <x v="0"/>
    <x v="33"/>
    <d v="2026-08-12T00:00:00"/>
    <x v="83"/>
    <d v="1899-12-30T00:00:00"/>
    <d v="2026-09-0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17"/>
    <n v="2302600218"/>
    <x v="1"/>
    <x v="33"/>
    <d v="2026-08-12T00:00:00"/>
    <x v="83"/>
    <d v="1899-12-30T00:00:00"/>
    <d v="2026-09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18"/>
    <n v="2302600219"/>
    <x v="1"/>
    <x v="33"/>
    <d v="2026-08-13T00:00:00"/>
    <x v="83"/>
    <d v="1899-12-30T00:00:00"/>
    <d v="2026-09-1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19"/>
    <n v="2282600220"/>
    <x v="0"/>
    <x v="33"/>
    <d v="2026-08-13T00:00:00"/>
    <x v="83"/>
    <d v="1899-12-30T00:00:00"/>
    <d v="2026-09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20"/>
    <n v="2282600221"/>
    <x v="0"/>
    <x v="33"/>
    <d v="2026-08-14T00:00:00"/>
    <x v="83"/>
    <d v="1899-12-30T00:00:00"/>
    <d v="2026-09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21"/>
    <n v="2302600222"/>
    <x v="1"/>
    <x v="33"/>
    <d v="2026-08-14T00:00:00"/>
    <x v="83"/>
    <d v="1899-12-30T00:00:00"/>
    <d v="2026-09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22"/>
    <n v="2302600223"/>
    <x v="1"/>
    <x v="33"/>
    <d v="2026-08-14T00:00:00"/>
    <x v="83"/>
    <d v="1899-12-30T00:00:00"/>
    <d v="2026-09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23"/>
    <n v="2282600224"/>
    <x v="0"/>
    <x v="33"/>
    <d v="2026-08-17T00:00:00"/>
    <x v="83"/>
    <d v="1899-12-30T00:00:00"/>
    <d v="2026-09-0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24"/>
    <n v="2282600225"/>
    <x v="0"/>
    <x v="33"/>
    <d v="2026-08-17T00:00:00"/>
    <x v="83"/>
    <d v="1899-12-30T00:00:00"/>
    <d v="2026-09-0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25"/>
    <n v="2302600226"/>
    <x v="1"/>
    <x v="33"/>
    <d v="2026-08-18T00:00:00"/>
    <x v="83"/>
    <d v="1899-12-30T00:00:00"/>
    <d v="2026-09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26"/>
    <n v="2302600227"/>
    <x v="1"/>
    <x v="33"/>
    <d v="2026-08-18T00:00:00"/>
    <x v="83"/>
    <d v="1899-12-30T00:00:00"/>
    <d v="2026-09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27"/>
    <n v="2282600228"/>
    <x v="0"/>
    <x v="33"/>
    <d v="2026-08-18T00:00:00"/>
    <x v="83"/>
    <d v="1899-12-30T00:00:00"/>
    <d v="2026-09-0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28"/>
    <n v="2282600229"/>
    <x v="0"/>
    <x v="33"/>
    <d v="2026-08-19T00:00:00"/>
    <x v="83"/>
    <d v="1899-12-30T00:00:00"/>
    <d v="2026-09-0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29"/>
    <n v="2302600230"/>
    <x v="1"/>
    <x v="33"/>
    <d v="2026-08-19T00:00:00"/>
    <x v="83"/>
    <d v="1899-12-30T00:00:00"/>
    <d v="2026-09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30"/>
    <n v="2302600231"/>
    <x v="1"/>
    <x v="33"/>
    <d v="2026-08-20T00:00:00"/>
    <x v="83"/>
    <d v="1899-12-30T00:00:00"/>
    <d v="2026-09-1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31"/>
    <n v="2282600232"/>
    <x v="0"/>
    <x v="33"/>
    <d v="2026-08-20T00:00:00"/>
    <x v="83"/>
    <d v="1899-12-30T00:00:00"/>
    <d v="2026-09-0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32"/>
    <n v="2282600233"/>
    <x v="0"/>
    <x v="33"/>
    <d v="2026-08-20T00:00:00"/>
    <x v="83"/>
    <d v="1899-12-30T00:00:00"/>
    <d v="2026-09-0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33"/>
    <n v="2302600234"/>
    <x v="1"/>
    <x v="33"/>
    <d v="2026-08-21T00:00:00"/>
    <x v="83"/>
    <d v="1899-12-30T00:00:00"/>
    <d v="2026-09-2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34"/>
    <n v="2302600235"/>
    <x v="1"/>
    <x v="33"/>
    <d v="2026-08-21T00:00:00"/>
    <x v="83"/>
    <d v="1899-12-30T00:00:00"/>
    <d v="2026-09-2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35"/>
    <n v="2282600236"/>
    <x v="0"/>
    <x v="33"/>
    <d v="2026-08-24T00:00:00"/>
    <x v="83"/>
    <d v="1899-12-30T00:00:00"/>
    <d v="2026-09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36"/>
    <n v="2282600237"/>
    <x v="0"/>
    <x v="33"/>
    <d v="2026-08-24T00:00:00"/>
    <x v="83"/>
    <d v="1899-12-30T00:00:00"/>
    <d v="2026-09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37"/>
    <n v="2302600238"/>
    <x v="1"/>
    <x v="33"/>
    <d v="2026-08-24T00:00:00"/>
    <x v="83"/>
    <d v="1899-12-30T00:00:00"/>
    <d v="2026-09-2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38"/>
    <n v="2302600239"/>
    <x v="1"/>
    <x v="33"/>
    <d v="2026-08-25T00:00:00"/>
    <x v="83"/>
    <d v="1899-12-30T00:00:00"/>
    <d v="2026-09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39"/>
    <n v="2282600240"/>
    <x v="0"/>
    <x v="33"/>
    <d v="2026-08-25T00:00:00"/>
    <x v="83"/>
    <d v="1899-12-30T00:00:00"/>
    <d v="2026-09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40"/>
    <n v="2282600241"/>
    <x v="0"/>
    <x v="33"/>
    <d v="2026-08-26T00:00:00"/>
    <x v="83"/>
    <d v="1899-12-30T00:00:00"/>
    <d v="2026-09-1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41"/>
    <n v="2302600242"/>
    <x v="1"/>
    <x v="33"/>
    <d v="2026-08-26T00:00:00"/>
    <x v="83"/>
    <d v="1899-12-30T00:00:00"/>
    <d v="2026-09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42"/>
    <n v="2302600243"/>
    <x v="1"/>
    <x v="33"/>
    <d v="2026-08-26T00:00:00"/>
    <x v="83"/>
    <d v="1899-12-30T00:00:00"/>
    <d v="2026-09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43"/>
    <n v="2282600244"/>
    <x v="0"/>
    <x v="33"/>
    <d v="2026-08-27T00:00:00"/>
    <x v="83"/>
    <d v="1899-12-30T00:00:00"/>
    <d v="2026-09-1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44"/>
    <n v="2282600245"/>
    <x v="0"/>
    <x v="33"/>
    <d v="2026-08-27T00:00:00"/>
    <x v="83"/>
    <d v="1899-12-30T00:00:00"/>
    <d v="2026-09-1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45"/>
    <n v="2302600246"/>
    <x v="1"/>
    <x v="33"/>
    <d v="2026-08-28T00:00:00"/>
    <x v="83"/>
    <d v="1899-12-30T00:00:00"/>
    <d v="2026-09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46"/>
    <n v="2302600247"/>
    <x v="1"/>
    <x v="33"/>
    <d v="2026-08-28T00:00:00"/>
    <x v="83"/>
    <d v="1899-12-30T00:00:00"/>
    <d v="2026-09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47"/>
    <n v="2282600248"/>
    <x v="0"/>
    <x v="33"/>
    <d v="2026-08-28T00:00:00"/>
    <x v="83"/>
    <d v="1899-12-30T00:00:00"/>
    <d v="2026-09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48"/>
    <n v="2282600249"/>
    <x v="0"/>
    <x v="33"/>
    <d v="2026-08-31T00:00:00"/>
    <x v="83"/>
    <d v="1899-12-30T00:00:00"/>
    <d v="2026-09-2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49"/>
    <n v="2302600250"/>
    <x v="1"/>
    <x v="33"/>
    <d v="2026-08-31T00:00:00"/>
    <x v="83"/>
    <d v="1899-12-30T00:00:00"/>
    <d v="2026-09-3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50"/>
    <n v="2302600251"/>
    <x v="1"/>
    <x v="33"/>
    <d v="2026-09-01T00:00:00"/>
    <x v="83"/>
    <d v="1899-12-30T00:00:00"/>
    <d v="2026-10-0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51"/>
    <n v="2282600252"/>
    <x v="0"/>
    <x v="33"/>
    <d v="2026-09-01T00:00:00"/>
    <x v="83"/>
    <d v="1899-12-30T00:00:00"/>
    <d v="2026-09-2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52"/>
    <n v="2282600253"/>
    <x v="0"/>
    <x v="33"/>
    <d v="2026-09-01T00:00:00"/>
    <x v="83"/>
    <d v="1899-12-30T00:00:00"/>
    <d v="2026-09-2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53"/>
    <n v="2302600254"/>
    <x v="1"/>
    <x v="33"/>
    <d v="2026-09-02T00:00:00"/>
    <x v="83"/>
    <d v="1899-12-30T00:00:00"/>
    <d v="2026-10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54"/>
    <n v="2302600255"/>
    <x v="1"/>
    <x v="33"/>
    <d v="2026-09-02T00:00:00"/>
    <x v="83"/>
    <d v="1899-12-30T00:00:00"/>
    <d v="2026-10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55"/>
    <n v="2282600256"/>
    <x v="0"/>
    <x v="33"/>
    <d v="2026-09-02T00:00:00"/>
    <x v="83"/>
    <d v="1899-12-30T00:00:00"/>
    <d v="2026-09-2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56"/>
    <n v="2282600257"/>
    <x v="0"/>
    <x v="33"/>
    <d v="2026-09-03T00:00:00"/>
    <x v="83"/>
    <d v="1899-12-30T00:00:00"/>
    <d v="2026-09-2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57"/>
    <n v="2302600258"/>
    <x v="1"/>
    <x v="33"/>
    <d v="2026-09-03T00:00:00"/>
    <x v="83"/>
    <d v="1899-12-30T00:00:00"/>
    <d v="2026-10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58"/>
    <n v="2302600259"/>
    <x v="1"/>
    <x v="33"/>
    <d v="2026-09-03T00:00:00"/>
    <x v="83"/>
    <d v="1899-12-30T00:00:00"/>
    <d v="2026-10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59"/>
    <n v="2282600260"/>
    <x v="0"/>
    <x v="33"/>
    <d v="2026-09-04T00:00:00"/>
    <x v="83"/>
    <d v="1899-12-30T00:00:00"/>
    <d v="2026-09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60"/>
    <n v="2282600261"/>
    <x v="0"/>
    <x v="33"/>
    <d v="2026-09-04T00:00:00"/>
    <x v="83"/>
    <d v="1899-12-30T00:00:00"/>
    <d v="2026-09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61"/>
    <n v="2302600262"/>
    <x v="1"/>
    <x v="33"/>
    <d v="2026-09-04T00:00:00"/>
    <x v="83"/>
    <d v="1899-12-30T00:00:00"/>
    <d v="2026-10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62"/>
    <n v="2302600263"/>
    <x v="1"/>
    <x v="33"/>
    <d v="2026-09-07T00:00:00"/>
    <x v="83"/>
    <d v="1899-12-30T00:00:00"/>
    <d v="2026-10-0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63"/>
    <n v="2282600264"/>
    <x v="0"/>
    <x v="33"/>
    <d v="2026-09-07T00:00:00"/>
    <x v="83"/>
    <d v="1899-12-30T00:00:00"/>
    <d v="2026-09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64"/>
    <n v="2282600265"/>
    <x v="0"/>
    <x v="33"/>
    <d v="2026-09-07T00:00:00"/>
    <x v="83"/>
    <d v="1899-12-30T00:00:00"/>
    <d v="2026-09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65"/>
    <n v="2302600266"/>
    <x v="1"/>
    <x v="33"/>
    <d v="2026-09-08T00:00:00"/>
    <x v="83"/>
    <d v="1899-12-30T00:00:00"/>
    <d v="2026-10-0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66"/>
    <n v="2302600267"/>
    <x v="1"/>
    <x v="33"/>
    <d v="2026-09-08T00:00:00"/>
    <x v="83"/>
    <d v="1899-12-30T00:00:00"/>
    <d v="2026-10-0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67"/>
    <n v="2282600268"/>
    <x v="0"/>
    <x v="33"/>
    <d v="2026-09-08T00:00:00"/>
    <x v="83"/>
    <d v="1899-12-30T00:00:00"/>
    <d v="2026-09-2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68"/>
    <n v="2282600269"/>
    <x v="0"/>
    <x v="33"/>
    <d v="2026-09-09T00:00:00"/>
    <x v="83"/>
    <d v="1899-12-30T00:00:00"/>
    <d v="2026-09-2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69"/>
    <n v="2302600270"/>
    <x v="1"/>
    <x v="33"/>
    <d v="2026-09-09T00:00:00"/>
    <x v="83"/>
    <d v="1899-12-30T00:00:00"/>
    <d v="2026-10-0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70"/>
    <n v="2302600271"/>
    <x v="1"/>
    <x v="33"/>
    <d v="2026-09-09T00:00:00"/>
    <x v="83"/>
    <d v="1899-12-30T00:00:00"/>
    <d v="2026-10-0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71"/>
    <n v="2282600272"/>
    <x v="0"/>
    <x v="33"/>
    <d v="2026-09-10T00:00:00"/>
    <x v="83"/>
    <d v="1899-12-30T00:00:00"/>
    <d v="2026-09-3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72"/>
    <n v="2282600273"/>
    <x v="0"/>
    <x v="33"/>
    <d v="2026-09-10T00:00:00"/>
    <x v="83"/>
    <d v="1899-12-30T00:00:00"/>
    <d v="2026-09-3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73"/>
    <n v="2302600274"/>
    <x v="1"/>
    <x v="33"/>
    <d v="2026-09-10T00:00:00"/>
    <x v="83"/>
    <d v="1899-12-30T00:00:00"/>
    <d v="2026-10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74"/>
    <n v="2302600275"/>
    <x v="1"/>
    <x v="33"/>
    <d v="2026-09-11T00:00:00"/>
    <x v="83"/>
    <d v="1899-12-30T00:00:00"/>
    <d v="2026-10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75"/>
    <n v="2282600276"/>
    <x v="0"/>
    <x v="33"/>
    <d v="2026-09-11T00:00:00"/>
    <x v="83"/>
    <d v="1899-12-30T00:00:00"/>
    <d v="2026-10-0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76"/>
    <n v="2282600277"/>
    <x v="0"/>
    <x v="33"/>
    <d v="2026-09-11T00:00:00"/>
    <x v="83"/>
    <d v="1899-12-30T00:00:00"/>
    <d v="2026-10-0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77"/>
    <n v="2302600278"/>
    <x v="1"/>
    <x v="33"/>
    <d v="2026-09-14T00:00:00"/>
    <x v="83"/>
    <d v="1899-12-30T00:00:00"/>
    <d v="2026-10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78"/>
    <n v="2302600279"/>
    <x v="1"/>
    <x v="33"/>
    <d v="2026-09-14T00:00:00"/>
    <x v="83"/>
    <d v="1899-12-30T00:00:00"/>
    <d v="2026-10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79"/>
    <n v="2282600280"/>
    <x v="0"/>
    <x v="33"/>
    <d v="2026-09-14T00:00:00"/>
    <x v="83"/>
    <d v="1899-12-30T00:00:00"/>
    <d v="2026-10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80"/>
    <n v="2282600281"/>
    <x v="0"/>
    <x v="33"/>
    <d v="2026-09-15T00:00:00"/>
    <x v="83"/>
    <d v="1899-12-30T00:00:00"/>
    <d v="2026-10-0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81"/>
    <n v="2302600282"/>
    <x v="1"/>
    <x v="33"/>
    <d v="2026-09-15T00:00:00"/>
    <x v="83"/>
    <d v="1899-12-30T00:00:00"/>
    <d v="2026-10-1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82"/>
    <n v="2302600283"/>
    <x v="1"/>
    <x v="33"/>
    <d v="2026-09-15T00:00:00"/>
    <x v="83"/>
    <d v="1899-12-30T00:00:00"/>
    <d v="2026-10-1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83"/>
    <n v="2282600284"/>
    <x v="0"/>
    <x v="33"/>
    <d v="2026-09-21T00:00:00"/>
    <x v="83"/>
    <d v="1899-12-30T00:00:00"/>
    <d v="2026-10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84"/>
    <n v="2282600285"/>
    <x v="0"/>
    <x v="33"/>
    <d v="2026-09-21T00:00:00"/>
    <x v="83"/>
    <d v="1899-12-30T00:00:00"/>
    <d v="2026-10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85"/>
    <n v="2302600286"/>
    <x v="1"/>
    <x v="33"/>
    <d v="2026-09-21T00:00:00"/>
    <x v="83"/>
    <d v="1899-12-30T00:00:00"/>
    <d v="2026-10-2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86"/>
    <n v="2302600287"/>
    <x v="1"/>
    <x v="33"/>
    <d v="2026-09-22T00:00:00"/>
    <x v="83"/>
    <d v="1899-12-30T00:00:00"/>
    <d v="2026-10-2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87"/>
    <n v="2282600288"/>
    <x v="0"/>
    <x v="33"/>
    <d v="2026-09-22T00:00:00"/>
    <x v="83"/>
    <d v="1899-12-30T00:00:00"/>
    <d v="2026-10-1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288"/>
    <n v="2282600289"/>
    <x v="0"/>
    <x v="33"/>
    <d v="2026-09-22T00:00:00"/>
    <x v="83"/>
    <d v="1899-12-30T00:00:00"/>
    <d v="2026-10-1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289"/>
    <n v="2302600290"/>
    <x v="1"/>
    <x v="33"/>
    <d v="2026-09-23T00:00:00"/>
    <x v="83"/>
    <d v="1899-12-30T00:00:00"/>
    <d v="2026-10-2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290"/>
    <n v="2302600291"/>
    <x v="1"/>
    <x v="33"/>
    <d v="2026-09-23T00:00:00"/>
    <x v="83"/>
    <d v="1899-12-30T00:00:00"/>
    <d v="2026-10-2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291"/>
    <n v="2282600292"/>
    <x v="0"/>
    <x v="33"/>
    <d v="2026-09-23T00:00:00"/>
    <x v="83"/>
    <d v="1899-12-30T00:00:00"/>
    <d v="2026-10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292"/>
    <n v="2282600293"/>
    <x v="0"/>
    <x v="33"/>
    <d v="2026-09-24T00:00:00"/>
    <x v="83"/>
    <d v="1899-12-30T00:00:00"/>
    <d v="2026-10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293"/>
    <n v="2302600294"/>
    <x v="1"/>
    <x v="33"/>
    <d v="2026-09-24T00:00:00"/>
    <x v="83"/>
    <d v="1899-12-30T00:00:00"/>
    <d v="2026-10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294"/>
    <n v="2302600295"/>
    <x v="1"/>
    <x v="33"/>
    <d v="2026-09-24T00:00:00"/>
    <x v="83"/>
    <d v="1899-12-30T00:00:00"/>
    <d v="2026-10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295"/>
    <n v="2282600296"/>
    <x v="0"/>
    <x v="33"/>
    <d v="2026-09-25T00:00:00"/>
    <x v="83"/>
    <d v="1899-12-30T00:00:00"/>
    <d v="2026-10-1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296"/>
    <n v="2282600297"/>
    <x v="0"/>
    <x v="33"/>
    <d v="2026-09-25T00:00:00"/>
    <x v="83"/>
    <d v="1899-12-30T00:00:00"/>
    <d v="2026-10-1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297"/>
    <n v="2302600298"/>
    <x v="1"/>
    <x v="33"/>
    <d v="2026-09-25T00:00:00"/>
    <x v="83"/>
    <d v="1899-12-30T00:00:00"/>
    <d v="2026-10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298"/>
    <n v="2302600299"/>
    <x v="1"/>
    <x v="33"/>
    <d v="2026-09-28T00:00:00"/>
    <x v="83"/>
    <d v="1899-12-30T00:00:00"/>
    <d v="2026-10-2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299"/>
    <n v="2282600300"/>
    <x v="0"/>
    <x v="33"/>
    <d v="2026-09-28T00:00:00"/>
    <x v="83"/>
    <d v="1899-12-30T00:00:00"/>
    <d v="2026-10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300"/>
    <n v="2282600301"/>
    <x v="0"/>
    <x v="33"/>
    <d v="2026-09-28T00:00:00"/>
    <x v="83"/>
    <d v="1899-12-30T00:00:00"/>
    <d v="2026-10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301"/>
    <n v="2302600302"/>
    <x v="1"/>
    <x v="33"/>
    <d v="2026-09-29T00:00:00"/>
    <x v="83"/>
    <d v="1899-12-30T00:00:00"/>
    <d v="2026-10-2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302"/>
    <n v="2302600303"/>
    <x v="1"/>
    <x v="33"/>
    <d v="2026-09-29T00:00:00"/>
    <x v="83"/>
    <d v="1899-12-30T00:00:00"/>
    <d v="2026-10-2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303"/>
    <n v="2282600304"/>
    <x v="0"/>
    <x v="33"/>
    <d v="2026-09-29T00:00:00"/>
    <x v="83"/>
    <d v="1899-12-30T00:00:00"/>
    <d v="2026-10-1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304"/>
    <n v="2282600305"/>
    <x v="0"/>
    <x v="33"/>
    <d v="2026-09-30T00:00:00"/>
    <x v="83"/>
    <d v="1899-12-30T00:00:00"/>
    <d v="2026-10-2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305"/>
    <n v="2302600306"/>
    <x v="1"/>
    <x v="33"/>
    <d v="2026-09-30T00:00:00"/>
    <x v="83"/>
    <d v="1899-12-30T00:00:00"/>
    <d v="2026-10-3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306"/>
    <n v="2302600307"/>
    <x v="1"/>
    <x v="33"/>
    <d v="2026-09-30T00:00:00"/>
    <x v="83"/>
    <d v="1899-12-30T00:00:00"/>
    <d v="2026-10-3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307"/>
    <n v="2282600308"/>
    <x v="0"/>
    <x v="33"/>
    <d v="2026-10-01T00:00:00"/>
    <x v="83"/>
    <d v="1899-12-30T00:00:00"/>
    <d v="2026-10-2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308"/>
    <n v="2282600309"/>
    <x v="0"/>
    <x v="33"/>
    <d v="2026-10-01T00:00:00"/>
    <x v="83"/>
    <d v="1899-12-30T00:00:00"/>
    <d v="2026-10-2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309"/>
    <n v="2302600310"/>
    <x v="1"/>
    <x v="33"/>
    <d v="2026-10-01T00:00:00"/>
    <x v="83"/>
    <d v="1899-12-30T00:00:00"/>
    <d v="2026-10-3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310"/>
    <n v="2302600311"/>
    <x v="1"/>
    <x v="33"/>
    <d v="2026-10-02T00:00:00"/>
    <x v="83"/>
    <d v="1899-12-30T00:00:00"/>
    <d v="2026-11-0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311"/>
    <n v="2282600312"/>
    <x v="0"/>
    <x v="33"/>
    <d v="2026-10-02T00:00:00"/>
    <x v="83"/>
    <d v="1899-12-30T00:00:00"/>
    <d v="2026-10-2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312"/>
    <n v="2282600313"/>
    <x v="0"/>
    <x v="33"/>
    <d v="2026-10-02T00:00:00"/>
    <x v="83"/>
    <d v="1899-12-30T00:00:00"/>
    <d v="2026-10-2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313"/>
    <n v="2302600314"/>
    <x v="1"/>
    <x v="33"/>
    <d v="2026-10-05T00:00:00"/>
    <x v="83"/>
    <d v="1899-12-30T00:00:00"/>
    <d v="2026-11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314"/>
    <n v="2302600315"/>
    <x v="1"/>
    <x v="33"/>
    <d v="2026-10-05T00:00:00"/>
    <x v="83"/>
    <d v="1899-12-30T00:00:00"/>
    <d v="2026-11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315"/>
    <n v="2282600316"/>
    <x v="0"/>
    <x v="33"/>
    <d v="2026-10-05T00:00:00"/>
    <x v="83"/>
    <d v="1899-12-30T00:00:00"/>
    <d v="2026-10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316"/>
    <n v="2282600317"/>
    <x v="0"/>
    <x v="33"/>
    <d v="2026-10-06T00:00:00"/>
    <x v="83"/>
    <d v="1899-12-30T00:00:00"/>
    <d v="2026-10-2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317"/>
    <n v="2302600318"/>
    <x v="1"/>
    <x v="33"/>
    <d v="2026-10-06T00:00:00"/>
    <x v="83"/>
    <d v="1899-12-30T00:00:00"/>
    <d v="2026-11-0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318"/>
    <n v="2302600319"/>
    <x v="1"/>
    <x v="33"/>
    <d v="2026-10-06T00:00:00"/>
    <x v="83"/>
    <d v="1899-12-30T00:00:00"/>
    <d v="2026-11-0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319"/>
    <n v="2282600320"/>
    <x v="0"/>
    <x v="33"/>
    <d v="2026-10-07T00:00:00"/>
    <x v="83"/>
    <d v="1899-12-30T00:00:00"/>
    <d v="2026-10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20"/>
    <n v="2282600321"/>
    <x v="0"/>
    <x v="33"/>
    <d v="2026-10-07T00:00:00"/>
    <x v="83"/>
    <d v="1899-12-30T00:00:00"/>
    <d v="2026-10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21"/>
    <n v="2302600322"/>
    <x v="1"/>
    <x v="33"/>
    <d v="2026-10-07T00:00:00"/>
    <x v="83"/>
    <d v="1899-12-30T00:00:00"/>
    <d v="2026-11-0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22"/>
    <n v="2302600323"/>
    <x v="1"/>
    <x v="33"/>
    <d v="2026-10-08T00:00:00"/>
    <x v="83"/>
    <d v="1899-12-30T00:00:00"/>
    <d v="2026-11-0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23"/>
    <n v="2282600324"/>
    <x v="0"/>
    <x v="33"/>
    <d v="2026-10-08T00:00:00"/>
    <x v="83"/>
    <d v="1899-12-30T00:00:00"/>
    <d v="2026-10-2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24"/>
    <n v="2282600325"/>
    <x v="0"/>
    <x v="33"/>
    <d v="2026-10-08T00:00:00"/>
    <x v="83"/>
    <d v="1899-12-30T00:00:00"/>
    <d v="2026-10-2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25"/>
    <n v="2302600326"/>
    <x v="1"/>
    <x v="33"/>
    <d v="2026-10-09T00:00:00"/>
    <x v="83"/>
    <d v="1899-12-30T00:00:00"/>
    <d v="2026-11-0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26"/>
    <n v="2302600327"/>
    <x v="1"/>
    <x v="33"/>
    <d v="2026-10-09T00:00:00"/>
    <x v="83"/>
    <d v="1899-12-30T00:00:00"/>
    <d v="2026-11-0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27"/>
    <n v="2282600328"/>
    <x v="0"/>
    <x v="33"/>
    <d v="2026-10-09T00:00:00"/>
    <x v="83"/>
    <d v="1899-12-30T00:00:00"/>
    <d v="2026-10-2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28"/>
    <n v="2282600329"/>
    <x v="0"/>
    <x v="33"/>
    <d v="2026-10-12T00:00:00"/>
    <x v="83"/>
    <d v="1899-12-30T00:00:00"/>
    <d v="2026-11-0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29"/>
    <n v="2302600330"/>
    <x v="1"/>
    <x v="33"/>
    <d v="2026-10-12T00:00:00"/>
    <x v="83"/>
    <d v="1899-12-30T00:00:00"/>
    <d v="2026-11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30"/>
    <n v="2302600331"/>
    <x v="1"/>
    <x v="33"/>
    <d v="2026-10-12T00:00:00"/>
    <x v="83"/>
    <d v="1899-12-30T00:00:00"/>
    <d v="2026-11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31"/>
    <n v="2282600332"/>
    <x v="0"/>
    <x v="33"/>
    <d v="2026-10-13T00:00:00"/>
    <x v="83"/>
    <d v="1899-12-30T00:00:00"/>
    <d v="2026-11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32"/>
    <n v="2282600333"/>
    <x v="0"/>
    <x v="33"/>
    <d v="2026-10-13T00:00:00"/>
    <x v="83"/>
    <d v="1899-12-30T00:00:00"/>
    <d v="2026-11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33"/>
    <n v="2302600334"/>
    <x v="1"/>
    <x v="33"/>
    <d v="2026-10-13T00:00:00"/>
    <x v="83"/>
    <d v="1899-12-30T00:00:00"/>
    <d v="2026-11-1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34"/>
    <n v="2302600335"/>
    <x v="1"/>
    <x v="33"/>
    <d v="2026-10-14T00:00:00"/>
    <x v="83"/>
    <d v="1899-12-30T00:00:00"/>
    <d v="2026-11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35"/>
    <n v="2282600336"/>
    <x v="0"/>
    <x v="33"/>
    <d v="2026-10-14T00:00:00"/>
    <x v="83"/>
    <d v="1899-12-30T00:00:00"/>
    <d v="2026-11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36"/>
    <n v="2282600337"/>
    <x v="0"/>
    <x v="33"/>
    <d v="2026-10-14T00:00:00"/>
    <x v="83"/>
    <d v="1899-12-30T00:00:00"/>
    <d v="2026-11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37"/>
    <n v="2302600338"/>
    <x v="1"/>
    <x v="33"/>
    <d v="2026-10-15T00:00:00"/>
    <x v="83"/>
    <d v="1899-12-30T00:00:00"/>
    <d v="2026-11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38"/>
    <n v="2302600339"/>
    <x v="1"/>
    <x v="33"/>
    <d v="2026-10-15T00:00:00"/>
    <x v="83"/>
    <d v="1899-12-30T00:00:00"/>
    <d v="2026-11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39"/>
    <n v="2282600340"/>
    <x v="0"/>
    <x v="33"/>
    <d v="2026-10-15T00:00:00"/>
    <x v="83"/>
    <d v="1899-12-30T00:00:00"/>
    <d v="2026-11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40"/>
    <n v="2282600341"/>
    <x v="0"/>
    <x v="33"/>
    <d v="2026-10-16T00:00:00"/>
    <x v="83"/>
    <d v="1899-12-30T00:00:00"/>
    <d v="2026-11-0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41"/>
    <n v="2302600342"/>
    <x v="1"/>
    <x v="33"/>
    <d v="2026-10-16T00:00:00"/>
    <x v="83"/>
    <d v="1899-12-30T00:00:00"/>
    <d v="2026-11-1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42"/>
    <n v="2302600343"/>
    <x v="1"/>
    <x v="33"/>
    <d v="2026-10-16T00:00:00"/>
    <x v="83"/>
    <d v="1899-12-30T00:00:00"/>
    <d v="2026-11-1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43"/>
    <n v="2282600344"/>
    <x v="0"/>
    <x v="33"/>
    <d v="2026-10-19T00:00:00"/>
    <x v="83"/>
    <d v="1899-12-30T00:00:00"/>
    <d v="2026-11-0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44"/>
    <n v="2282600345"/>
    <x v="0"/>
    <x v="33"/>
    <d v="2026-10-19T00:00:00"/>
    <x v="83"/>
    <d v="1899-12-30T00:00:00"/>
    <d v="2026-11-0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45"/>
    <n v="2302600346"/>
    <x v="1"/>
    <x v="33"/>
    <d v="2026-10-19T00:00:00"/>
    <x v="83"/>
    <d v="1899-12-30T00:00:00"/>
    <d v="2026-11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46"/>
    <n v="2302600347"/>
    <x v="1"/>
    <x v="33"/>
    <d v="2026-10-20T00:00:00"/>
    <x v="83"/>
    <d v="1899-12-30T00:00:00"/>
    <d v="2026-11-1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47"/>
    <n v="2282600348"/>
    <x v="0"/>
    <x v="33"/>
    <d v="2026-10-20T00:00:00"/>
    <x v="83"/>
    <d v="1899-12-30T00:00:00"/>
    <d v="2026-11-0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48"/>
    <n v="2282600349"/>
    <x v="0"/>
    <x v="33"/>
    <d v="2026-10-20T00:00:00"/>
    <x v="83"/>
    <d v="1899-12-30T00:00:00"/>
    <d v="2026-11-0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49"/>
    <n v="2302600350"/>
    <x v="1"/>
    <x v="33"/>
    <d v="2026-10-21T00:00:00"/>
    <x v="83"/>
    <d v="1899-12-30T00:00:00"/>
    <d v="2026-11-2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50"/>
    <n v="2302600351"/>
    <x v="1"/>
    <x v="33"/>
    <d v="2026-10-21T00:00:00"/>
    <x v="83"/>
    <d v="1899-12-30T00:00:00"/>
    <d v="2026-11-2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51"/>
    <n v="2282600352"/>
    <x v="0"/>
    <x v="33"/>
    <d v="2026-10-21T00:00:00"/>
    <x v="83"/>
    <d v="1899-12-30T00:00:00"/>
    <d v="2026-11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52"/>
    <n v="2282600353"/>
    <x v="0"/>
    <x v="33"/>
    <d v="2026-10-22T00:00:00"/>
    <x v="83"/>
    <d v="1899-12-30T00:00:00"/>
    <d v="2026-11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53"/>
    <n v="2302600354"/>
    <x v="1"/>
    <x v="33"/>
    <d v="2026-10-22T00:00:00"/>
    <x v="83"/>
    <d v="1899-12-30T00:00:00"/>
    <d v="2026-11-2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54"/>
    <n v="2302600355"/>
    <x v="1"/>
    <x v="33"/>
    <d v="2026-10-22T00:00:00"/>
    <x v="83"/>
    <d v="1899-12-30T00:00:00"/>
    <d v="2026-11-2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55"/>
    <n v="2282600356"/>
    <x v="0"/>
    <x v="33"/>
    <d v="2026-10-23T00:00:00"/>
    <x v="83"/>
    <d v="1899-12-30T00:00:00"/>
    <d v="2026-11-1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56"/>
    <n v="2282600357"/>
    <x v="0"/>
    <x v="33"/>
    <d v="2026-10-23T00:00:00"/>
    <x v="83"/>
    <d v="1899-12-30T00:00:00"/>
    <d v="2026-11-1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57"/>
    <n v="2302600358"/>
    <x v="1"/>
    <x v="33"/>
    <d v="2026-10-23T00:00:00"/>
    <x v="83"/>
    <d v="1899-12-30T00:00:00"/>
    <d v="2026-11-2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58"/>
    <n v="2302600359"/>
    <x v="1"/>
    <x v="33"/>
    <d v="2026-10-26T00:00:00"/>
    <x v="83"/>
    <d v="1899-12-30T00:00:00"/>
    <d v="2026-11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59"/>
    <n v="2282600360"/>
    <x v="0"/>
    <x v="33"/>
    <d v="2026-10-26T00:00:00"/>
    <x v="83"/>
    <d v="1899-12-30T00:00:00"/>
    <d v="2026-11-1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60"/>
    <n v="2282600361"/>
    <x v="0"/>
    <x v="33"/>
    <d v="2026-10-26T00:00:00"/>
    <x v="83"/>
    <d v="1899-12-30T00:00:00"/>
    <d v="2026-11-1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61"/>
    <n v="2302600362"/>
    <x v="1"/>
    <x v="33"/>
    <d v="2026-10-27T00:00:00"/>
    <x v="83"/>
    <d v="1899-12-30T00:00:00"/>
    <d v="2026-11-2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62"/>
    <n v="2302600363"/>
    <x v="1"/>
    <x v="33"/>
    <d v="2026-10-27T00:00:00"/>
    <x v="83"/>
    <d v="1899-12-30T00:00:00"/>
    <d v="2026-11-2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63"/>
    <n v="2282600364"/>
    <x v="0"/>
    <x v="33"/>
    <d v="2026-10-27T00:00:00"/>
    <x v="83"/>
    <d v="1899-12-30T00:00:00"/>
    <d v="2026-11-1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64"/>
    <n v="2282600365"/>
    <x v="0"/>
    <x v="33"/>
    <d v="2026-10-28T00:00:00"/>
    <x v="83"/>
    <d v="1899-12-30T00:00:00"/>
    <d v="2026-11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65"/>
    <n v="2302600366"/>
    <x v="1"/>
    <x v="33"/>
    <d v="2026-10-28T00:00:00"/>
    <x v="83"/>
    <d v="1899-12-30T00:00:00"/>
    <d v="2026-11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66"/>
    <n v="2302600367"/>
    <x v="1"/>
    <x v="33"/>
    <d v="2026-10-28T00:00:00"/>
    <x v="83"/>
    <d v="1899-12-30T00:00:00"/>
    <d v="2026-11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67"/>
    <n v="2282600368"/>
    <x v="0"/>
    <x v="33"/>
    <d v="2026-10-29T00:00:00"/>
    <x v="83"/>
    <d v="1899-12-30T00:00:00"/>
    <d v="2026-11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68"/>
    <n v="2282600369"/>
    <x v="0"/>
    <x v="33"/>
    <d v="2026-10-29T00:00:00"/>
    <x v="83"/>
    <d v="1899-12-30T00:00:00"/>
    <d v="2026-11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69"/>
    <n v="2302600370"/>
    <x v="1"/>
    <x v="33"/>
    <d v="2026-10-29T00:00:00"/>
    <x v="83"/>
    <d v="1899-12-30T00:00:00"/>
    <d v="2026-11-2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70"/>
    <n v="2302600371"/>
    <x v="1"/>
    <x v="33"/>
    <d v="2026-10-30T00:00:00"/>
    <x v="83"/>
    <d v="1899-12-30T00:00:00"/>
    <d v="2026-11-2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71"/>
    <n v="2282600372"/>
    <x v="0"/>
    <x v="33"/>
    <d v="2026-10-30T00:00:00"/>
    <x v="83"/>
    <d v="1899-12-30T00:00:00"/>
    <d v="2026-11-1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72"/>
    <n v="2282600373"/>
    <x v="0"/>
    <x v="33"/>
    <d v="2026-10-30T00:00:00"/>
    <x v="83"/>
    <d v="1899-12-30T00:00:00"/>
    <d v="2026-11-1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73"/>
    <n v="2302600374"/>
    <x v="1"/>
    <x v="33"/>
    <d v="2026-11-02T00:00:00"/>
    <x v="83"/>
    <d v="1899-12-30T00:00:00"/>
    <d v="2026-12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74"/>
    <n v="2302600375"/>
    <x v="1"/>
    <x v="33"/>
    <d v="2026-11-02T00:00:00"/>
    <x v="83"/>
    <d v="1899-12-30T00:00:00"/>
    <d v="2026-12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75"/>
    <n v="2282600376"/>
    <x v="0"/>
    <x v="33"/>
    <d v="2026-11-02T00:00:00"/>
    <x v="83"/>
    <d v="1899-12-30T00:00:00"/>
    <d v="2026-11-2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76"/>
    <n v="2282600377"/>
    <x v="0"/>
    <x v="33"/>
    <d v="2026-11-03T00:00:00"/>
    <x v="83"/>
    <d v="1899-12-30T00:00:00"/>
    <d v="2026-11-2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77"/>
    <n v="2302600378"/>
    <x v="1"/>
    <x v="33"/>
    <d v="2026-11-03T00:00:00"/>
    <x v="83"/>
    <d v="1899-12-30T00:00:00"/>
    <d v="2026-12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78"/>
    <n v="2302600379"/>
    <x v="1"/>
    <x v="33"/>
    <d v="2026-11-03T00:00:00"/>
    <x v="83"/>
    <d v="1899-12-30T00:00:00"/>
    <d v="2026-12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79"/>
    <n v="2282600380"/>
    <x v="0"/>
    <x v="33"/>
    <d v="2026-11-04T00:00:00"/>
    <x v="83"/>
    <d v="1899-12-30T00:00:00"/>
    <d v="2026-11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80"/>
    <n v="2282600381"/>
    <x v="0"/>
    <x v="33"/>
    <d v="2026-11-04T00:00:00"/>
    <x v="83"/>
    <d v="1899-12-30T00:00:00"/>
    <d v="2026-11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81"/>
    <n v="2302600382"/>
    <x v="1"/>
    <x v="33"/>
    <d v="2026-11-04T00:00:00"/>
    <x v="83"/>
    <d v="1899-12-30T00:00:00"/>
    <d v="2026-12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82"/>
    <n v="2302600383"/>
    <x v="1"/>
    <x v="33"/>
    <d v="2026-11-05T00:00:00"/>
    <x v="83"/>
    <d v="1899-12-30T00:00:00"/>
    <d v="2026-12-0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83"/>
    <n v="2282600384"/>
    <x v="0"/>
    <x v="33"/>
    <d v="2026-11-05T00:00:00"/>
    <x v="83"/>
    <d v="1899-12-30T00:00:00"/>
    <d v="2026-11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384"/>
    <n v="2282600385"/>
    <x v="0"/>
    <x v="33"/>
    <d v="2026-11-05T00:00:00"/>
    <x v="83"/>
    <d v="1899-12-30T00:00:00"/>
    <d v="2026-11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385"/>
    <n v="2302600386"/>
    <x v="1"/>
    <x v="33"/>
    <d v="2026-11-06T00:00:00"/>
    <x v="83"/>
    <d v="1899-12-30T00:00:00"/>
    <d v="2026-12-0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386"/>
    <n v="2302600387"/>
    <x v="1"/>
    <x v="33"/>
    <d v="2026-11-06T00:00:00"/>
    <x v="83"/>
    <d v="1899-12-30T00:00:00"/>
    <d v="2026-12-0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387"/>
    <n v="2282600388"/>
    <x v="0"/>
    <x v="33"/>
    <d v="2026-11-06T00:00:00"/>
    <x v="83"/>
    <d v="1899-12-30T00:00:00"/>
    <d v="2026-11-2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388"/>
    <n v="2282600389"/>
    <x v="0"/>
    <x v="33"/>
    <d v="2026-11-09T00:00:00"/>
    <x v="83"/>
    <d v="1899-12-30T00:00:00"/>
    <d v="2026-11-2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389"/>
    <n v="2302600390"/>
    <x v="1"/>
    <x v="33"/>
    <d v="2026-11-09T00:00:00"/>
    <x v="83"/>
    <d v="1899-12-30T00:00:00"/>
    <d v="2026-12-0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390"/>
    <n v="2302600391"/>
    <x v="1"/>
    <x v="33"/>
    <d v="2026-11-09T00:00:00"/>
    <x v="83"/>
    <d v="1899-12-30T00:00:00"/>
    <d v="2026-12-0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391"/>
    <n v="2282600392"/>
    <x v="0"/>
    <x v="33"/>
    <d v="2026-11-10T00:00:00"/>
    <x v="83"/>
    <d v="1899-12-30T00:00:00"/>
    <d v="2026-11-3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392"/>
    <n v="2282600393"/>
    <x v="0"/>
    <x v="33"/>
    <d v="2026-11-10T00:00:00"/>
    <x v="83"/>
    <d v="1899-12-30T00:00:00"/>
    <d v="2026-11-3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393"/>
    <n v="2302600394"/>
    <x v="1"/>
    <x v="33"/>
    <d v="2026-11-10T00:00:00"/>
    <x v="83"/>
    <d v="1899-12-30T00:00:00"/>
    <d v="2026-12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394"/>
    <n v="2302600395"/>
    <x v="1"/>
    <x v="33"/>
    <d v="2026-11-11T00:00:00"/>
    <x v="83"/>
    <d v="1899-12-30T00:00:00"/>
    <d v="2026-12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395"/>
    <n v="2282600396"/>
    <x v="0"/>
    <x v="33"/>
    <d v="2026-11-11T00:00:00"/>
    <x v="83"/>
    <d v="1899-12-30T00:00:00"/>
    <d v="2026-12-0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396"/>
    <n v="2282600397"/>
    <x v="0"/>
    <x v="33"/>
    <d v="2026-11-11T00:00:00"/>
    <x v="83"/>
    <d v="1899-12-30T00:00:00"/>
    <d v="2026-12-0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397"/>
    <n v="2302600398"/>
    <x v="1"/>
    <x v="33"/>
    <d v="2026-11-12T00:00:00"/>
    <x v="83"/>
    <d v="1899-12-30T00:00:00"/>
    <d v="2026-12-1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398"/>
    <n v="2302600399"/>
    <x v="1"/>
    <x v="33"/>
    <d v="2026-11-12T00:00:00"/>
    <x v="83"/>
    <d v="1899-12-30T00:00:00"/>
    <d v="2026-12-1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399"/>
    <n v="2282600400"/>
    <x v="0"/>
    <x v="33"/>
    <d v="2026-11-12T00:00:00"/>
    <x v="83"/>
    <d v="1899-12-30T00:00:00"/>
    <d v="2026-12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400"/>
    <n v="2282600401"/>
    <x v="0"/>
    <x v="33"/>
    <d v="2026-11-13T00:00:00"/>
    <x v="83"/>
    <d v="1899-12-30T00:00:00"/>
    <d v="2026-12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401"/>
    <n v="2302600402"/>
    <x v="1"/>
    <x v="33"/>
    <d v="2026-11-13T00:00:00"/>
    <x v="83"/>
    <d v="1899-12-30T00:00:00"/>
    <d v="2026-12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402"/>
    <n v="2302600403"/>
    <x v="1"/>
    <x v="33"/>
    <d v="2026-11-13T00:00:00"/>
    <x v="83"/>
    <d v="1899-12-30T00:00:00"/>
    <d v="2026-12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403"/>
    <n v="2282600404"/>
    <x v="0"/>
    <x v="33"/>
    <d v="2026-11-16T00:00:00"/>
    <x v="83"/>
    <d v="1899-12-30T00:00:00"/>
    <d v="2026-12-0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404"/>
    <n v="2282600405"/>
    <x v="0"/>
    <x v="33"/>
    <d v="2026-11-16T00:00:00"/>
    <x v="83"/>
    <d v="1899-12-30T00:00:00"/>
    <d v="2026-12-0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405"/>
    <n v="2302600406"/>
    <x v="1"/>
    <x v="33"/>
    <d v="2026-11-16T00:00:00"/>
    <x v="83"/>
    <d v="1899-12-30T00:00:00"/>
    <d v="2026-12-1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406"/>
    <n v="2302600407"/>
    <x v="1"/>
    <x v="33"/>
    <d v="2026-11-17T00:00:00"/>
    <x v="83"/>
    <d v="1899-12-30T00:00:00"/>
    <d v="2026-12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407"/>
    <n v="2282600408"/>
    <x v="0"/>
    <x v="33"/>
    <d v="2026-11-17T00:00:00"/>
    <x v="83"/>
    <d v="1899-12-30T00:00:00"/>
    <d v="2026-12-0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408"/>
    <n v="2282600409"/>
    <x v="0"/>
    <x v="33"/>
    <d v="2026-11-17T00:00:00"/>
    <x v="83"/>
    <d v="1899-12-30T00:00:00"/>
    <d v="2026-12-0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409"/>
    <n v="2302600410"/>
    <x v="1"/>
    <x v="33"/>
    <d v="2026-11-18T00:00:00"/>
    <x v="83"/>
    <d v="1899-12-30T00:00:00"/>
    <d v="2026-12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410"/>
    <n v="2302600411"/>
    <x v="1"/>
    <x v="33"/>
    <d v="2026-11-18T00:00:00"/>
    <x v="83"/>
    <d v="1899-12-30T00:00:00"/>
    <d v="2026-12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411"/>
    <n v="2282600412"/>
    <x v="0"/>
    <x v="33"/>
    <d v="2026-11-18T00:00:00"/>
    <x v="83"/>
    <d v="1899-12-30T00:00:00"/>
    <d v="2026-12-0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412"/>
    <n v="2282600413"/>
    <x v="0"/>
    <x v="33"/>
    <d v="2026-11-19T00:00:00"/>
    <x v="83"/>
    <d v="1899-12-30T00:00:00"/>
    <d v="2026-12-0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413"/>
    <n v="2302600414"/>
    <x v="1"/>
    <x v="33"/>
    <d v="2026-11-19T00:00:00"/>
    <x v="83"/>
    <d v="1899-12-30T00:00:00"/>
    <d v="2026-12-1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414"/>
    <n v="2302600415"/>
    <x v="1"/>
    <x v="33"/>
    <d v="2026-11-19T00:00:00"/>
    <x v="83"/>
    <d v="1899-12-30T00:00:00"/>
    <d v="2026-12-1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415"/>
    <n v="2282600416"/>
    <x v="0"/>
    <x v="33"/>
    <d v="2026-11-20T00:00:00"/>
    <x v="83"/>
    <d v="1899-12-30T00:00:00"/>
    <d v="2026-12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16"/>
    <n v="2282600417"/>
    <x v="0"/>
    <x v="33"/>
    <d v="2026-11-20T00:00:00"/>
    <x v="83"/>
    <d v="1899-12-30T00:00:00"/>
    <d v="2026-12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17"/>
    <n v="2302600418"/>
    <x v="1"/>
    <x v="33"/>
    <d v="2026-11-20T00:00:00"/>
    <x v="83"/>
    <d v="1899-12-30T00:00:00"/>
    <d v="2026-12-2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18"/>
    <n v="2302600419"/>
    <x v="1"/>
    <x v="33"/>
    <d v="2026-11-23T00:00:00"/>
    <x v="83"/>
    <d v="1899-12-30T00:00:00"/>
    <d v="2026-12-2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19"/>
    <n v="2282600420"/>
    <x v="0"/>
    <x v="33"/>
    <d v="2026-11-23T00:00:00"/>
    <x v="83"/>
    <d v="1899-12-30T00:00:00"/>
    <d v="2026-12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20"/>
    <n v="2282600421"/>
    <x v="0"/>
    <x v="33"/>
    <d v="2026-11-23T00:00:00"/>
    <x v="83"/>
    <d v="1899-12-30T00:00:00"/>
    <d v="2026-12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21"/>
    <n v="2302600422"/>
    <x v="1"/>
    <x v="33"/>
    <d v="2026-11-24T00:00:00"/>
    <x v="83"/>
    <d v="1899-12-30T00:00:00"/>
    <d v="2026-12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22"/>
    <n v="2302600423"/>
    <x v="1"/>
    <x v="33"/>
    <d v="2026-11-24T00:00:00"/>
    <x v="83"/>
    <d v="1899-12-30T00:00:00"/>
    <d v="2026-12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23"/>
    <n v="2282600424"/>
    <x v="0"/>
    <x v="33"/>
    <d v="2026-11-24T00:00:00"/>
    <x v="83"/>
    <d v="1899-12-30T00:00:00"/>
    <d v="2026-12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24"/>
    <n v="2282600425"/>
    <x v="0"/>
    <x v="33"/>
    <d v="2026-11-25T00:00:00"/>
    <x v="83"/>
    <d v="1899-12-30T00:00:00"/>
    <d v="2026-12-1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25"/>
    <n v="2302600426"/>
    <x v="1"/>
    <x v="33"/>
    <d v="2026-11-25T00:00:00"/>
    <x v="83"/>
    <d v="1899-12-30T00:00:00"/>
    <d v="2026-12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26"/>
    <n v="2302600427"/>
    <x v="1"/>
    <x v="33"/>
    <d v="2026-11-25T00:00:00"/>
    <x v="83"/>
    <d v="1899-12-30T00:00:00"/>
    <d v="2026-12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27"/>
    <n v="2282600428"/>
    <x v="0"/>
    <x v="33"/>
    <d v="2026-11-26T00:00:00"/>
    <x v="83"/>
    <d v="1899-12-30T00:00:00"/>
    <d v="2026-12-1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28"/>
    <n v="2282600429"/>
    <x v="0"/>
    <x v="33"/>
    <d v="2026-11-26T00:00:00"/>
    <x v="83"/>
    <d v="1899-12-30T00:00:00"/>
    <d v="2026-12-1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29"/>
    <n v="2302600430"/>
    <x v="1"/>
    <x v="33"/>
    <d v="2026-11-26T00:00:00"/>
    <x v="83"/>
    <d v="1899-12-30T00:00:00"/>
    <d v="2026-12-2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30"/>
    <n v="2302600431"/>
    <x v="1"/>
    <x v="33"/>
    <d v="2026-11-27T00:00:00"/>
    <x v="83"/>
    <d v="1899-12-30T00:00:00"/>
    <d v="2026-12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31"/>
    <n v="2282600432"/>
    <x v="0"/>
    <x v="33"/>
    <d v="2026-11-27T00:00:00"/>
    <x v="83"/>
    <d v="1899-12-30T00:00:00"/>
    <d v="2026-12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32"/>
    <n v="2282600433"/>
    <x v="0"/>
    <x v="33"/>
    <d v="2026-11-27T00:00:00"/>
    <x v="83"/>
    <d v="1899-12-30T00:00:00"/>
    <d v="2026-12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33"/>
    <n v="2302600434"/>
    <x v="1"/>
    <x v="33"/>
    <d v="2026-11-30T00:00:00"/>
    <x v="83"/>
    <d v="1899-12-30T00:00:00"/>
    <d v="2026-12-3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34"/>
    <n v="2302600435"/>
    <x v="1"/>
    <x v="33"/>
    <d v="2026-11-30T00:00:00"/>
    <x v="83"/>
    <d v="1899-12-30T00:00:00"/>
    <d v="2026-12-3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35"/>
    <n v="2282600436"/>
    <x v="0"/>
    <x v="33"/>
    <d v="2026-11-30T00:00:00"/>
    <x v="83"/>
    <d v="1899-12-30T00:00:00"/>
    <d v="2026-12-2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36"/>
    <n v="2282600437"/>
    <x v="0"/>
    <x v="33"/>
    <d v="2026-12-01T00:00:00"/>
    <x v="83"/>
    <d v="1899-12-30T00:00:00"/>
    <d v="2026-12-2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37"/>
    <n v="2302600438"/>
    <x v="1"/>
    <x v="33"/>
    <d v="2026-12-01T00:00:00"/>
    <x v="83"/>
    <d v="1899-12-30T00:00:00"/>
    <d v="2026-12-3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38"/>
    <n v="2302600439"/>
    <x v="1"/>
    <x v="33"/>
    <d v="2026-12-01T00:00:00"/>
    <x v="83"/>
    <d v="1899-12-30T00:00:00"/>
    <d v="2026-12-3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39"/>
    <n v="2282600440"/>
    <x v="0"/>
    <x v="33"/>
    <d v="2026-12-02T00:00:00"/>
    <x v="83"/>
    <d v="1899-12-30T00:00:00"/>
    <d v="2026-12-2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40"/>
    <n v="2282600441"/>
    <x v="0"/>
    <x v="33"/>
    <d v="2026-12-02T00:00:00"/>
    <x v="83"/>
    <d v="1899-12-30T00:00:00"/>
    <d v="2026-12-2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41"/>
    <n v="2302600442"/>
    <x v="1"/>
    <x v="33"/>
    <d v="2026-12-02T00:00:00"/>
    <x v="83"/>
    <d v="1899-12-30T00:00:00"/>
    <d v="2027-01-0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42"/>
    <n v="2302600443"/>
    <x v="1"/>
    <x v="33"/>
    <d v="2026-12-03T00:00:00"/>
    <x v="83"/>
    <d v="1899-12-30T00:00:00"/>
    <d v="2027-01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43"/>
    <n v="2282600444"/>
    <x v="0"/>
    <x v="33"/>
    <d v="2026-12-03T00:00:00"/>
    <x v="83"/>
    <d v="1899-12-30T00:00:00"/>
    <d v="2026-12-2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44"/>
    <n v="2282600445"/>
    <x v="0"/>
    <x v="33"/>
    <d v="2026-12-03T00:00:00"/>
    <x v="83"/>
    <d v="1899-12-30T00:00:00"/>
    <d v="2026-12-2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45"/>
    <n v="2302600446"/>
    <x v="1"/>
    <x v="33"/>
    <d v="2026-12-04T00:00:00"/>
    <x v="83"/>
    <d v="1899-12-30T00:00:00"/>
    <d v="2027-01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46"/>
    <n v="2302600447"/>
    <x v="1"/>
    <x v="33"/>
    <d v="2026-12-04T00:00:00"/>
    <x v="83"/>
    <d v="1899-12-30T00:00:00"/>
    <d v="2027-01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47"/>
    <n v="2282600448"/>
    <x v="0"/>
    <x v="33"/>
    <d v="2026-12-04T00:00:00"/>
    <x v="83"/>
    <d v="1899-12-30T00:00:00"/>
    <d v="2026-12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48"/>
    <n v="2282600449"/>
    <x v="0"/>
    <x v="33"/>
    <d v="2026-12-07T00:00:00"/>
    <x v="83"/>
    <d v="1899-12-30T00:00:00"/>
    <d v="2026-12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49"/>
    <n v="2302600450"/>
    <x v="1"/>
    <x v="33"/>
    <d v="2026-12-07T00:00:00"/>
    <x v="83"/>
    <d v="1899-12-30T00:00:00"/>
    <d v="2027-01-0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50"/>
    <n v="2302600451"/>
    <x v="1"/>
    <x v="33"/>
    <d v="2026-12-07T00:00:00"/>
    <x v="83"/>
    <d v="1899-12-30T00:00:00"/>
    <d v="2027-01-0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51"/>
    <n v="2282600452"/>
    <x v="0"/>
    <x v="33"/>
    <d v="2026-12-09T00:00:00"/>
    <x v="83"/>
    <d v="1899-12-30T00:00:00"/>
    <d v="2026-12-2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52"/>
    <n v="2282600453"/>
    <x v="0"/>
    <x v="33"/>
    <d v="2026-12-09T00:00:00"/>
    <x v="83"/>
    <d v="1899-12-30T00:00:00"/>
    <d v="2026-12-2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53"/>
    <n v="2302600454"/>
    <x v="1"/>
    <x v="33"/>
    <d v="2026-12-09T00:00:00"/>
    <x v="83"/>
    <d v="1899-12-30T00:00:00"/>
    <d v="2027-01-0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54"/>
    <n v="2302600455"/>
    <x v="1"/>
    <x v="33"/>
    <d v="2026-12-10T00:00:00"/>
    <x v="83"/>
    <d v="1899-12-30T00:00:00"/>
    <d v="2027-01-0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55"/>
    <n v="2282600456"/>
    <x v="0"/>
    <x v="33"/>
    <d v="2026-12-10T00:00:00"/>
    <x v="83"/>
    <d v="1899-12-30T00:00:00"/>
    <d v="2026-12-3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56"/>
    <n v="2282600457"/>
    <x v="0"/>
    <x v="33"/>
    <d v="2026-12-10T00:00:00"/>
    <x v="83"/>
    <d v="1899-12-30T00:00:00"/>
    <d v="2026-12-3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57"/>
    <n v="2302600458"/>
    <x v="1"/>
    <x v="33"/>
    <d v="2026-12-11T00:00:00"/>
    <x v="83"/>
    <d v="1899-12-30T00:00:00"/>
    <d v="2027-01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58"/>
    <n v="2302600459"/>
    <x v="1"/>
    <x v="33"/>
    <d v="2026-12-11T00:00:00"/>
    <x v="83"/>
    <d v="1899-12-30T00:00:00"/>
    <d v="2027-01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59"/>
    <n v="2282600460"/>
    <x v="0"/>
    <x v="33"/>
    <d v="2026-12-11T00:00:00"/>
    <x v="83"/>
    <d v="1899-12-30T00:00:00"/>
    <d v="2026-12-3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60"/>
    <n v="2282600461"/>
    <x v="0"/>
    <x v="33"/>
    <d v="2026-12-14T00:00:00"/>
    <x v="83"/>
    <d v="1899-12-30T00:00:00"/>
    <d v="2027-01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61"/>
    <n v="2302600462"/>
    <x v="1"/>
    <x v="33"/>
    <d v="2026-12-14T00:00:00"/>
    <x v="83"/>
    <d v="1899-12-30T00:00:00"/>
    <d v="2027-01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62"/>
    <n v="2302600463"/>
    <x v="1"/>
    <x v="33"/>
    <d v="2026-12-14T00:00:00"/>
    <x v="83"/>
    <d v="1899-12-30T00:00:00"/>
    <d v="2027-01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63"/>
    <n v="2282600464"/>
    <x v="0"/>
    <x v="33"/>
    <d v="2026-12-15T00:00:00"/>
    <x v="83"/>
    <d v="1899-12-30T00:00:00"/>
    <d v="2027-01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64"/>
    <n v="2282600465"/>
    <x v="0"/>
    <x v="33"/>
    <d v="2026-12-15T00:00:00"/>
    <x v="83"/>
    <d v="1899-12-30T00:00:00"/>
    <d v="2027-01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65"/>
    <n v="2302600466"/>
    <x v="1"/>
    <x v="33"/>
    <d v="2026-12-15T00:00:00"/>
    <x v="83"/>
    <d v="1899-12-30T00:00:00"/>
    <d v="2027-01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66"/>
    <n v="2302600467"/>
    <x v="1"/>
    <x v="33"/>
    <d v="2026-12-16T00:00:00"/>
    <x v="83"/>
    <d v="1899-12-30T00:00:00"/>
    <d v="2027-01-1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67"/>
    <n v="2282600468"/>
    <x v="0"/>
    <x v="33"/>
    <d v="2026-12-16T00:00:00"/>
    <x v="83"/>
    <d v="1899-12-30T00:00:00"/>
    <d v="2027-01-0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68"/>
    <n v="2282600469"/>
    <x v="0"/>
    <x v="33"/>
    <d v="2026-12-16T00:00:00"/>
    <x v="83"/>
    <d v="1899-12-30T00:00:00"/>
    <d v="2027-01-0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69"/>
    <n v="2302600470"/>
    <x v="1"/>
    <x v="33"/>
    <d v="2026-12-17T00:00:00"/>
    <x v="83"/>
    <d v="1899-12-30T00:00:00"/>
    <d v="2027-01-1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70"/>
    <n v="2302600471"/>
    <x v="1"/>
    <x v="33"/>
    <d v="2026-12-17T00:00:00"/>
    <x v="83"/>
    <d v="1899-12-30T00:00:00"/>
    <d v="2027-01-1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71"/>
    <n v="2282600472"/>
    <x v="0"/>
    <x v="33"/>
    <d v="2026-12-17T00:00:00"/>
    <x v="83"/>
    <d v="1899-12-30T00:00:00"/>
    <d v="2027-01-0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72"/>
    <n v="2282600473"/>
    <x v="0"/>
    <x v="33"/>
    <d v="2026-12-18T00:00:00"/>
    <x v="83"/>
    <d v="1899-12-30T00:00:00"/>
    <d v="2027-01-0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73"/>
    <n v="2302600474"/>
    <x v="1"/>
    <x v="33"/>
    <d v="2026-12-18T00:00:00"/>
    <x v="83"/>
    <d v="1899-12-30T00:00:00"/>
    <d v="2027-01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74"/>
    <n v="2302600475"/>
    <x v="1"/>
    <x v="33"/>
    <d v="2026-12-18T00:00:00"/>
    <x v="83"/>
    <d v="1899-12-30T00:00:00"/>
    <d v="2027-01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75"/>
    <n v="2282600476"/>
    <x v="0"/>
    <x v="33"/>
    <d v="2026-12-21T00:00:00"/>
    <x v="83"/>
    <d v="1899-12-30T00:00:00"/>
    <d v="2027-01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76"/>
    <n v="2282600477"/>
    <x v="0"/>
    <x v="33"/>
    <d v="2026-12-21T00:00:00"/>
    <x v="83"/>
    <d v="1899-12-30T00:00:00"/>
    <d v="2027-01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77"/>
    <n v="2302600478"/>
    <x v="1"/>
    <x v="33"/>
    <d v="2026-12-21T00:00:00"/>
    <x v="83"/>
    <d v="1899-12-30T00:00:00"/>
    <d v="2027-01-2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78"/>
    <n v="2302600479"/>
    <x v="1"/>
    <x v="33"/>
    <d v="2026-12-22T00:00:00"/>
    <x v="83"/>
    <d v="1899-12-30T00:00:00"/>
    <d v="2027-01-2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79"/>
    <n v="2282600480"/>
    <x v="0"/>
    <x v="33"/>
    <d v="2026-12-22T00:00:00"/>
    <x v="83"/>
    <d v="1899-12-30T00:00:00"/>
    <d v="2027-01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480"/>
    <n v="2282600481"/>
    <x v="0"/>
    <x v="33"/>
    <d v="2026-12-22T00:00:00"/>
    <x v="83"/>
    <d v="1899-12-30T00:00:00"/>
    <d v="2027-01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481"/>
    <n v="2302600482"/>
    <x v="1"/>
    <x v="33"/>
    <d v="2026-12-23T00:00:00"/>
    <x v="83"/>
    <d v="1899-12-30T00:00:00"/>
    <d v="2027-01-2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482"/>
    <n v="2302600483"/>
    <x v="1"/>
    <x v="33"/>
    <d v="2026-12-23T00:00:00"/>
    <x v="83"/>
    <d v="1899-12-30T00:00:00"/>
    <d v="2027-01-2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483"/>
    <n v="2282600484"/>
    <x v="0"/>
    <x v="33"/>
    <d v="2026-12-23T00:00:00"/>
    <x v="83"/>
    <d v="1899-12-30T00:00:00"/>
    <d v="2027-01-1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484"/>
    <n v="2282600485"/>
    <x v="0"/>
    <x v="33"/>
    <d v="2026-12-28T00:00:00"/>
    <x v="83"/>
    <d v="1899-12-30T00:00:00"/>
    <d v="2027-01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485"/>
    <n v="2302600486"/>
    <x v="1"/>
    <x v="33"/>
    <d v="2026-12-28T00:00:00"/>
    <x v="83"/>
    <d v="1899-12-30T00:00:00"/>
    <d v="2027-01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486"/>
    <n v="2302600487"/>
    <x v="1"/>
    <x v="33"/>
    <d v="2026-12-28T00:00:00"/>
    <x v="83"/>
    <d v="1899-12-30T00:00:00"/>
    <d v="2027-01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487"/>
    <n v="2282600488"/>
    <x v="0"/>
    <x v="33"/>
    <d v="2026-12-29T00:00:00"/>
    <x v="83"/>
    <d v="1899-12-30T00:00:00"/>
    <d v="2027-01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488"/>
    <n v="2282600489"/>
    <x v="0"/>
    <x v="33"/>
    <d v="2026-12-29T00:00:00"/>
    <x v="83"/>
    <d v="1899-12-30T00:00:00"/>
    <d v="2027-01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489"/>
    <n v="2302600490"/>
    <x v="1"/>
    <x v="33"/>
    <d v="2026-12-29T00:00:00"/>
    <x v="83"/>
    <d v="1899-12-30T00:00:00"/>
    <d v="2027-01-2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490"/>
    <n v="2302600491"/>
    <x v="1"/>
    <x v="33"/>
    <d v="2026-12-30T00:00:00"/>
    <x v="83"/>
    <d v="1899-12-30T00:00:00"/>
    <d v="2027-01-2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491"/>
    <n v="2282600492"/>
    <x v="0"/>
    <x v="33"/>
    <d v="2026-12-30T00:00:00"/>
    <x v="83"/>
    <d v="1899-12-30T00:00:00"/>
    <d v="2027-01-1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492"/>
    <n v="2282600493"/>
    <x v="0"/>
    <x v="33"/>
    <d v="2026-12-30T00:00:00"/>
    <x v="83"/>
    <d v="1899-12-30T00:00:00"/>
    <d v="2027-01-1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493"/>
    <n v="2302600494"/>
    <x v="1"/>
    <x v="33"/>
    <d v="2027-01-04T00:00:00"/>
    <x v="83"/>
    <d v="1899-12-30T00:00:00"/>
    <d v="2027-02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494"/>
    <n v="2302600495"/>
    <x v="1"/>
    <x v="33"/>
    <d v="2027-01-04T00:00:00"/>
    <x v="83"/>
    <d v="1899-12-30T00:00:00"/>
    <d v="2027-02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495"/>
    <n v="2282600496"/>
    <x v="0"/>
    <x v="33"/>
    <d v="2027-01-04T00:00:00"/>
    <x v="83"/>
    <d v="1899-12-30T00:00:00"/>
    <d v="2027-01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496"/>
    <n v="2282600497"/>
    <x v="0"/>
    <x v="33"/>
    <d v="2027-01-05T00:00:00"/>
    <x v="83"/>
    <d v="1899-12-30T00:00:00"/>
    <d v="2027-01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497"/>
    <n v="2302600498"/>
    <x v="1"/>
    <x v="33"/>
    <d v="2027-01-05T00:00:00"/>
    <x v="83"/>
    <d v="1899-12-30T00:00:00"/>
    <d v="2027-02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498"/>
    <n v="2302600499"/>
    <x v="1"/>
    <x v="33"/>
    <d v="2027-01-05T00:00:00"/>
    <x v="83"/>
    <d v="1899-12-30T00:00:00"/>
    <d v="2027-02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499"/>
    <n v="2282600500"/>
    <x v="0"/>
    <x v="33"/>
    <d v="2027-01-06T00:00:00"/>
    <x v="83"/>
    <d v="1899-12-30T00:00:00"/>
    <d v="2027-01-2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500"/>
    <n v="2282600501"/>
    <x v="0"/>
    <x v="33"/>
    <d v="2027-01-06T00:00:00"/>
    <x v="83"/>
    <d v="1899-12-30T00:00:00"/>
    <d v="2027-01-2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501"/>
    <n v="2302600502"/>
    <x v="1"/>
    <x v="33"/>
    <d v="2027-01-06T00:00:00"/>
    <x v="83"/>
    <d v="1899-12-30T00:00:00"/>
    <d v="2027-02-0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502"/>
    <n v="2302600503"/>
    <x v="1"/>
    <x v="33"/>
    <d v="2027-01-07T00:00:00"/>
    <x v="83"/>
    <d v="1899-12-30T00:00:00"/>
    <d v="2027-02-0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503"/>
    <n v="2282600504"/>
    <x v="0"/>
    <x v="33"/>
    <d v="2027-01-07T00:00:00"/>
    <x v="83"/>
    <d v="1899-12-30T00:00:00"/>
    <d v="2027-01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504"/>
    <n v="2282600505"/>
    <x v="0"/>
    <x v="33"/>
    <d v="2027-01-07T00:00:00"/>
    <x v="83"/>
    <d v="1899-12-30T00:00:00"/>
    <d v="2027-01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505"/>
    <n v="2302600506"/>
    <x v="1"/>
    <x v="33"/>
    <d v="2027-01-08T00:00:00"/>
    <x v="83"/>
    <d v="1899-12-30T00:00:00"/>
    <d v="2027-02-0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506"/>
    <n v="2302600507"/>
    <x v="1"/>
    <x v="33"/>
    <d v="2027-01-08T00:00:00"/>
    <x v="83"/>
    <d v="1899-12-30T00:00:00"/>
    <d v="2027-02-0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507"/>
    <n v="2282600508"/>
    <x v="0"/>
    <x v="33"/>
    <d v="2027-01-08T00:00:00"/>
    <x v="83"/>
    <d v="1899-12-30T00:00:00"/>
    <d v="2027-01-2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508"/>
    <n v="2282600509"/>
    <x v="0"/>
    <x v="33"/>
    <d v="2027-01-11T00:00:00"/>
    <x v="83"/>
    <d v="1899-12-30T00:00:00"/>
    <d v="2027-01-3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509"/>
    <n v="2302600510"/>
    <x v="1"/>
    <x v="33"/>
    <d v="2027-01-11T00:00:00"/>
    <x v="83"/>
    <d v="1899-12-30T00:00:00"/>
    <d v="2027-02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510"/>
    <n v="2302600511"/>
    <x v="1"/>
    <x v="33"/>
    <d v="2027-01-11T00:00:00"/>
    <x v="83"/>
    <d v="1899-12-30T00:00:00"/>
    <d v="2027-02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511"/>
    <n v="2282600512"/>
    <x v="0"/>
    <x v="33"/>
    <d v="2027-01-12T00:00:00"/>
    <x v="83"/>
    <d v="1899-12-30T00:00:00"/>
    <d v="2027-02-0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12"/>
    <n v="2282600513"/>
    <x v="0"/>
    <x v="33"/>
    <d v="2027-01-12T00:00:00"/>
    <x v="83"/>
    <d v="1899-12-30T00:00:00"/>
    <d v="2027-02-0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13"/>
    <n v="2302600514"/>
    <x v="1"/>
    <x v="33"/>
    <d v="2027-01-12T00:00:00"/>
    <x v="83"/>
    <d v="1899-12-30T00:00:00"/>
    <d v="2027-02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14"/>
    <n v="2302600515"/>
    <x v="1"/>
    <x v="33"/>
    <d v="2027-01-13T00:00:00"/>
    <x v="83"/>
    <d v="1899-12-30T00:00:00"/>
    <d v="2027-02-1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15"/>
    <n v="2282600516"/>
    <x v="0"/>
    <x v="33"/>
    <d v="2027-01-13T00:00:00"/>
    <x v="83"/>
    <d v="1899-12-30T00:00:00"/>
    <d v="2027-02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16"/>
    <n v="2282600517"/>
    <x v="0"/>
    <x v="33"/>
    <d v="2027-01-13T00:00:00"/>
    <x v="83"/>
    <d v="1899-12-30T00:00:00"/>
    <d v="2027-02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17"/>
    <n v="2302600518"/>
    <x v="1"/>
    <x v="33"/>
    <d v="2027-01-14T00:00:00"/>
    <x v="83"/>
    <d v="1899-12-30T00:00:00"/>
    <d v="2027-02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18"/>
    <n v="2302600519"/>
    <x v="1"/>
    <x v="33"/>
    <d v="2027-01-14T00:00:00"/>
    <x v="83"/>
    <d v="1899-12-30T00:00:00"/>
    <d v="2027-02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19"/>
    <n v="2282600520"/>
    <x v="0"/>
    <x v="33"/>
    <d v="2027-01-14T00:00:00"/>
    <x v="83"/>
    <d v="1899-12-30T00:00:00"/>
    <d v="2027-02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20"/>
    <n v="2282600521"/>
    <x v="0"/>
    <x v="33"/>
    <d v="2027-01-15T00:00:00"/>
    <x v="83"/>
    <d v="1899-12-30T00:00:00"/>
    <d v="2027-02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21"/>
    <n v="2302600522"/>
    <x v="1"/>
    <x v="33"/>
    <d v="2027-01-15T00:00:00"/>
    <x v="83"/>
    <d v="1899-12-30T00:00:00"/>
    <d v="2027-02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22"/>
    <n v="2302600523"/>
    <x v="1"/>
    <x v="33"/>
    <d v="2027-01-15T00:00:00"/>
    <x v="83"/>
    <d v="1899-12-30T00:00:00"/>
    <d v="2027-02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23"/>
    <n v="2282600524"/>
    <x v="0"/>
    <x v="33"/>
    <d v="2027-01-18T00:00:00"/>
    <x v="83"/>
    <d v="1899-12-30T00:00:00"/>
    <d v="2027-02-0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24"/>
    <n v="2282600525"/>
    <x v="0"/>
    <x v="33"/>
    <d v="2027-01-18T00:00:00"/>
    <x v="83"/>
    <d v="1899-12-30T00:00:00"/>
    <d v="2027-02-0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25"/>
    <n v="2302600526"/>
    <x v="1"/>
    <x v="33"/>
    <d v="2027-01-18T00:00:00"/>
    <x v="83"/>
    <d v="1899-12-30T00:00:00"/>
    <d v="2027-02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26"/>
    <n v="2302600527"/>
    <x v="1"/>
    <x v="33"/>
    <d v="2027-01-19T00:00:00"/>
    <x v="83"/>
    <d v="1899-12-30T00:00:00"/>
    <d v="2027-02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27"/>
    <n v="2282600528"/>
    <x v="0"/>
    <x v="33"/>
    <d v="2027-01-19T00:00:00"/>
    <x v="83"/>
    <d v="1899-12-30T00:00:00"/>
    <d v="2027-02-0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28"/>
    <n v="2282600529"/>
    <x v="0"/>
    <x v="33"/>
    <d v="2027-01-19T00:00:00"/>
    <x v="83"/>
    <d v="1899-12-30T00:00:00"/>
    <d v="2027-02-0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29"/>
    <n v="2302600530"/>
    <x v="1"/>
    <x v="33"/>
    <d v="2027-01-20T00:00:00"/>
    <x v="83"/>
    <d v="1899-12-30T00:00:00"/>
    <d v="2027-02-1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30"/>
    <n v="2302600531"/>
    <x v="1"/>
    <x v="33"/>
    <d v="2027-01-20T00:00:00"/>
    <x v="83"/>
    <d v="1899-12-30T00:00:00"/>
    <d v="2027-02-1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31"/>
    <n v="2282600532"/>
    <x v="0"/>
    <x v="33"/>
    <d v="2027-01-20T00:00:00"/>
    <x v="83"/>
    <d v="1899-12-30T00:00:00"/>
    <d v="2027-02-0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32"/>
    <n v="2282600533"/>
    <x v="0"/>
    <x v="33"/>
    <d v="2027-01-21T00:00:00"/>
    <x v="83"/>
    <d v="1899-12-30T00:00:00"/>
    <d v="2027-02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33"/>
    <n v="2302600534"/>
    <x v="1"/>
    <x v="33"/>
    <d v="2027-01-21T00:00:00"/>
    <x v="83"/>
    <d v="1899-12-30T00:00:00"/>
    <d v="2027-02-2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34"/>
    <n v="2302600535"/>
    <x v="1"/>
    <x v="33"/>
    <d v="2027-01-21T00:00:00"/>
    <x v="83"/>
    <d v="1899-12-30T00:00:00"/>
    <d v="2027-02-2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35"/>
    <n v="2282600536"/>
    <x v="0"/>
    <x v="33"/>
    <d v="2027-01-22T00:00:00"/>
    <x v="83"/>
    <d v="1899-12-30T00:00:00"/>
    <d v="2027-02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36"/>
    <n v="2282600537"/>
    <x v="0"/>
    <x v="33"/>
    <d v="2027-01-22T00:00:00"/>
    <x v="83"/>
    <d v="1899-12-30T00:00:00"/>
    <d v="2027-02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37"/>
    <n v="2302600538"/>
    <x v="1"/>
    <x v="33"/>
    <d v="2027-01-22T00:00:00"/>
    <x v="83"/>
    <d v="1899-12-30T00:00:00"/>
    <d v="2027-02-2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38"/>
    <n v="2302600539"/>
    <x v="1"/>
    <x v="33"/>
    <d v="2027-01-25T00:00:00"/>
    <x v="83"/>
    <d v="1899-12-30T00:00:00"/>
    <d v="2027-02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39"/>
    <n v="2282600540"/>
    <x v="0"/>
    <x v="33"/>
    <d v="2027-01-25T00:00:00"/>
    <x v="83"/>
    <d v="1899-12-30T00:00:00"/>
    <d v="2027-02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40"/>
    <n v="2282600541"/>
    <x v="0"/>
    <x v="33"/>
    <d v="2027-01-25T00:00:00"/>
    <x v="83"/>
    <d v="1899-12-30T00:00:00"/>
    <d v="2027-02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41"/>
    <n v="2302600542"/>
    <x v="1"/>
    <x v="33"/>
    <d v="2027-01-26T00:00:00"/>
    <x v="83"/>
    <d v="1899-12-30T00:00:00"/>
    <d v="2027-02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42"/>
    <n v="2302600543"/>
    <x v="1"/>
    <x v="33"/>
    <d v="2027-01-26T00:00:00"/>
    <x v="83"/>
    <d v="1899-12-30T00:00:00"/>
    <d v="2027-02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43"/>
    <n v="2282600544"/>
    <x v="0"/>
    <x v="33"/>
    <d v="2027-01-26T00:00:00"/>
    <x v="83"/>
    <d v="1899-12-30T00:00:00"/>
    <d v="2027-02-1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44"/>
    <n v="2282600545"/>
    <x v="0"/>
    <x v="33"/>
    <d v="2027-01-27T00:00:00"/>
    <x v="83"/>
    <d v="1899-12-30T00:00:00"/>
    <d v="2027-02-1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45"/>
    <n v="2302600546"/>
    <x v="1"/>
    <x v="33"/>
    <d v="2027-01-27T00:00:00"/>
    <x v="83"/>
    <d v="1899-12-30T00:00:00"/>
    <d v="2027-02-2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46"/>
    <n v="2302600547"/>
    <x v="1"/>
    <x v="33"/>
    <d v="2027-01-27T00:00:00"/>
    <x v="83"/>
    <d v="1899-12-30T00:00:00"/>
    <d v="2027-02-2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47"/>
    <n v="2282600548"/>
    <x v="0"/>
    <x v="33"/>
    <d v="2027-01-28T00:00:00"/>
    <x v="83"/>
    <d v="1899-12-30T00:00:00"/>
    <d v="2027-02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48"/>
    <n v="2282600549"/>
    <x v="0"/>
    <x v="33"/>
    <d v="2027-01-28T00:00:00"/>
    <x v="83"/>
    <d v="1899-12-30T00:00:00"/>
    <d v="2027-02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49"/>
    <n v="2302600550"/>
    <x v="1"/>
    <x v="33"/>
    <d v="2027-01-28T00:00:00"/>
    <x v="83"/>
    <d v="1899-12-30T00:00:00"/>
    <d v="2027-02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50"/>
    <n v="2302600551"/>
    <x v="1"/>
    <x v="33"/>
    <d v="2027-01-29T00:00:00"/>
    <x v="83"/>
    <d v="1899-12-30T00:00:00"/>
    <d v="2027-02-2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51"/>
    <n v="2282600552"/>
    <x v="0"/>
    <x v="33"/>
    <d v="2027-01-29T00:00:00"/>
    <x v="83"/>
    <d v="1899-12-30T00:00:00"/>
    <d v="2027-02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52"/>
    <n v="2282600553"/>
    <x v="0"/>
    <x v="33"/>
    <d v="2027-01-29T00:00:00"/>
    <x v="83"/>
    <d v="1899-12-30T00:00:00"/>
    <d v="2027-02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53"/>
    <n v="2302600554"/>
    <x v="1"/>
    <x v="33"/>
    <d v="2027-02-01T00:00:00"/>
    <x v="83"/>
    <d v="1899-12-30T00:00:00"/>
    <d v="2027-03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54"/>
    <n v="2302600555"/>
    <x v="1"/>
    <x v="33"/>
    <d v="2027-02-01T00:00:00"/>
    <x v="83"/>
    <d v="1899-12-30T00:00:00"/>
    <d v="2027-03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55"/>
    <n v="2282600556"/>
    <x v="0"/>
    <x v="33"/>
    <d v="2027-02-01T00:00:00"/>
    <x v="83"/>
    <d v="1899-12-30T00:00:00"/>
    <d v="2027-02-2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56"/>
    <n v="2282600557"/>
    <x v="0"/>
    <x v="33"/>
    <d v="2027-02-02T00:00:00"/>
    <x v="83"/>
    <d v="1899-12-30T00:00:00"/>
    <d v="2027-02-2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57"/>
    <n v="2302600558"/>
    <x v="1"/>
    <x v="33"/>
    <d v="2027-02-02T00:00:00"/>
    <x v="83"/>
    <d v="1899-12-30T00:00:00"/>
    <d v="2027-03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58"/>
    <n v="2302600559"/>
    <x v="1"/>
    <x v="33"/>
    <d v="2027-02-02T00:00:00"/>
    <x v="83"/>
    <d v="1899-12-30T00:00:00"/>
    <d v="2027-03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59"/>
    <n v="2282600560"/>
    <x v="0"/>
    <x v="33"/>
    <d v="2027-02-03T00:00:00"/>
    <x v="83"/>
    <d v="1899-12-30T00:00:00"/>
    <d v="2027-02-2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60"/>
    <n v="2282600561"/>
    <x v="0"/>
    <x v="33"/>
    <d v="2027-02-03T00:00:00"/>
    <x v="83"/>
    <d v="1899-12-30T00:00:00"/>
    <d v="2027-02-2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61"/>
    <n v="2302600562"/>
    <x v="1"/>
    <x v="33"/>
    <d v="2027-02-03T00:00:00"/>
    <x v="83"/>
    <d v="1899-12-30T00:00:00"/>
    <d v="2027-03-0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62"/>
    <n v="2302600563"/>
    <x v="1"/>
    <x v="33"/>
    <d v="2027-02-04T00:00:00"/>
    <x v="83"/>
    <d v="1899-12-30T00:00:00"/>
    <d v="2027-03-0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63"/>
    <n v="2282600564"/>
    <x v="0"/>
    <x v="33"/>
    <d v="2027-02-04T00:00:00"/>
    <x v="83"/>
    <d v="1899-12-30T00:00:00"/>
    <d v="2027-02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64"/>
    <n v="2282600565"/>
    <x v="0"/>
    <x v="33"/>
    <d v="2027-02-04T00:00:00"/>
    <x v="83"/>
    <d v="1899-12-30T00:00:00"/>
    <d v="2027-02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65"/>
    <n v="2302600566"/>
    <x v="1"/>
    <x v="33"/>
    <d v="2027-02-05T00:00:00"/>
    <x v="83"/>
    <d v="1899-12-30T00:00:00"/>
    <d v="2027-03-0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66"/>
    <n v="2302600567"/>
    <x v="1"/>
    <x v="33"/>
    <d v="2027-02-05T00:00:00"/>
    <x v="83"/>
    <d v="1899-12-30T00:00:00"/>
    <d v="2027-03-0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67"/>
    <n v="2282600568"/>
    <x v="0"/>
    <x v="33"/>
    <d v="2027-02-05T00:00:00"/>
    <x v="83"/>
    <d v="1899-12-30T00:00:00"/>
    <d v="2027-02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68"/>
    <n v="2282600569"/>
    <x v="0"/>
    <x v="33"/>
    <d v="2027-02-08T00:00:00"/>
    <x v="83"/>
    <d v="1899-12-30T00:00:00"/>
    <d v="2027-02-2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69"/>
    <n v="2302600570"/>
    <x v="1"/>
    <x v="33"/>
    <d v="2027-02-08T00:00:00"/>
    <x v="83"/>
    <d v="1899-12-30T00:00:00"/>
    <d v="2027-03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70"/>
    <n v="2302600571"/>
    <x v="1"/>
    <x v="33"/>
    <d v="2027-02-08T00:00:00"/>
    <x v="83"/>
    <d v="1899-12-30T00:00:00"/>
    <d v="2027-03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71"/>
    <n v="2282600572"/>
    <x v="0"/>
    <x v="33"/>
    <d v="2027-02-09T00:00:00"/>
    <x v="83"/>
    <d v="1899-12-30T00:00:00"/>
    <d v="2027-03-0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72"/>
    <n v="2282600573"/>
    <x v="0"/>
    <x v="33"/>
    <d v="2027-02-09T00:00:00"/>
    <x v="83"/>
    <d v="1899-12-30T00:00:00"/>
    <d v="2027-03-0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73"/>
    <n v="2302600574"/>
    <x v="1"/>
    <x v="33"/>
    <d v="2027-02-09T00:00:00"/>
    <x v="83"/>
    <d v="1899-12-30T00:00:00"/>
    <d v="2027-03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74"/>
    <n v="2302600575"/>
    <x v="1"/>
    <x v="33"/>
    <d v="2027-02-10T00:00:00"/>
    <x v="83"/>
    <d v="1899-12-30T00:00:00"/>
    <d v="2027-03-1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75"/>
    <n v="2282600576"/>
    <x v="0"/>
    <x v="33"/>
    <d v="2027-02-10T00:00:00"/>
    <x v="83"/>
    <d v="1899-12-30T00:00:00"/>
    <d v="2027-03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76"/>
    <n v="2282600577"/>
    <x v="0"/>
    <x v="33"/>
    <d v="2027-02-10T00:00:00"/>
    <x v="83"/>
    <d v="1899-12-30T00:00:00"/>
    <d v="2027-03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77"/>
    <n v="2302600578"/>
    <x v="1"/>
    <x v="33"/>
    <d v="2027-02-11T00:00:00"/>
    <x v="83"/>
    <d v="1899-12-30T00:00:00"/>
    <d v="2027-03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78"/>
    <n v="2302600579"/>
    <x v="1"/>
    <x v="33"/>
    <d v="2027-02-11T00:00:00"/>
    <x v="83"/>
    <d v="1899-12-30T00:00:00"/>
    <d v="2027-03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79"/>
    <n v="2282600580"/>
    <x v="0"/>
    <x v="33"/>
    <d v="2027-02-11T00:00:00"/>
    <x v="83"/>
    <d v="1899-12-30T00:00:00"/>
    <d v="2027-03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80"/>
    <n v="2282600581"/>
    <x v="0"/>
    <x v="33"/>
    <d v="2027-02-12T00:00:00"/>
    <x v="83"/>
    <d v="1899-12-30T00:00:00"/>
    <d v="2027-03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81"/>
    <n v="2302600582"/>
    <x v="1"/>
    <x v="33"/>
    <d v="2027-02-12T00:00:00"/>
    <x v="83"/>
    <d v="1899-12-30T00:00:00"/>
    <d v="2027-03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82"/>
    <n v="2302600583"/>
    <x v="1"/>
    <x v="33"/>
    <d v="2027-02-12T00:00:00"/>
    <x v="83"/>
    <d v="1899-12-30T00:00:00"/>
    <d v="2027-03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83"/>
    <n v="2282600584"/>
    <x v="0"/>
    <x v="33"/>
    <d v="2027-02-15T00:00:00"/>
    <x v="83"/>
    <d v="1899-12-30T00:00:00"/>
    <d v="2027-03-0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84"/>
    <n v="2282600585"/>
    <x v="0"/>
    <x v="33"/>
    <d v="2027-02-15T00:00:00"/>
    <x v="83"/>
    <d v="1899-12-30T00:00:00"/>
    <d v="2027-03-0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85"/>
    <n v="2302600586"/>
    <x v="1"/>
    <x v="33"/>
    <d v="2027-02-15T00:00:00"/>
    <x v="83"/>
    <d v="1899-12-30T00:00:00"/>
    <d v="2027-03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86"/>
    <n v="2302600587"/>
    <x v="1"/>
    <x v="33"/>
    <d v="2027-02-16T00:00:00"/>
    <x v="83"/>
    <d v="1899-12-30T00:00:00"/>
    <d v="2027-03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87"/>
    <n v="2282600588"/>
    <x v="0"/>
    <x v="33"/>
    <d v="2027-02-16T00:00:00"/>
    <x v="83"/>
    <d v="1899-12-30T00:00:00"/>
    <d v="2027-03-0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88"/>
    <n v="2282600589"/>
    <x v="0"/>
    <x v="33"/>
    <d v="2027-02-16T00:00:00"/>
    <x v="83"/>
    <d v="1899-12-30T00:00:00"/>
    <d v="2027-03-0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89"/>
    <n v="2302600590"/>
    <x v="1"/>
    <x v="33"/>
    <d v="2027-02-17T00:00:00"/>
    <x v="83"/>
    <d v="1899-12-30T00:00:00"/>
    <d v="2027-03-1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90"/>
    <n v="2302600591"/>
    <x v="1"/>
    <x v="33"/>
    <d v="2027-02-17T00:00:00"/>
    <x v="83"/>
    <d v="1899-12-30T00:00:00"/>
    <d v="2027-03-1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91"/>
    <n v="2282600592"/>
    <x v="0"/>
    <x v="33"/>
    <d v="2027-02-17T00:00:00"/>
    <x v="83"/>
    <d v="1899-12-30T00:00:00"/>
    <d v="2027-03-0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92"/>
    <n v="2282600593"/>
    <x v="0"/>
    <x v="33"/>
    <d v="2027-02-18T00:00:00"/>
    <x v="83"/>
    <d v="1899-12-30T00:00:00"/>
    <d v="2027-03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93"/>
    <n v="2302600594"/>
    <x v="1"/>
    <x v="33"/>
    <d v="2027-02-18T00:00:00"/>
    <x v="83"/>
    <d v="1899-12-30T00:00:00"/>
    <d v="2027-03-2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94"/>
    <n v="2302600595"/>
    <x v="1"/>
    <x v="33"/>
    <d v="2027-02-18T00:00:00"/>
    <x v="83"/>
    <d v="1899-12-30T00:00:00"/>
    <d v="2027-03-2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95"/>
    <n v="2282600596"/>
    <x v="0"/>
    <x v="33"/>
    <d v="2027-02-19T00:00:00"/>
    <x v="83"/>
    <d v="1899-12-30T00:00:00"/>
    <d v="2027-03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96"/>
    <n v="2282600597"/>
    <x v="0"/>
    <x v="33"/>
    <d v="2027-02-19T00:00:00"/>
    <x v="83"/>
    <d v="1899-12-30T00:00:00"/>
    <d v="2027-03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97"/>
    <n v="2302600598"/>
    <x v="1"/>
    <x v="33"/>
    <d v="2027-02-19T00:00:00"/>
    <x v="83"/>
    <d v="1899-12-30T00:00:00"/>
    <d v="2027-03-2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98"/>
    <n v="2302600599"/>
    <x v="1"/>
    <x v="33"/>
    <d v="2027-02-22T00:00:00"/>
    <x v="83"/>
    <d v="1899-12-30T00:00:00"/>
    <d v="2027-03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99"/>
    <n v="2282600600"/>
    <x v="0"/>
    <x v="33"/>
    <d v="2027-02-22T00:00:00"/>
    <x v="83"/>
    <d v="1899-12-30T00:00:00"/>
    <d v="2027-03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600"/>
    <n v="2282600601"/>
    <x v="0"/>
    <x v="33"/>
    <d v="2027-02-22T00:00:00"/>
    <x v="83"/>
    <d v="1899-12-30T00:00:00"/>
    <d v="2027-03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601"/>
    <n v="2302600602"/>
    <x v="1"/>
    <x v="33"/>
    <d v="2027-02-23T00:00:00"/>
    <x v="83"/>
    <d v="1899-12-30T00:00:00"/>
    <d v="2027-03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602"/>
    <n v="2302600603"/>
    <x v="1"/>
    <x v="33"/>
    <d v="2027-02-23T00:00:00"/>
    <x v="83"/>
    <d v="1899-12-30T00:00:00"/>
    <d v="2027-03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603"/>
    <n v="2282600604"/>
    <x v="0"/>
    <x v="33"/>
    <d v="2027-02-23T00:00:00"/>
    <x v="83"/>
    <d v="1899-12-30T00:00:00"/>
    <d v="2027-03-1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604"/>
    <n v="2282600605"/>
    <x v="0"/>
    <x v="33"/>
    <d v="2027-02-24T00:00:00"/>
    <x v="83"/>
    <d v="1899-12-30T00:00:00"/>
    <d v="2027-03-1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605"/>
    <n v="2302600606"/>
    <x v="1"/>
    <x v="33"/>
    <d v="2027-02-24T00:00:00"/>
    <x v="83"/>
    <d v="1899-12-30T00:00:00"/>
    <d v="2027-03-2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606"/>
    <n v="2302600607"/>
    <x v="1"/>
    <x v="33"/>
    <d v="2027-02-24T00:00:00"/>
    <x v="83"/>
    <d v="1899-12-30T00:00:00"/>
    <d v="2027-03-2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607"/>
    <n v="2282600608"/>
    <x v="0"/>
    <x v="33"/>
    <d v="2027-02-25T00:00:00"/>
    <x v="83"/>
    <d v="1899-12-30T00:00:00"/>
    <d v="2027-03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08"/>
    <n v="2282600609"/>
    <x v="0"/>
    <x v="33"/>
    <d v="2027-02-25T00:00:00"/>
    <x v="83"/>
    <d v="1899-12-30T00:00:00"/>
    <d v="2027-03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09"/>
    <n v="2302600610"/>
    <x v="1"/>
    <x v="33"/>
    <d v="2027-02-25T00:00:00"/>
    <x v="83"/>
    <d v="1899-12-30T00:00:00"/>
    <d v="2027-03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10"/>
    <n v="2302600611"/>
    <x v="1"/>
    <x v="33"/>
    <d v="2027-02-26T00:00:00"/>
    <x v="83"/>
    <d v="1899-12-30T00:00:00"/>
    <d v="2027-03-2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11"/>
    <n v="2282600612"/>
    <x v="0"/>
    <x v="33"/>
    <d v="2027-02-26T00:00:00"/>
    <x v="83"/>
    <d v="1899-12-30T00:00:00"/>
    <d v="2027-03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12"/>
    <n v="2282600613"/>
    <x v="0"/>
    <x v="33"/>
    <d v="2027-02-26T00:00:00"/>
    <x v="83"/>
    <d v="1899-12-30T00:00:00"/>
    <d v="2027-03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13"/>
    <n v="2302600614"/>
    <x v="1"/>
    <x v="33"/>
    <d v="2027-03-01T00:00:00"/>
    <x v="83"/>
    <d v="1899-12-30T00:00:00"/>
    <d v="2027-03-3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14"/>
    <n v="2302600615"/>
    <x v="1"/>
    <x v="33"/>
    <d v="2027-03-01T00:00:00"/>
    <x v="83"/>
    <d v="1899-12-30T00:00:00"/>
    <d v="2027-03-3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15"/>
    <n v="2282600616"/>
    <x v="0"/>
    <x v="33"/>
    <d v="2027-03-01T00:00:00"/>
    <x v="83"/>
    <d v="1899-12-30T00:00:00"/>
    <d v="2027-03-2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16"/>
    <n v="2282600617"/>
    <x v="0"/>
    <x v="33"/>
    <d v="2027-03-02T00:00:00"/>
    <x v="83"/>
    <d v="1899-12-30T00:00:00"/>
    <d v="2027-03-2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17"/>
    <n v="2302600618"/>
    <x v="1"/>
    <x v="33"/>
    <d v="2027-03-02T00:00:00"/>
    <x v="83"/>
    <d v="1899-12-30T00:00:00"/>
    <d v="2027-04-0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18"/>
    <n v="2302600619"/>
    <x v="1"/>
    <x v="33"/>
    <d v="2027-03-02T00:00:00"/>
    <x v="83"/>
    <d v="1899-12-30T00:00:00"/>
    <d v="2027-04-0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19"/>
    <n v="2282600620"/>
    <x v="0"/>
    <x v="33"/>
    <d v="2027-03-03T00:00:00"/>
    <x v="83"/>
    <d v="1899-12-30T00:00:00"/>
    <d v="2027-03-2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20"/>
    <n v="2282600621"/>
    <x v="0"/>
    <x v="33"/>
    <d v="2027-03-03T00:00:00"/>
    <x v="83"/>
    <d v="1899-12-30T00:00:00"/>
    <d v="2027-03-2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21"/>
    <n v="2302600622"/>
    <x v="1"/>
    <x v="33"/>
    <d v="2027-03-03T00:00:00"/>
    <x v="83"/>
    <d v="1899-12-30T00:00:00"/>
    <d v="2027-04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22"/>
    <n v="2302600623"/>
    <x v="1"/>
    <x v="33"/>
    <d v="2027-03-04T00:00:00"/>
    <x v="83"/>
    <d v="1899-12-30T00:00:00"/>
    <d v="2027-04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23"/>
    <n v="2282600624"/>
    <x v="0"/>
    <x v="33"/>
    <d v="2027-03-04T00:00:00"/>
    <x v="83"/>
    <d v="1899-12-30T00:00:00"/>
    <d v="2027-03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24"/>
    <n v="2282600625"/>
    <x v="0"/>
    <x v="33"/>
    <d v="2027-03-04T00:00:00"/>
    <x v="83"/>
    <d v="1899-12-30T00:00:00"/>
    <d v="2027-03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25"/>
    <n v="2302600626"/>
    <x v="1"/>
    <x v="33"/>
    <d v="2027-03-05T00:00:00"/>
    <x v="83"/>
    <d v="1899-12-30T00:00:00"/>
    <d v="2027-04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26"/>
    <n v="2302600627"/>
    <x v="1"/>
    <x v="33"/>
    <d v="2027-03-05T00:00:00"/>
    <x v="83"/>
    <d v="1899-12-30T00:00:00"/>
    <d v="2027-04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27"/>
    <n v="2282600628"/>
    <x v="0"/>
    <x v="33"/>
    <d v="2027-03-05T00:00:00"/>
    <x v="83"/>
    <d v="1899-12-30T00:00:00"/>
    <d v="2027-03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28"/>
    <n v="2282600629"/>
    <x v="0"/>
    <x v="33"/>
    <d v="2027-03-08T00:00:00"/>
    <x v="83"/>
    <d v="1899-12-30T00:00:00"/>
    <d v="2027-03-2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29"/>
    <n v="2302600630"/>
    <x v="1"/>
    <x v="33"/>
    <d v="2027-03-08T00:00:00"/>
    <x v="83"/>
    <d v="1899-12-30T00:00:00"/>
    <d v="2027-04-0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30"/>
    <n v="2302600631"/>
    <x v="1"/>
    <x v="33"/>
    <d v="2027-03-08T00:00:00"/>
    <x v="83"/>
    <d v="1899-12-30T00:00:00"/>
    <d v="2027-04-0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31"/>
    <n v="2282600632"/>
    <x v="0"/>
    <x v="33"/>
    <d v="2027-03-09T00:00:00"/>
    <x v="83"/>
    <d v="1899-12-30T00:00:00"/>
    <d v="2027-03-2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32"/>
    <n v="2282600633"/>
    <x v="0"/>
    <x v="33"/>
    <d v="2027-03-09T00:00:00"/>
    <x v="83"/>
    <d v="1899-12-30T00:00:00"/>
    <d v="2027-03-2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33"/>
    <n v="2302600634"/>
    <x v="1"/>
    <x v="33"/>
    <d v="2027-03-09T00:00:00"/>
    <x v="83"/>
    <d v="1899-12-30T00:00:00"/>
    <d v="2027-04-0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34"/>
    <n v="2302600635"/>
    <x v="1"/>
    <x v="33"/>
    <d v="2027-03-10T00:00:00"/>
    <x v="83"/>
    <d v="1899-12-30T00:00:00"/>
    <d v="2027-04-0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35"/>
    <n v="2282600636"/>
    <x v="0"/>
    <x v="33"/>
    <d v="2027-03-10T00:00:00"/>
    <x v="83"/>
    <d v="1899-12-30T00:00:00"/>
    <d v="2027-03-3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36"/>
    <n v="2282600637"/>
    <x v="0"/>
    <x v="33"/>
    <d v="2027-03-10T00:00:00"/>
    <x v="83"/>
    <d v="1899-12-30T00:00:00"/>
    <d v="2027-03-3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37"/>
    <n v="2302600638"/>
    <x v="1"/>
    <x v="33"/>
    <d v="2027-03-11T00:00:00"/>
    <x v="83"/>
    <d v="1899-12-30T00:00:00"/>
    <d v="2027-04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38"/>
    <n v="2302600639"/>
    <x v="1"/>
    <x v="33"/>
    <d v="2027-03-11T00:00:00"/>
    <x v="83"/>
    <d v="1899-12-30T00:00:00"/>
    <d v="2027-04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39"/>
    <n v="2282600640"/>
    <x v="0"/>
    <x v="33"/>
    <d v="2027-03-11T00:00:00"/>
    <x v="83"/>
    <d v="1899-12-30T00:00:00"/>
    <d v="2027-03-3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40"/>
    <n v="2282600641"/>
    <x v="0"/>
    <x v="33"/>
    <d v="2027-03-12T00:00:00"/>
    <x v="83"/>
    <d v="1899-12-30T00:00:00"/>
    <d v="2027-04-0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41"/>
    <n v="2302600642"/>
    <x v="1"/>
    <x v="33"/>
    <d v="2027-03-12T00:00:00"/>
    <x v="83"/>
    <d v="1899-12-30T00:00:00"/>
    <d v="2027-04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42"/>
    <n v="2302600643"/>
    <x v="1"/>
    <x v="33"/>
    <d v="2027-03-12T00:00:00"/>
    <x v="83"/>
    <d v="1899-12-30T00:00:00"/>
    <d v="2027-04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43"/>
    <n v="2282600644"/>
    <x v="0"/>
    <x v="33"/>
    <d v="2027-03-15T00:00:00"/>
    <x v="83"/>
    <d v="1899-12-30T00:00:00"/>
    <d v="2027-04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44"/>
    <n v="2282600645"/>
    <x v="0"/>
    <x v="33"/>
    <d v="2027-03-15T00:00:00"/>
    <x v="83"/>
    <d v="1899-12-30T00:00:00"/>
    <d v="2027-04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45"/>
    <n v="2302600646"/>
    <x v="1"/>
    <x v="33"/>
    <d v="2027-03-15T00:00:00"/>
    <x v="83"/>
    <d v="1899-12-30T00:00:00"/>
    <d v="2027-04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46"/>
    <n v="2302600647"/>
    <x v="1"/>
    <x v="33"/>
    <d v="2027-03-16T00:00:00"/>
    <x v="83"/>
    <d v="1899-12-30T00:00:00"/>
    <d v="2027-04-1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47"/>
    <n v="2282600648"/>
    <x v="0"/>
    <x v="33"/>
    <d v="2027-03-16T00:00:00"/>
    <x v="83"/>
    <d v="1899-12-30T00:00:00"/>
    <d v="2027-04-0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48"/>
    <n v="2282600649"/>
    <x v="0"/>
    <x v="33"/>
    <d v="2027-03-16T00:00:00"/>
    <x v="83"/>
    <d v="1899-12-30T00:00:00"/>
    <d v="2027-04-0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49"/>
    <n v="2302600650"/>
    <x v="1"/>
    <x v="33"/>
    <d v="2027-03-17T00:00:00"/>
    <x v="83"/>
    <d v="1899-12-30T00:00:00"/>
    <d v="2027-04-1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50"/>
    <n v="2302600651"/>
    <x v="1"/>
    <x v="33"/>
    <d v="2027-03-17T00:00:00"/>
    <x v="83"/>
    <d v="1899-12-30T00:00:00"/>
    <d v="2027-04-1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51"/>
    <n v="2282600652"/>
    <x v="0"/>
    <x v="33"/>
    <d v="2027-03-17T00:00:00"/>
    <x v="83"/>
    <d v="1899-12-30T00:00:00"/>
    <d v="2027-04-0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52"/>
    <n v="2282600653"/>
    <x v="0"/>
    <x v="33"/>
    <d v="2027-03-18T00:00:00"/>
    <x v="83"/>
    <d v="1899-12-30T00:00:00"/>
    <d v="2027-04-0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53"/>
    <n v="2302600654"/>
    <x v="1"/>
    <x v="33"/>
    <d v="2027-03-18T00:00:00"/>
    <x v="83"/>
    <d v="1899-12-30T00:00:00"/>
    <d v="2027-04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54"/>
    <n v="2302600655"/>
    <x v="1"/>
    <x v="33"/>
    <d v="2027-03-18T00:00:00"/>
    <x v="83"/>
    <d v="1899-12-30T00:00:00"/>
    <d v="2027-04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55"/>
    <n v="2282600656"/>
    <x v="0"/>
    <x v="33"/>
    <d v="2027-03-19T00:00:00"/>
    <x v="83"/>
    <d v="1899-12-30T00:00:00"/>
    <d v="2027-04-0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56"/>
    <n v="2282600657"/>
    <x v="0"/>
    <x v="33"/>
    <d v="2027-03-19T00:00:00"/>
    <x v="83"/>
    <d v="1899-12-30T00:00:00"/>
    <d v="2027-04-0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57"/>
    <n v="2302600658"/>
    <x v="1"/>
    <x v="33"/>
    <d v="2027-03-19T00:00:00"/>
    <x v="83"/>
    <d v="1899-12-30T00:00:00"/>
    <d v="2027-04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58"/>
    <n v="2302600659"/>
    <x v="1"/>
    <x v="33"/>
    <d v="2027-03-22T00:00:00"/>
    <x v="83"/>
    <d v="1899-12-30T00:00:00"/>
    <d v="2027-04-2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59"/>
    <n v="2282600660"/>
    <x v="0"/>
    <x v="33"/>
    <d v="2027-03-22T00:00:00"/>
    <x v="83"/>
    <d v="1899-12-30T00:00:00"/>
    <d v="2027-04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60"/>
    <n v="2282600661"/>
    <x v="0"/>
    <x v="33"/>
    <d v="2027-03-22T00:00:00"/>
    <x v="83"/>
    <d v="1899-12-30T00:00:00"/>
    <d v="2027-04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61"/>
    <n v="2302600662"/>
    <x v="1"/>
    <x v="33"/>
    <d v="2027-03-23T00:00:00"/>
    <x v="83"/>
    <d v="1899-12-30T00:00:00"/>
    <d v="2027-04-2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62"/>
    <n v="2302600663"/>
    <x v="1"/>
    <x v="33"/>
    <d v="2027-03-23T00:00:00"/>
    <x v="83"/>
    <d v="1899-12-30T00:00:00"/>
    <d v="2027-04-2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63"/>
    <n v="2282600664"/>
    <x v="0"/>
    <x v="33"/>
    <d v="2027-03-23T00:00:00"/>
    <x v="83"/>
    <d v="1899-12-30T00:00:00"/>
    <d v="2027-04-1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64"/>
    <n v="2282600665"/>
    <x v="0"/>
    <x v="33"/>
    <d v="2027-03-24T00:00:00"/>
    <x v="83"/>
    <d v="1899-12-30T00:00:00"/>
    <d v="2027-04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65"/>
    <n v="2302600666"/>
    <x v="1"/>
    <x v="33"/>
    <d v="2027-03-24T00:00:00"/>
    <x v="83"/>
    <d v="1899-12-30T00:00:00"/>
    <d v="2027-04-2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66"/>
    <n v="2302600667"/>
    <x v="1"/>
    <x v="33"/>
    <d v="2027-03-24T00:00:00"/>
    <x v="83"/>
    <d v="1899-12-30T00:00:00"/>
    <d v="2027-04-2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67"/>
    <n v="2282600668"/>
    <x v="0"/>
    <x v="33"/>
    <d v="2027-03-25T00:00:00"/>
    <x v="83"/>
    <d v="1899-12-30T00:00:00"/>
    <d v="2027-04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68"/>
    <n v="2282600669"/>
    <x v="0"/>
    <x v="33"/>
    <d v="2027-03-25T00:00:00"/>
    <x v="83"/>
    <d v="1899-12-30T00:00:00"/>
    <d v="2027-04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69"/>
    <n v="2302600670"/>
    <x v="1"/>
    <x v="33"/>
    <d v="2027-03-25T00:00:00"/>
    <x v="83"/>
    <d v="1899-12-30T00:00:00"/>
    <d v="2027-04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70"/>
    <n v="2302600671"/>
    <x v="1"/>
    <x v="33"/>
    <d v="2027-03-26T00:00:00"/>
    <x v="83"/>
    <d v="1899-12-30T00:00:00"/>
    <d v="2027-04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71"/>
    <n v="2282600672"/>
    <x v="0"/>
    <x v="33"/>
    <d v="2027-03-26T00:00:00"/>
    <x v="83"/>
    <d v="1899-12-30T00:00:00"/>
    <d v="2027-04-1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72"/>
    <n v="2282600673"/>
    <x v="0"/>
    <x v="33"/>
    <d v="2027-03-26T00:00:00"/>
    <x v="83"/>
    <d v="1899-12-30T00:00:00"/>
    <d v="2027-04-1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73"/>
    <n v="2302600674"/>
    <x v="1"/>
    <x v="33"/>
    <d v="2027-03-29T00:00:00"/>
    <x v="83"/>
    <d v="1899-12-30T00:00:00"/>
    <d v="2027-04-2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74"/>
    <n v="2302600675"/>
    <x v="1"/>
    <x v="33"/>
    <d v="2027-03-29T00:00:00"/>
    <x v="83"/>
    <d v="1899-12-30T00:00:00"/>
    <d v="2027-04-2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75"/>
    <n v="2282600676"/>
    <x v="0"/>
    <x v="33"/>
    <d v="2027-03-29T00:00:00"/>
    <x v="83"/>
    <d v="1899-12-30T00:00:00"/>
    <d v="2027-04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76"/>
    <n v="2282600677"/>
    <x v="0"/>
    <x v="33"/>
    <d v="2027-03-30T00:00:00"/>
    <x v="83"/>
    <d v="1899-12-30T00:00:00"/>
    <d v="2027-04-1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77"/>
    <n v="2302600678"/>
    <x v="1"/>
    <x v="33"/>
    <d v="2027-03-30T00:00:00"/>
    <x v="83"/>
    <d v="1899-12-30T00:00:00"/>
    <d v="2027-04-2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78"/>
    <n v="2302600679"/>
    <x v="1"/>
    <x v="33"/>
    <d v="2027-03-30T00:00:00"/>
    <x v="83"/>
    <d v="1899-12-30T00:00:00"/>
    <d v="2027-04-2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79"/>
    <n v="2282600680"/>
    <x v="0"/>
    <x v="33"/>
    <d v="2027-03-31T00:00:00"/>
    <x v="83"/>
    <d v="1899-12-30T00:00:00"/>
    <d v="2027-04-2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80"/>
    <n v="2282600681"/>
    <x v="0"/>
    <x v="33"/>
    <d v="2027-03-31T00:00:00"/>
    <x v="83"/>
    <d v="1899-12-30T00:00:00"/>
    <d v="2027-04-2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81"/>
    <n v="2302600682"/>
    <x v="1"/>
    <x v="33"/>
    <d v="2027-03-31T00:00:00"/>
    <x v="83"/>
    <d v="1899-12-30T00:00:00"/>
    <d v="2027-04-3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82"/>
    <n v="2302600683"/>
    <x v="1"/>
    <x v="33"/>
    <d v="2027-04-01T00:00:00"/>
    <x v="83"/>
    <d v="1899-12-30T00:00:00"/>
    <d v="2027-05-0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83"/>
    <n v="2282600684"/>
    <x v="0"/>
    <x v="33"/>
    <d v="2027-04-01T00:00:00"/>
    <x v="83"/>
    <d v="1899-12-30T00:00:00"/>
    <d v="2027-04-2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84"/>
    <n v="2282600685"/>
    <x v="0"/>
    <x v="33"/>
    <d v="2027-04-01T00:00:00"/>
    <x v="83"/>
    <d v="1899-12-30T00:00:00"/>
    <d v="2027-04-2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85"/>
    <n v="2302600686"/>
    <x v="1"/>
    <x v="33"/>
    <d v="2027-04-02T00:00:00"/>
    <x v="83"/>
    <d v="1899-12-30T00:00:00"/>
    <d v="2027-05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86"/>
    <n v="2302600687"/>
    <x v="1"/>
    <x v="33"/>
    <d v="2027-04-02T00:00:00"/>
    <x v="83"/>
    <d v="1899-12-30T00:00:00"/>
    <d v="2027-05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87"/>
    <n v="2282600688"/>
    <x v="0"/>
    <x v="33"/>
    <d v="2027-04-02T00:00:00"/>
    <x v="83"/>
    <d v="1899-12-30T00:00:00"/>
    <d v="2027-04-2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88"/>
    <n v="2282600689"/>
    <x v="0"/>
    <x v="33"/>
    <d v="2027-04-05T00:00:00"/>
    <x v="83"/>
    <d v="1899-12-30T00:00:00"/>
    <d v="2027-04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89"/>
    <n v="2302600690"/>
    <x v="1"/>
    <x v="33"/>
    <d v="2027-04-05T00:00:00"/>
    <x v="83"/>
    <d v="1899-12-30T00:00:00"/>
    <d v="2027-05-0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90"/>
    <n v="2302600691"/>
    <x v="1"/>
    <x v="33"/>
    <d v="2027-04-05T00:00:00"/>
    <x v="83"/>
    <d v="1899-12-30T00:00:00"/>
    <d v="2027-05-0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91"/>
    <n v="2282600692"/>
    <x v="0"/>
    <x v="33"/>
    <d v="2027-04-06T00:00:00"/>
    <x v="83"/>
    <d v="1899-12-30T00:00:00"/>
    <d v="2027-04-2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92"/>
    <n v="2282600693"/>
    <x v="0"/>
    <x v="33"/>
    <d v="2027-04-06T00:00:00"/>
    <x v="83"/>
    <d v="1899-12-30T00:00:00"/>
    <d v="2027-04-2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93"/>
    <n v="2302600694"/>
    <x v="1"/>
    <x v="33"/>
    <d v="2027-04-06T00:00:00"/>
    <x v="83"/>
    <d v="1899-12-30T00:00:00"/>
    <d v="2027-05-0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94"/>
    <n v="2302600695"/>
    <x v="1"/>
    <x v="33"/>
    <d v="2027-04-07T00:00:00"/>
    <x v="83"/>
    <d v="1899-12-30T00:00:00"/>
    <d v="2027-05-0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95"/>
    <n v="2282600696"/>
    <x v="0"/>
    <x v="33"/>
    <d v="2027-04-07T00:00:00"/>
    <x v="83"/>
    <d v="1899-12-30T00:00:00"/>
    <d v="2027-04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96"/>
    <n v="2282600697"/>
    <x v="0"/>
    <x v="33"/>
    <d v="2027-04-07T00:00:00"/>
    <x v="83"/>
    <d v="1899-12-30T00:00:00"/>
    <d v="2027-04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97"/>
    <n v="2302600698"/>
    <x v="1"/>
    <x v="33"/>
    <d v="2027-04-08T00:00:00"/>
    <x v="83"/>
    <d v="1899-12-30T00:00:00"/>
    <d v="2027-05-0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98"/>
    <n v="2302600699"/>
    <x v="1"/>
    <x v="33"/>
    <d v="2027-04-08T00:00:00"/>
    <x v="83"/>
    <d v="1899-12-30T00:00:00"/>
    <d v="2027-05-0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99"/>
    <n v="2282600700"/>
    <x v="0"/>
    <x v="33"/>
    <d v="2027-04-08T00:00:00"/>
    <x v="83"/>
    <d v="1899-12-30T00:00:00"/>
    <d v="2027-04-2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700"/>
    <n v="2282600701"/>
    <x v="0"/>
    <x v="33"/>
    <d v="2027-04-09T00:00:00"/>
    <x v="83"/>
    <d v="1899-12-30T00:00:00"/>
    <d v="2027-04-2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701"/>
    <n v="2302600702"/>
    <x v="1"/>
    <x v="33"/>
    <d v="2027-04-09T00:00:00"/>
    <x v="83"/>
    <d v="1899-12-30T00:00:00"/>
    <d v="2027-05-0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702"/>
    <n v="2302600703"/>
    <x v="1"/>
    <x v="33"/>
    <d v="2027-04-09T00:00:00"/>
    <x v="83"/>
    <d v="1899-12-30T00:00:00"/>
    <d v="2027-05-0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703"/>
    <n v="2282600704"/>
    <x v="0"/>
    <x v="33"/>
    <d v="2027-04-12T00:00:00"/>
    <x v="83"/>
    <d v="1899-12-30T00:00:00"/>
    <d v="2027-05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96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96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96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11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J4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10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B3" firstHeaderRow="1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1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11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1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1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11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4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11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J3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11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J5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11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11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J4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11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J5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1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10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75" firstHeaderRow="1" firstDataRow="2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11"/>
        <item h="1" x="16"/>
        <item h="1" x="17"/>
        <item h="1" x="20"/>
        <item h="1" x="21"/>
        <item h="1" x="24"/>
        <item h="1" x="25"/>
        <item h="1" x="26"/>
        <item h="1" x="27"/>
        <item h="1" x="28"/>
        <item h="1" x="31"/>
        <item h="1" x="32"/>
        <item h="1" x="33"/>
        <item h="1" x="34"/>
        <item h="1" x="38"/>
        <item h="1" x="39"/>
        <item h="1" x="40"/>
        <item h="1" x="41"/>
        <item h="1" x="43"/>
        <item h="1" x="52"/>
        <item h="1" x="53"/>
        <item h="1" x="54"/>
        <item h="1" x="56"/>
        <item h="1" x="63"/>
        <item h="1" x="64"/>
        <item h="1" x="66"/>
        <item h="1" x="67"/>
        <item h="1" x="68"/>
        <item h="1" x="69"/>
        <item h="1" x="70"/>
        <item h="1" x="77"/>
        <item h="1" x="80"/>
        <item h="1" x="81"/>
        <item h="1" x="82"/>
        <item h="1" x="84"/>
        <item h="1" x="86"/>
        <item h="1" x="87"/>
        <item h="1" x="89"/>
        <item h="1" x="9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h="1" x="9"/>
        <item h="1" x="15"/>
        <item h="1" x="18"/>
        <item h="1" x="19"/>
        <item h="1" x="22"/>
        <item h="1" x="23"/>
        <item h="1" x="29"/>
        <item h="1" x="30"/>
        <item h="1" x="35"/>
        <item h="1" x="36"/>
        <item h="1" x="37"/>
        <item h="1" x="42"/>
        <item h="1" x="44"/>
        <item h="1" x="47"/>
        <item h="1" x="48"/>
        <item h="1" x="49"/>
        <item h="1" x="50"/>
        <item h="1" x="51"/>
        <item h="1" x="55"/>
        <item h="1" x="58"/>
        <item h="1" x="59"/>
        <item h="1" x="60"/>
        <item h="1" x="61"/>
        <item h="1" x="62"/>
        <item h="1" x="71"/>
        <item h="1" x="72"/>
        <item h="1" x="73"/>
        <item h="1" x="74"/>
        <item h="1" x="75"/>
        <item h="1" x="76"/>
        <item h="1" x="78"/>
        <item h="1" x="79"/>
        <item h="1" x="83"/>
        <item h="1" x="85"/>
        <item h="1" x="88"/>
        <item h="1" x="91"/>
        <item t="default"/>
      </items>
    </pivotField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10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F453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7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95"/>
        <item x="36"/>
        <item x="209"/>
        <item x="124"/>
        <item x="190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7"/>
        <item x="120"/>
        <item x="40"/>
        <item x="191"/>
        <item x="257"/>
        <item x="108"/>
        <item x="111"/>
        <item x="229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32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249"/>
        <item x="59"/>
        <item x="53"/>
        <item x="104"/>
        <item x="236"/>
        <item x="118"/>
        <item x="198"/>
        <item x="129"/>
        <item x="84"/>
        <item x="199"/>
        <item x="113"/>
        <item x="135"/>
        <item x="144"/>
        <item x="152"/>
        <item x="239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173"/>
        <item x="6"/>
        <item x="227"/>
        <item x="243"/>
        <item x="259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47"/>
        <item x="64"/>
        <item x="63"/>
        <item x="160"/>
        <item x="24"/>
        <item x="260"/>
        <item x="231"/>
        <item x="185"/>
        <item x="186"/>
        <item x="172"/>
        <item x="184"/>
        <item x="183"/>
        <item x="109"/>
        <item x="158"/>
        <item x="103"/>
        <item x="261"/>
        <item x="262"/>
        <item x="174"/>
        <item x="235"/>
        <item x="220"/>
        <item x="189"/>
        <item x="263"/>
        <item m="1" x="268"/>
        <item x="232"/>
        <item x="264"/>
        <item x="265"/>
        <item x="266"/>
        <item x="267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10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10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4">
  <location ref="C4:D5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4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10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7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10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C91" firstHeaderRow="1" firstDataRow="1" firstDataCol="0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10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C49" firstHeaderRow="1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Suma de VALOR TOTAL POR ITEM GD" fld="13" baseField="0" baseItem="0" numFmtId="167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87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7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8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1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7"/>
        <item h="1" m="1" x="8"/>
        <item h="1" m="1" x="10"/>
        <item h="1" x="6"/>
        <item h="1" m="1" x="9"/>
        <item x="5"/>
        <item x="3"/>
        <item x="4"/>
        <item x="2"/>
        <item x="1"/>
        <item m="1" x="11"/>
        <item x="0"/>
        <item t="default"/>
      </items>
    </pivotField>
    <pivotField showAll="0"/>
    <pivotField showAll="0"/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8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8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8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7"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8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1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1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1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1" firstHeaderRow="1" firstDataRow="1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4"/>
    <field x="63"/>
    <field x="6"/>
  </rowFields>
  <row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11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125" firstHeaderRow="1" firstDataRow="1" firstDataCol="1" rowPageCount="2" colPageCount="1"/>
  <pivotFields count="65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44">
        <item x="33"/>
        <item m="1" x="46"/>
        <item x="32"/>
        <item m="1" x="90"/>
        <item m="1" x="74"/>
        <item m="1" x="128"/>
        <item m="1" x="44"/>
        <item m="1" x="43"/>
        <item m="1" x="54"/>
        <item m="1" x="141"/>
        <item m="1" x="142"/>
        <item x="18"/>
        <item m="1" x="62"/>
        <item m="1" x="61"/>
        <item m="1" x="140"/>
        <item m="1" x="52"/>
        <item m="1" x="108"/>
        <item m="1" x="139"/>
        <item m="1" x="36"/>
        <item m="1" x="137"/>
        <item m="1" x="98"/>
        <item x="25"/>
        <item m="1" x="53"/>
        <item x="19"/>
        <item x="9"/>
        <item m="1" x="79"/>
        <item x="23"/>
        <item m="1" x="39"/>
        <item m="1" x="41"/>
        <item x="4"/>
        <item m="1" x="84"/>
        <item m="1" x="37"/>
        <item m="1" x="64"/>
        <item x="5"/>
        <item m="1" x="100"/>
        <item m="1" x="56"/>
        <item x="3"/>
        <item m="1" x="58"/>
        <item x="8"/>
        <item x="2"/>
        <item m="1" x="47"/>
        <item x="0"/>
        <item x="1"/>
        <item m="1" x="105"/>
        <item m="1" x="115"/>
        <item x="12"/>
        <item x="27"/>
        <item m="1" x="119"/>
        <item m="1" x="126"/>
        <item x="11"/>
        <item x="26"/>
        <item m="1" x="82"/>
        <item m="1" x="116"/>
        <item m="1" x="63"/>
        <item x="20"/>
        <item m="1" x="136"/>
        <item x="29"/>
        <item m="1" x="93"/>
        <item m="1" x="138"/>
        <item m="1" x="72"/>
        <item m="1" x="49"/>
        <item m="1" x="135"/>
        <item x="16"/>
        <item m="1" x="118"/>
        <item m="1" x="45"/>
        <item x="13"/>
        <item x="15"/>
        <item m="1" x="132"/>
        <item m="1" x="60"/>
        <item m="1" x="80"/>
        <item m="1" x="104"/>
        <item m="1" x="113"/>
        <item m="1" x="114"/>
        <item m="1" x="134"/>
        <item x="30"/>
        <item m="1" x="88"/>
        <item m="1" x="106"/>
        <item m="1" x="133"/>
        <item m="1" x="73"/>
        <item m="1" x="123"/>
        <item m="1" x="70"/>
        <item x="24"/>
        <item m="1" x="55"/>
        <item m="1" x="130"/>
        <item m="1" x="99"/>
        <item m="1" x="78"/>
        <item x="6"/>
        <item m="1" x="131"/>
        <item m="1" x="77"/>
        <item m="1" x="35"/>
        <item x="28"/>
        <item m="1" x="66"/>
        <item m="1" x="110"/>
        <item m="1" x="34"/>
        <item m="1" x="102"/>
        <item m="1" x="129"/>
        <item x="10"/>
        <item m="1" x="127"/>
        <item m="1" x="38"/>
        <item x="17"/>
        <item m="1" x="75"/>
        <item m="1" x="76"/>
        <item m="1" x="101"/>
        <item m="1" x="97"/>
        <item m="1" x="122"/>
        <item m="1" x="124"/>
        <item m="1" x="125"/>
        <item m="1" x="51"/>
        <item m="1" x="57"/>
        <item x="31"/>
        <item m="1" x="117"/>
        <item m="1" x="67"/>
        <item m="1" x="107"/>
        <item m="1" x="121"/>
        <item x="22"/>
        <item m="1" x="120"/>
        <item m="1" x="68"/>
        <item x="14"/>
        <item m="1" x="50"/>
        <item m="1" x="112"/>
        <item m="1" x="48"/>
        <item m="1" x="86"/>
        <item m="1" x="111"/>
        <item m="1" x="96"/>
        <item m="1" x="95"/>
        <item m="1" x="42"/>
        <item m="1" x="81"/>
        <item m="1" x="109"/>
        <item m="1" x="71"/>
        <item x="7"/>
        <item m="1" x="69"/>
        <item m="1" x="103"/>
        <item m="1" x="65"/>
        <item m="1" x="87"/>
        <item m="1" x="85"/>
        <item m="1" x="94"/>
        <item m="1" x="91"/>
        <item m="1" x="83"/>
        <item m="1" x="89"/>
        <item m="1" x="92"/>
        <item m="1" x="59"/>
        <item x="21"/>
        <item m="1" x="40"/>
        <item t="default"/>
      </items>
    </pivotField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83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numFmtId="41" showAll="0"/>
    <pivotField numFmtId="41"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1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3"/>
    </i>
    <i>
      <x v="104"/>
    </i>
    <i>
      <x v="105"/>
    </i>
    <i>
      <x v="107"/>
    </i>
    <i>
      <x v="108"/>
    </i>
    <i>
      <x v="110"/>
    </i>
    <i>
      <x v="111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7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4">
        <item x="0"/>
        <item x="106"/>
        <item x="88"/>
        <item x="76"/>
        <item x="126"/>
        <item x="9"/>
        <item x="100"/>
        <item x="89"/>
        <item x="102"/>
        <item x="62"/>
        <item x="57"/>
        <item x="158"/>
        <item x="50"/>
        <item x="90"/>
        <item x="103"/>
        <item x="136"/>
        <item x="104"/>
        <item x="80"/>
        <item x="155"/>
        <item x="66"/>
        <item x="55"/>
        <item x="141"/>
        <item x="56"/>
        <item x="53"/>
        <item x="133"/>
        <item x="101"/>
        <item x="129"/>
        <item x="160"/>
        <item x="69"/>
        <item x="54"/>
        <item x="71"/>
        <item x="151"/>
        <item x="51"/>
        <item x="74"/>
        <item x="128"/>
        <item x="68"/>
        <item x="139"/>
        <item x="122"/>
        <item x="116"/>
        <item x="125"/>
        <item x="58"/>
        <item x="149"/>
        <item x="110"/>
        <item x="67"/>
        <item x="111"/>
        <item x="159"/>
        <item x="81"/>
        <item x="142"/>
        <item x="107"/>
        <item x="134"/>
        <item x="143"/>
        <item x="108"/>
        <item x="135"/>
        <item x="120"/>
        <item x="117"/>
        <item x="64"/>
        <item x="65"/>
        <item x="93"/>
        <item x="83"/>
        <item x="152"/>
        <item x="37"/>
        <item x="146"/>
        <item x="105"/>
        <item x="137"/>
        <item x="118"/>
        <item x="114"/>
        <item x="109"/>
        <item x="153"/>
        <item x="119"/>
        <item x="61"/>
        <item x="77"/>
        <item x="95"/>
        <item x="112"/>
        <item x="99"/>
        <item x="49"/>
        <item x="48"/>
        <item x="123"/>
        <item x="82"/>
        <item x="16"/>
        <item x="97"/>
        <item x="63"/>
        <item x="148"/>
        <item x="79"/>
        <item x="161"/>
        <item x="32"/>
        <item x="96"/>
        <item x="22"/>
        <item x="140"/>
        <item x="130"/>
        <item x="46"/>
        <item x="45"/>
        <item x="124"/>
        <item x="121"/>
        <item x="144"/>
        <item x="98"/>
        <item x="70"/>
        <item x="60"/>
        <item x="47"/>
        <item x="115"/>
        <item x="75"/>
        <item x="131"/>
        <item x="94"/>
        <item x="156"/>
        <item x="132"/>
        <item x="44"/>
        <item x="127"/>
        <item x="73"/>
        <item x="52"/>
        <item x="113"/>
        <item x="138"/>
        <item x="92"/>
        <item x="91"/>
        <item x="157"/>
        <item x="85"/>
        <item x="86"/>
        <item x="59"/>
        <item x="13"/>
        <item x="87"/>
        <item x="84"/>
        <item x="21"/>
        <item x="162"/>
        <item x="72"/>
        <item x="78"/>
        <item x="1"/>
        <item x="2"/>
        <item x="3"/>
        <item x="4"/>
        <item x="5"/>
        <item x="6"/>
        <item x="7"/>
        <item x="8"/>
        <item x="10"/>
        <item x="11"/>
        <item x="12"/>
        <item x="14"/>
        <item x="15"/>
        <item x="17"/>
        <item x="18"/>
        <item x="19"/>
        <item x="20"/>
        <item x="145"/>
        <item x="150"/>
        <item x="23"/>
        <item x="24"/>
        <item x="25"/>
        <item x="26"/>
        <item x="27"/>
        <item x="28"/>
        <item x="29"/>
        <item x="30"/>
        <item x="31"/>
        <item x="147"/>
        <item x="33"/>
        <item x="34"/>
        <item x="35"/>
        <item x="36"/>
        <item x="38"/>
        <item x="39"/>
        <item x="40"/>
        <item x="41"/>
        <item x="154"/>
        <item x="42"/>
        <item x="43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21"/>
    </i>
    <i>
      <x v="26"/>
    </i>
    <i>
      <x v="31"/>
    </i>
    <i>
      <x v="58"/>
    </i>
    <i>
      <x v="69"/>
    </i>
    <i>
      <x v="70"/>
    </i>
    <i>
      <x v="76"/>
    </i>
    <i>
      <x v="77"/>
    </i>
    <i>
      <x v="78"/>
    </i>
    <i>
      <x v="79"/>
    </i>
    <i>
      <x v="80"/>
    </i>
    <i>
      <x v="82"/>
    </i>
    <i>
      <x v="86"/>
    </i>
    <i>
      <x v="95"/>
    </i>
    <i>
      <x v="96"/>
    </i>
    <i>
      <x v="99"/>
    </i>
    <i>
      <x v="106"/>
    </i>
    <i>
      <x v="110"/>
    </i>
    <i>
      <x v="111"/>
    </i>
    <i>
      <x v="114"/>
    </i>
    <i>
      <x v="115"/>
    </i>
    <i>
      <x v="118"/>
    </i>
    <i>
      <x v="121"/>
    </i>
    <i>
      <x v="122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7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12"/>
    </i>
    <i>
      <x v="3"/>
    </i>
    <i>
      <x v="9"/>
    </i>
    <i>
      <x v="19"/>
    </i>
    <i>
      <x v="30"/>
    </i>
    <i>
      <x v="20"/>
    </i>
    <i>
      <x v="1"/>
    </i>
    <i>
      <x v="21"/>
    </i>
    <i>
      <x v="23"/>
    </i>
    <i>
      <x v="7"/>
    </i>
    <i>
      <x v="14"/>
    </i>
    <i>
      <x v="25"/>
    </i>
    <i>
      <x v="8"/>
    </i>
    <i>
      <x v="2"/>
    </i>
    <i>
      <x v="17"/>
    </i>
    <i>
      <x v="10"/>
    </i>
    <i>
      <x v="18"/>
    </i>
    <i>
      <x v="24"/>
    </i>
    <i>
      <x v="29"/>
    </i>
    <i>
      <x v="11"/>
    </i>
    <i>
      <x v="13"/>
    </i>
    <i>
      <x v="26"/>
    </i>
    <i>
      <x v="16"/>
    </i>
    <i>
      <x v="22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7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31" firstHeaderRow="0" firstDataRow="1" firstDataCol="1" rowPageCount="1" colPageCount="1"/>
  <pivotFields count="31">
    <pivotField showAll="0"/>
    <pivotField axis="axisRow" showAll="0" measureFilter="1" sortType="de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185"/>
        <item x="32"/>
        <item x="186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104"/>
        <item x="236"/>
        <item x="118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0">
    <i>
      <x v="38"/>
    </i>
    <i>
      <x v="9"/>
    </i>
    <i>
      <x v="137"/>
    </i>
    <i>
      <x v="72"/>
    </i>
    <i>
      <x v="135"/>
    </i>
    <i>
      <x v="241"/>
    </i>
    <i>
      <x v="40"/>
    </i>
    <i>
      <x v="8"/>
    </i>
    <i>
      <x v="9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7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28"/>
    </i>
    <i>
      <x v="10"/>
    </i>
    <i>
      <x v="5"/>
    </i>
    <i>
      <x v="26"/>
    </i>
    <i>
      <x v="22"/>
    </i>
    <i>
      <x v="16"/>
    </i>
    <i>
      <x v="13"/>
    </i>
    <i>
      <x v="11"/>
    </i>
    <i>
      <x v="24"/>
    </i>
    <i>
      <x v="18"/>
    </i>
    <i>
      <x v="2"/>
    </i>
    <i>
      <x v="29"/>
    </i>
    <i>
      <x v="31"/>
    </i>
    <i>
      <x v="25"/>
    </i>
    <i>
      <x v="8"/>
    </i>
    <i>
      <x v="17"/>
    </i>
    <i>
      <x v="9"/>
    </i>
    <i>
      <x v="12"/>
    </i>
    <i>
      <x v="7"/>
    </i>
    <i>
      <x v="1"/>
    </i>
    <i>
      <x v="20"/>
    </i>
    <i>
      <x v="23"/>
    </i>
    <i>
      <x v="21"/>
    </i>
    <i>
      <x v="15"/>
    </i>
    <i>
      <x v="19"/>
    </i>
    <i>
      <x v="14"/>
    </i>
    <i>
      <x v="4"/>
    </i>
    <i>
      <x v="6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7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70"/>
        <item x="167"/>
        <item x="47"/>
        <item x="69"/>
        <item x="125"/>
        <item x="226"/>
        <item x="244"/>
        <item x="185"/>
        <item x="32"/>
        <item x="66"/>
        <item x="186"/>
        <item x="71"/>
        <item x="151"/>
        <item x="95"/>
        <item x="145"/>
        <item x="253"/>
        <item x="258"/>
        <item x="54"/>
        <item x="150"/>
        <item x="128"/>
        <item x="6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67"/>
        <item x="104"/>
        <item x="75"/>
        <item x="74"/>
        <item x="236"/>
        <item x="118"/>
        <item x="72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80"/>
        <item x="223"/>
        <item x="73"/>
        <item x="33"/>
        <item x="241"/>
        <item x="79"/>
        <item x="25"/>
        <item x="8"/>
        <item x="196"/>
        <item x="4"/>
        <item x="225"/>
        <item x="81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8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77"/>
        <item x="210"/>
        <item x="78"/>
        <item x="9"/>
        <item x="242"/>
        <item x="179"/>
        <item x="85"/>
        <item x="86"/>
        <item x="7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9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7" firstHeaderRow="1" firstDataRow="3" firstDataCol="1"/>
  <pivotFields count="18">
    <pivotField axis="axisRow" numFmtId="14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9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h="1" x="17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13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5"/>
    </i>
    <i>
      <x v="16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102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Q41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172">
      <pivotArea type="all" dataOnly="0" outline="0" fieldPosition="0"/>
    </format>
    <format dxfId="171">
      <pivotArea outline="0" collapsedLevelsAreSubtotals="1" fieldPosition="0"/>
    </format>
    <format dxfId="170">
      <pivotArea type="origin" dataOnly="0" labelOnly="1" outline="0" fieldPosition="0"/>
    </format>
    <format dxfId="169">
      <pivotArea type="topRight" dataOnly="0" labelOnly="1" outline="0" fieldPosition="0"/>
    </format>
    <format dxfId="168">
      <pivotArea field="6" type="button" dataOnly="0" labelOnly="1" outline="0" axis="axisRow" fieldPosition="0"/>
    </format>
    <format dxfId="167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66">
      <pivotArea dataOnly="0" labelOnly="1" grandRow="1" outline="0" fieldPosition="0"/>
    </format>
    <format dxfId="165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102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C41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179">
      <pivotArea type="all" dataOnly="0" outline="0" fieldPosition="0"/>
    </format>
    <format dxfId="178">
      <pivotArea outline="0" collapsedLevelsAreSubtotals="1" fieldPosition="0"/>
    </format>
    <format dxfId="177">
      <pivotArea type="origin" dataOnly="0" labelOnly="1" outline="0" fieldPosition="0"/>
    </format>
    <format dxfId="176">
      <pivotArea type="topRight" dataOnly="0" labelOnly="1" outline="0" fieldPosition="0"/>
    </format>
    <format dxfId="175">
      <pivotArea field="6" type="button" dataOnly="0" labelOnly="1" outline="0" axis="axisRow" fieldPosition="0"/>
    </format>
    <format dxfId="174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73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102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J39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102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C39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5" unboundColumnsRight="6">
    <queryTableFields count="63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63" dataBound="0" tableColumnId="62"/>
      <queryTableField id="64" dataBound="0" tableColumnId="6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8">
        <i x="13"/>
        <i x="17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11"/>
        <i x="0"/>
        <i x="1"/>
        <i x="2"/>
        <i x="3" s="1"/>
        <i x="4"/>
        <i x="5"/>
        <i x="6"/>
        <i x="7"/>
        <i x="8"/>
        <i x="9"/>
        <i x="10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2" columnCount="2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startItem="8" columnCount="2" style="SlicerStyleDark6" rowHeight="257175"/>
  <slicer name="TORRE" xr10:uid="{A12E0F8B-76D1-4F87-A349-3067FABFBB43}" cache="SegmentaciónDeDatos_TORRE" caption="TORRE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7" tableType="queryTable" totalsRowShown="0">
  <autoFilter ref="A1:H257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33"/>
    <tableColumn id="3" xr3:uid="{C1CBFBDE-1229-45F4-8BA9-1320006ADF8C}" uniqueName="3" name="CANTIDAD POR MODULO" queryTableFieldId="3" dataDxfId="134" dataCellStyle="Millares"/>
    <tableColumn id="4" xr3:uid="{7A6D3DC3-3571-4D13-8C02-B298801CB5F9}" uniqueName="4" name="CUB GP" queryTableFieldId="6" dataDxfId="133" dataCellStyle="Millares"/>
    <tableColumn id="5" xr3:uid="{8E1D17AB-D5A3-4D6B-8D13-5D71C1B06CF2}" uniqueName="5" name="CUBICACION REAL" queryTableFieldId="7" dataDxfId="132" dataCellStyle="Millares"/>
    <tableColumn id="6" xr3:uid="{4635D237-FCD2-4BFA-87F5-3ECDB244B328}" uniqueName="6" name="Columna1" queryTableFieldId="8" dataDxfId="131" dataCellStyle="Millares"/>
    <tableColumn id="7" xr3:uid="{68413393-99E5-4206-B7A5-0FB5FECD45F8}" uniqueName="7" name="CUB_ACTUALIZADA" queryTableFieldId="9" dataDxfId="130" dataCellStyle="Millares"/>
    <tableColumn id="8" xr3:uid="{A475C059-2CD3-4846-A3CA-9B373F702155}" uniqueName="8" name="Columna2" queryTableFieldId="10" dataDxfId="129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32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31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30" dataCellStyle="Millares"/>
    <tableColumn id="8" xr3:uid="{5D286AFD-13F0-4545-99E6-339A5CC1A4A7}" name="CANTIDAD X MODULOS" dataDxfId="229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28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27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26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25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74" tableType="queryTable" totalsRowShown="0">
  <autoFilter ref="A1:AC274" xr:uid="{B681DCB9-1C3F-4644-8727-85C4ACC9AD65}"/>
  <sortState xmlns:xlrd2="http://schemas.microsoft.com/office/spreadsheetml/2017/richdata2" ref="A2:AC274">
    <sortCondition descending="1" ref="T1:T190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24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28" dataCellStyle="Moneda"/>
    <tableColumn id="14" xr3:uid="{A1802760-3411-4297-8335-EF8E51D4008B}" uniqueName="14" name="UNIDAD DE MEDIDAD" queryTableFieldId="18" dataDxfId="127" dataCellStyle="Moneda"/>
    <tableColumn id="22" xr3:uid="{DBFC1F14-4757-4DCA-A9E1-E029631FD0A8}" uniqueName="22" name="PPTO_ACTUALIZADO" queryTableFieldId="26" dataDxfId="126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23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22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25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24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23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22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21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20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19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18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17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16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15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14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13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12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11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10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09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08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258" tableType="queryTable" totalsRowShown="0">
  <autoFilter ref="A1:R258" xr:uid="{16500C56-E277-45C0-94AC-7E2463B30BEB}">
    <filterColumn colId="0">
      <filters>
        <dateGroupItem year="2026" month="6" day="22" dateTimeGrouping="day"/>
      </filters>
    </filterColumn>
  </autoFilter>
  <tableColumns count="18">
    <tableColumn id="1" xr3:uid="{6166434B-A4EE-4300-9498-68E3613A3C94}" uniqueName="1" name="FECHA STOCK " queryTableFieldId="1" dataDxfId="107"/>
    <tableColumn id="2" xr3:uid="{5699B8CC-A9B9-494A-BE92-CA2A39DFED09}" uniqueName="2" name="CODIGO" queryTableFieldId="2"/>
    <tableColumn id="3" xr3:uid="{AFFE68E0-54F7-4250-B075-A2AB6670FDC7}" uniqueName="3" name="MATERIAL" queryTableFieldId="3" dataDxfId="221"/>
    <tableColumn id="4" xr3:uid="{78035FAE-E64E-4DA5-9D70-DAE6FA9F2677}" uniqueName="4" name="U.M" queryTableFieldId="4" dataDxfId="220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219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06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218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05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4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3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2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1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0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99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98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475" tableType="queryTable" totalsRowShown="0">
  <autoFilter ref="A1:AE2475" xr:uid="{EB06EBF9-9915-4616-B9C5-04D5F54B3887}">
    <filterColumn colId="0">
      <filters>
        <dateGroupItem year="2026" month="6" dateTimeGrouping="month"/>
      </filters>
    </filterColumn>
  </autoFilter>
  <tableColumns count="31">
    <tableColumn id="1" xr3:uid="{F863A287-5668-47A2-9AB2-12CD81EC5723}" uniqueName="1" name="FECHA GUIA" queryTableFieldId="1" dataDxfId="97"/>
    <tableColumn id="2" xr3:uid="{4A5F2C48-EAB1-49BD-A4A7-EFEB15690485}" uniqueName="2" name="FECHA SOLICITUD" queryTableFieldId="2" dataDxfId="96"/>
    <tableColumn id="3" xr3:uid="{41E9869B-60D1-47E3-87F9-7C94C33DB541}" uniqueName="3" name="OBS. MODULO" queryTableFieldId="3" dataDxfId="217"/>
    <tableColumn id="27" xr3:uid="{9D5D1E35-9490-41E8-B895-94976D9D19CF}" uniqueName="27" name="MES" queryTableFieldId="38" dataDxfId="95" dataCellStyle="Millares"/>
    <tableColumn id="4" xr3:uid="{5DF334D3-F0D6-4372-88E1-ABF2084DE7E5}" uniqueName="4" name="OBS TRABAJO MODULO" queryTableFieldId="4" dataDxfId="216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215"/>
    <tableColumn id="7" xr3:uid="{692A33A2-C449-4586-8F3F-CD183B5B624F}" uniqueName="7" name="UNIDAD DE MEDIDA" queryTableFieldId="7" dataDxfId="214"/>
    <tableColumn id="8" xr3:uid="{56C516C2-1AAE-44D7-8A0D-AF396C45720B}" uniqueName="8" name="CANTIDAD SOLICITADA" queryTableFieldId="8" dataDxfId="94" dataCellStyle="Millares"/>
    <tableColumn id="9" xr3:uid="{E5431BFC-4CEF-4614-8902-01E44155F4BF}" uniqueName="9" name="DEVOLUCIÓN" queryTableFieldId="9" dataDxfId="93" dataCellStyle="Millares"/>
    <tableColumn id="29" xr3:uid="{14CF1913-03EE-4BA2-B20E-E32EB67FEAC2}" uniqueName="29" name="CANTIDAD RECEPCIONADA" queryTableFieldId="35" dataDxfId="92" dataCellStyle="Millares"/>
    <tableColumn id="10" xr3:uid="{F1FA0DCE-9421-44D3-9FD8-4DCB8BDDDF7B}" uniqueName="10" name="VALOR X UN (GD)" queryTableFieldId="10" dataDxfId="91" dataCellStyle="Moneda"/>
    <tableColumn id="11" xr3:uid="{3874A170-0E3F-4EEA-8FF5-E3DB47B144B3}" uniqueName="11" name="VALOR TOTAL GD POR ITEM" queryTableFieldId="11" dataDxfId="90" dataCellStyle="Moneda"/>
    <tableColumn id="12" xr3:uid="{83512BF1-6F0C-41E8-B9EF-C9D54F4AB3D2}" uniqueName="12" name="VALOR TOTAL POR ITEM GD" queryTableFieldId="12" dataDxfId="89" dataCellStyle="Moneda"/>
    <tableColumn id="13" xr3:uid="{BFBE252F-2A3B-4E39-BAB8-5554D1C265FE}" uniqueName="13" name="VALOR PPTO" queryTableFieldId="13" dataDxfId="88" dataCellStyle="Moneda"/>
    <tableColumn id="14" xr3:uid="{3C303E8F-953A-4F50-A7B4-573D80E364C3}" uniqueName="14" name="DIF. VALOR UND." queryTableFieldId="14" dataDxfId="87" dataCellStyle="Moneda"/>
    <tableColumn id="15" xr3:uid="{9732C988-3591-461A-96B1-3179F4479C1B}" uniqueName="15" name="DIF VALOR TOTAL PAGADO" queryTableFieldId="15" dataDxfId="86" dataCellStyle="Moneda"/>
    <tableColumn id="16" xr3:uid="{1C1CC130-46D5-4EEE-9E23-34DA8C66F18F}" uniqueName="16" name="DIF %" queryTableFieldId="16" dataDxfId="85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84" dataCellStyle="Millares"/>
    <tableColumn id="19" xr3:uid="{B4EF03BD-C938-4BCE-BD0A-49B65BEEEE04}" uniqueName="19" name="MONTO GD" queryTableFieldId="19" dataDxfId="83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2" dataCellStyle="Moneda"/>
    <tableColumn id="28" xr3:uid="{8F779554-5451-4921-BC8B-D5C78BCBDD91}" uniqueName="28" name="TOTAL SEGÚN PPTO" queryTableFieldId="34" dataDxfId="81" dataCellStyle="Moneda"/>
    <tableColumn id="22" xr3:uid="{B6BA023C-D6D7-4AE6-A273-CBB6EEAEA057}" uniqueName="22" name="TAREA WIP" queryTableFieldId="37" dataDxfId="80" dataCellStyle="Millares"/>
    <tableColumn id="23" xr3:uid="{937B32EE-BB35-49A6-B662-77F96759C243}" uniqueName="23" name="% DESVIACION PRECIO" queryTableFieldId="23" dataDxfId="79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78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7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6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5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13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12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11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10">
      <calculatedColumnFormula>+IFERROR(Tabla2[[#This Row],[PRECIO PROMEDIO]]-Tabla2[[#This Row],[PRECIO PPTO]],"")</calculatedColumnFormula>
    </tableColumn>
    <tableColumn id="9" xr3:uid="{7F411851-147E-4E4E-8229-5FD88D821403}" name="PROYECCION PPTO" dataDxfId="209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08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42" tableType="queryTable" totalsRowShown="0">
  <autoFilter ref="A1:J42" xr:uid="{987E2355-C71B-44D5-B8ED-064FDE83EB7C}"/>
  <tableColumns count="10">
    <tableColumn id="1" xr3:uid="{71D4F038-C7BE-4B97-913B-54C789AAAE07}" uniqueName="1" name="FECHA GD" queryTableFieldId="9" dataDxfId="74"/>
    <tableColumn id="9" xr3:uid="{E1CD8F2A-317A-46CE-8849-822857960F96}" uniqueName="9" name="FECHA DESPACHO " queryTableFieldId="10" dataDxfId="73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2" dataCellStyle="Moneda [0]"/>
    <tableColumn id="6" xr3:uid="{C67BD1D8-5335-4CDF-874D-CC1B4EB63DCD}" uniqueName="6" name="MODULO" queryTableFieldId="6" dataDxfId="207"/>
    <tableColumn id="7" xr3:uid="{7E81F653-F31D-42B7-9739-8CF8A5976D73}" uniqueName="7" name="TORRE" queryTableFieldId="7" dataDxfId="206"/>
    <tableColumn id="8" xr3:uid="{85B351B9-0317-408B-A561-C5EF51FE9386}" uniqueName="8" name="TIPO" queryTableFieldId="8" dataDxfId="205"/>
    <tableColumn id="10" xr3:uid="{E2D58785-4AB7-49BE-B773-00B804512E5F}" uniqueName="10" name="ACUMULADO" queryTableFieldId="13" dataDxfId="204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03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02" dataCellStyle="Porcentaje">
  <autoFilter ref="B80:M92" xr:uid="{4AA73989-C695-4116-B454-543D155D6334}"/>
  <tableColumns count="12">
    <tableColumn id="1" xr3:uid="{167326E4-8197-47EE-B063-9E36F45121A5}" name="MESES" dataDxfId="201"/>
    <tableColumn id="2" xr3:uid="{7F13EC40-6222-4D8E-B558-6E28C1AA405C}" name="COMPRA MATERIALES"/>
    <tableColumn id="3" xr3:uid="{B9458293-1FBB-44CF-A73D-767375FF10F3}" name="COMPRAS ACUMULADAS" dataDxfId="200" dataCellStyle="Moneda [0]">
      <calculatedColumnFormula>+D80+C81</calculatedColumnFormula>
    </tableColumn>
    <tableColumn id="4" xr3:uid="{C3635461-CEA5-4350-BD8F-1FD268A82375}" name="INGRESO MENSUAL" dataDxfId="199" dataCellStyle="Moneda [0]"/>
    <tableColumn id="5" xr3:uid="{B7D25F04-165E-4A37-AB50-7E98EDA3DEA4}" name="INGRESO ACUMULADO" dataDxfId="198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197" dataCellStyle="Porcentaje"/>
    <tableColumn id="9" xr3:uid="{3F9ED427-F6DC-409F-81AC-50A05CB3FE9A}" name="%AVANCE ESPERADO ECONOMICO ACUM." dataDxfId="196">
      <calculatedColumnFormula>+J80+I81</calculatedColumnFormula>
    </tableColumn>
    <tableColumn id="10" xr3:uid="{245B4028-22B8-41AF-9C03-33CE3602D178}" name="%AVANCE FISICO ACUM." dataDxfId="195" dataCellStyle="Porcentaje"/>
    <tableColumn id="11" xr3:uid="{F159507F-0736-4A71-A91B-2DF579422DA3}" name="%AVANCE FISICO MENSUAL" dataDxfId="194" dataCellStyle="Porcentaje"/>
    <tableColumn id="12" xr3:uid="{ED15780F-67ED-4946-9B63-8E6DD2FACC4B}" name="GAP ECONOMICO MENSUAL" dataDxfId="193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71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192"/>
    <tableColumn id="11" xr3:uid="{04445DB0-1931-41BF-8A23-1CC33FBD24EF}" uniqueName="11" name="SEMANA" queryTableFieldId="11" dataDxfId="191">
      <calculatedColumnFormula>+WEEKNUM(AV_PLAN[[#This Row],[Días]])</calculatedColumnFormula>
    </tableColumn>
    <tableColumn id="12" xr3:uid="{2F4B22EF-6F52-4B2C-9BB2-6FCE99382E46}" uniqueName="12" name="%AVANCE" queryTableFieldId="12" dataDxfId="70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9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190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189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188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8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7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6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5" dataCellStyle="Porcentaje">
      <calculatedColumnFormula>IF(H2="",NA(),I2/$G$471)</calculatedColumnFormula>
    </tableColumn>
    <tableColumn id="21" xr3:uid="{2F994373-CCE9-42D6-BB8D-A8CE7E0F91B7}" uniqueName="21" name="%plan" queryTableFieldId="21" dataDxfId="64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K705" tableType="queryTable" totalsRowShown="0" headerRowDxfId="187">
  <autoFilter ref="A1:BK705" xr:uid="{733B259C-0C7F-4ABB-BF59-A989FD567068}"/>
  <tableColumns count="63">
    <tableColumn id="1" xr3:uid="{A9AE20D3-CDB0-4AA6-AB6C-FA62E0EA287C}" uniqueName="1" name="TORRE" queryTableFieldId="1" dataDxfId="186"/>
    <tableColumn id="2" xr3:uid="{D38DD590-BDE4-42C5-8AB3-CB6006C59BB0}" uniqueName="2" name="N° MÓDULO" queryTableFieldId="2" dataDxfId="185"/>
    <tableColumn id="3" xr3:uid="{2F030480-F99C-42B8-BC78-D6AA04BB3365}" uniqueName="3" name="N° SERIE" queryTableFieldId="3"/>
    <tableColumn id="4" xr3:uid="{413B0370-C4E6-401A-9FD1-29E1273EE439}" uniqueName="4" name="TIPO" queryTableFieldId="4" dataDxfId="184"/>
    <tableColumn id="5" xr3:uid="{19157F2A-0529-400B-91E0-AD6B1012674C}" uniqueName="5" name="% AVANCE" queryTableFieldId="5" dataDxfId="63" dataCellStyle="Porcentaje"/>
    <tableColumn id="6" xr3:uid="{32F7BEDD-2CA0-4339-8C62-27A7B0ABACDD}" uniqueName="6" name="FECHA INICIO TEORICO" queryTableFieldId="6" dataDxfId="62"/>
    <tableColumn id="7" xr3:uid="{06EB4CC7-2FD2-4212-81A9-BE00E67686E4}" uniqueName="7" name="FECHA INICIO REAL" queryTableFieldId="7" dataDxfId="61"/>
    <tableColumn id="8" xr3:uid="{428A066A-6E41-4300-8973-ABB89900BA39}" uniqueName="8" name="FECHA ULTIMO REGISTRO" queryTableFieldId="8" dataDxfId="60"/>
    <tableColumn id="9" xr3:uid="{8E49E33C-7563-43E5-AEEA-0D798C450BF8}" uniqueName="9" name="FECHA TERMINO  PLANIFICADO" queryTableFieldId="9" dataDxfId="59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8"/>
    <tableColumn id="16" xr3:uid="{796DC055-D869-431A-A4DB-E709BD5B8A77}" uniqueName="16" name="APORTE OBRA GRUESA" queryTableFieldId="17" dataDxfId="57" dataCellStyle="Porcentaje"/>
    <tableColumn id="17" xr3:uid="{8F88DC5C-8503-412D-BF90-FF98C039D6D6}" uniqueName="17" name="OBRA GRUESA" queryTableFieldId="18" dataDxfId="56" dataCellStyle="Porcentaje"/>
    <tableColumn id="18" xr3:uid="{F94F4FCF-422C-4F07-9D90-F0A4794492DC}" uniqueName="18" name="PISO" queryTableFieldId="19" dataDxfId="55" dataCellStyle="Porcentaje"/>
    <tableColumn id="19" xr3:uid="{BDA5B6DB-DB09-4D24-9A03-31B6399FE1F5}" uniqueName="19" name="TABIQUES" queryTableFieldId="20" dataDxfId="54" dataCellStyle="Porcentaje"/>
    <tableColumn id="20" xr3:uid="{CCED8385-58E2-4EDF-9262-D7B7D71BCE66}" uniqueName="20" name="MUROS" queryTableFieldId="21" dataDxfId="53" dataCellStyle="Porcentaje"/>
    <tableColumn id="21" xr3:uid="{17B0BE75-365D-4448-8B8C-554606CF4110}" uniqueName="21" name="CIELO" queryTableFieldId="22" dataDxfId="52" dataCellStyle="Porcentaje"/>
    <tableColumn id="22" xr3:uid="{49F5F0CF-1345-45F6-8960-9C8974BFFE3C}" uniqueName="22" name="BALCÓN" queryTableFieldId="23" dataDxfId="51" dataCellStyle="Porcentaje"/>
    <tableColumn id="23" xr3:uid="{2F89BFFD-B063-4F8B-ABEA-F5F7E3CC710A}" uniqueName="23" name="APORTE SANITARIO" queryTableFieldId="24" dataDxfId="50" dataCellStyle="Porcentaje"/>
    <tableColumn id="24" xr3:uid="{3E69DB8B-AA3F-4CA1-BA17-6379E66493A7}" uniqueName="24" name="SANITARIO" queryTableFieldId="25" dataDxfId="49" dataCellStyle="Porcentaje"/>
    <tableColumn id="25" xr3:uid="{772C167F-0962-482D-B962-ED230E44BDB1}" uniqueName="25" name="RED ALCANTARILLADO" queryTableFieldId="26" dataDxfId="48" dataCellStyle="Porcentaje"/>
    <tableColumn id="26" xr3:uid="{9C162A89-FFA1-4337-80D4-D0331D577CF3}" uniqueName="26" name="RED DE AGUA" queryTableFieldId="27" dataDxfId="47" dataCellStyle="Porcentaje"/>
    <tableColumn id="27" xr3:uid="{E7574C86-2CCA-43F5-870A-8E1814BB4AA1}" uniqueName="27" name="VENTILACIONES" queryTableFieldId="28" dataDxfId="46" dataCellStyle="Porcentaje"/>
    <tableColumn id="28" xr3:uid="{13F73926-1E0F-4D7F-A905-17BED5C1A80C}" uniqueName="28" name="TINA" queryTableFieldId="29" dataDxfId="45" dataCellStyle="Porcentaje"/>
    <tableColumn id="29" xr3:uid="{BE7582B8-8C85-4C53-BC05-E35A5684E427}" uniqueName="29" name="WC" queryTableFieldId="30" dataDxfId="44" dataCellStyle="Porcentaje"/>
    <tableColumn id="30" xr3:uid="{17CAFE0D-8A5F-4EC6-8364-1AABE8AC48B7}" uniqueName="30" name="LAVAMANOS / LAVAPLATOS / LAVADERO" queryTableFieldId="31" dataDxfId="43" dataCellStyle="Porcentaje"/>
    <tableColumn id="31" xr3:uid="{54AC82DC-1402-42E6-950E-0D7F05D0FFB6}" uniqueName="31" name="APORTE ELÉCTRICO" queryTableFieldId="32" dataDxfId="42" dataCellStyle="Porcentaje"/>
    <tableColumn id="32" xr3:uid="{AFF264DE-0E47-43FA-B87D-C9EB35E5DCC0}" uniqueName="32" name="ELÉCTRICO" queryTableFieldId="33" dataDxfId="41" dataCellStyle="Porcentaje"/>
    <tableColumn id="33" xr3:uid="{7BEC8067-6200-4A33-A60E-BFD0318E8890}" uniqueName="33" name="CANALIZACIÓN" queryTableFieldId="34" dataDxfId="40" dataCellStyle="Porcentaje"/>
    <tableColumn id="34" xr3:uid="{D4FBE3E4-8CFB-40C7-AE98-97EC70BE2DF8}" uniqueName="34" name="CABLEADO" queryTableFieldId="35" dataDxfId="39" dataCellStyle="Porcentaje"/>
    <tableColumn id="35" xr3:uid="{1AD2B900-F362-4E84-8281-EA08316E4BF1}" uniqueName="35" name="ARTEFACTOS" queryTableFieldId="36" dataDxfId="38" dataCellStyle="Porcentaje"/>
    <tableColumn id="36" xr3:uid="{9124AA6A-FA0C-406F-AA9B-9DDCF7A528A5}" uniqueName="36" name="TABLERO" queryTableFieldId="37" dataDxfId="37" dataCellStyle="Porcentaje"/>
    <tableColumn id="37" xr3:uid="{5A14C287-313B-45FD-95ED-50487E0BDF1D}" uniqueName="37" name="CAJA PAU" queryTableFieldId="38" dataDxfId="36" dataCellStyle="Porcentaje"/>
    <tableColumn id="38" xr3:uid="{590F69EB-7CBE-41DB-A993-6A6A89D78778}" uniqueName="38" name="APORTE TERMINACIONES" queryTableFieldId="39" dataDxfId="35" dataCellStyle="Porcentaje"/>
    <tableColumn id="39" xr3:uid="{458E63E7-8AAB-4ADF-8B96-4B51DC700AE3}" uniqueName="39" name="TERMINACIONES" queryTableFieldId="40" dataDxfId="34" dataCellStyle="Porcentaje"/>
    <tableColumn id="40" xr3:uid="{BC8165C4-7EF5-492B-B4EE-7167A04269BE}" uniqueName="40" name="INSTALACION VINILICO" queryTableFieldId="41" dataDxfId="33" dataCellStyle="Porcentaje"/>
    <tableColumn id="41" xr3:uid="{293C8940-C11A-4F44-A8AA-717CF3A21A13}" uniqueName="41" name="OSB CUBIERTA" queryTableFieldId="42" dataDxfId="32" dataCellStyle="Porcentaje"/>
    <tableColumn id="42" xr3:uid="{2EC82F4D-7DD4-4472-8912-28C1353B4CCE}" uniqueName="42" name="BARANDA BALCON" queryTableFieldId="43" dataDxfId="31" dataCellStyle="Porcentaje"/>
    <tableColumn id="43" xr3:uid="{E8986BA1-54B6-4291-AA96-49ECE80768C7}" uniqueName="43" name="OSB EXTERIOR" queryTableFieldId="44" dataDxfId="30" dataCellStyle="Porcentaje"/>
    <tableColumn id="44" xr3:uid="{ACC60169-75D8-462A-8EE8-BB7565B08FF7}" uniqueName="44" name="SMART PANEL" queryTableFieldId="45" dataDxfId="29" dataCellStyle="Porcentaje"/>
    <tableColumn id="45" xr3:uid="{54467548-33C8-404F-8260-885E8880E6E3}" uniqueName="45" name="PINTURA EXTERIOR" queryTableFieldId="46" dataDxfId="28" dataCellStyle="Porcentaje"/>
    <tableColumn id="46" xr3:uid="{08C9645C-C2C5-46CB-9182-42A195CE6242}" uniqueName="46" name="ZOCALOS LOGIA" queryTableFieldId="47" dataDxfId="27" dataCellStyle="Porcentaje"/>
    <tableColumn id="47" xr3:uid="{A80D191A-E1C0-4618-8843-46ABF98CE0C6}" uniqueName="47" name="MOLDURAS" queryTableFieldId="48" dataDxfId="26" dataCellStyle="Porcentaje"/>
    <tableColumn id="48" xr3:uid="{9538887A-0517-4637-9830-B3C74DADC053}" uniqueName="48" name="PILASTREO" queryTableFieldId="49" dataDxfId="25" dataCellStyle="Porcentaje"/>
    <tableColumn id="49" xr3:uid="{713BA9B5-081B-4D6D-9FF3-2809E9580831}" uniqueName="49" name="CELOSIAS" queryTableFieldId="50" dataDxfId="24" dataCellStyle="Porcentaje"/>
    <tableColumn id="50" xr3:uid="{B693887A-AAB5-4683-9509-5F88E7CB74E9}" uniqueName="50" name="VENTANAS" queryTableFieldId="51" dataDxfId="23" dataCellStyle="Porcentaje"/>
    <tableColumn id="51" xr3:uid="{2D127ABF-90D7-4020-BC09-E21AB1B59053}" uniqueName="51" name="PUERTAS ACCESO - LOGIA - BANO" queryTableFieldId="52" dataDxfId="22" dataCellStyle="Porcentaje"/>
    <tableColumn id="52" xr3:uid="{432E4261-1041-497E-BD45-DC80642883F6}" uniqueName="52" name="CERRADURAS" queryTableFieldId="53" dataDxfId="21" dataCellStyle="Porcentaje"/>
    <tableColumn id="53" xr3:uid="{B7F6FD3A-4338-45A0-ACDA-850E8D147B58}" uniqueName="53" name="REVESTIMIENTO INTERIOR ZONA SECA" queryTableFieldId="54" dataDxfId="20" dataCellStyle="Porcentaje"/>
    <tableColumn id="54" xr3:uid="{C513A49E-23A2-4C5A-A1B3-A62D559926F6}" uniqueName="54" name="REVESTIMIENTO INTERIOR ZONAS HUMEDAS" queryTableFieldId="55" dataDxfId="19" dataCellStyle="Porcentaje"/>
    <tableColumn id="55" xr3:uid="{B906357D-BEBA-430C-B26F-9869517391A5}" uniqueName="55" name="MEMBRANA CIELO" queryTableFieldId="56" dataDxfId="18" dataCellStyle="Porcentaje"/>
    <tableColumn id="56" xr3:uid="{512F9487-05D8-47B0-914A-E12E2F4F28BF}" uniqueName="56" name="LIMPIEZA FINAL" queryTableFieldId="57" dataDxfId="17" dataCellStyle="Porcentaje"/>
    <tableColumn id="57" xr3:uid="{99734D69-0849-4828-9395-0716952D6C86}" uniqueName="57" name="PUERTAS DORMITORIO" queryTableFieldId="58" dataDxfId="16" dataCellStyle="Porcentaje"/>
    <tableColumn id="58" xr3:uid="{D8557447-4214-4659-8CDF-D5DCCD27484A}" uniqueName="58" name="REVESTIMIENTO INTERIOR BANO" queryTableFieldId="59" dataDxfId="15" dataCellStyle="Porcentaje"/>
    <tableColumn id="59" xr3:uid="{E5702249-46EE-45F4-9582-DE913C166863}" uniqueName="59" name="MUEBLE LAVAPLATOS" queryTableFieldId="60" dataDxfId="14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3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2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11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10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  <tableColumn id="62" xr3:uid="{9A93C13C-95B3-464B-9604-9802E3C467E0}" uniqueName="62" name="TIEMPO PROYECTADO" queryTableFieldId="63" dataDxfId="9" dataCellStyle="Millares [0]">
      <calculatedColumnFormula>+AVANCE[[#This Row],[FECHA TERMINO  PLANIFICADO]]-AVANCE[[#This Row],[FECHA INICIO TEORICO]]</calculatedColumnFormula>
    </tableColumn>
    <tableColumn id="63" xr3:uid="{476DC7CE-3282-4BA5-8196-AE4729BE5E37}" uniqueName="63" name="TIEMPO REAL" queryTableFieldId="64" dataDxfId="8" dataCellStyle="Millares [0]">
      <calculatedColumnFormula>+AVANCE[[#This Row],[FECHA TERMINO]]-AVANCE[[#This Row],[FECHA INICIO REAL]]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238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37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236">
      <calculatedColumnFormula>+DAY(CURVA[[#This Row],[Fecha]])</calculatedColumnFormula>
    </tableColumn>
    <tableColumn id="9" xr3:uid="{F48D8867-8FAF-4893-8EF8-9A41A66A5B20}" uniqueName="9" name="MES" queryTableFieldId="9" dataDxfId="235">
      <calculatedColumnFormula>+TEXT(CURVA[[#This Row],[Fecha]],"MMMM")</calculatedColumnFormula>
    </tableColumn>
    <tableColumn id="10" xr3:uid="{B31119CA-4A6B-4874-B794-01136F89EA5E}" uniqueName="10" name="AÑO" queryTableFieldId="10" dataDxfId="234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183" dataCellStyle="Porcentaje">
      <calculatedColumnFormula>+C262</calculatedColumnFormula>
    </tableColumn>
    <tableColumn id="3" xr3:uid="{85889510-E849-4246-9506-67BB4E38CB54}" name="COMPRAS" dataDxfId="182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181" dataCellStyle="Porcentaje">
      <calculatedColumnFormula>+C422</calculatedColumnFormula>
    </tableColumn>
    <tableColumn id="3" xr3:uid="{FC65709B-1BE1-4573-8455-DA5F41A356BF}" name="COMPRAS" dataDxfId="180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unknown"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1-01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7"/>
  <sheetViews>
    <sheetView zoomScale="80" zoomScaleNormal="80" workbookViewId="0">
      <selection activeCell="C19" sqref="C19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454</v>
      </c>
      <c r="E1" t="s">
        <v>455</v>
      </c>
      <c r="F1" t="s">
        <v>456</v>
      </c>
      <c r="G1" t="s">
        <v>476</v>
      </c>
      <c r="H1" t="s">
        <v>477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4.2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34.912500000000001</v>
      </c>
      <c r="E3" s="26">
        <v>34.912500000000023</v>
      </c>
      <c r="F3" s="26" t="b">
        <v>0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138.17500000000001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 t="s">
        <v>355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36.75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35.174999999999997</v>
      </c>
      <c r="E9" s="26">
        <v>35.174999999999997</v>
      </c>
      <c r="F9" s="26" t="b">
        <v>0</v>
      </c>
      <c r="G9" s="40">
        <v>35.174999999999997</v>
      </c>
      <c r="H9" s="26" t="b">
        <v>0</v>
      </c>
    </row>
    <row r="10" spans="1:8" x14ac:dyDescent="0.25">
      <c r="A10">
        <v>302054</v>
      </c>
      <c r="B10" t="s">
        <v>356</v>
      </c>
      <c r="D10" s="26">
        <v>34.543750000000003</v>
      </c>
      <c r="E10" s="26">
        <v>34.543750000000003</v>
      </c>
      <c r="F10" s="26" t="b">
        <v>0</v>
      </c>
      <c r="G10" s="26">
        <v>34.543750000000003</v>
      </c>
      <c r="H10" s="26" t="b">
        <v>0</v>
      </c>
    </row>
    <row r="11" spans="1:8" x14ac:dyDescent="0.25">
      <c r="A11">
        <v>302248</v>
      </c>
      <c r="B11" t="s">
        <v>281</v>
      </c>
      <c r="C11" s="3">
        <v>1.378125</v>
      </c>
      <c r="D11" s="26">
        <v>8.9250000000000007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6.3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23.1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8.2687500000000007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24.323125000000001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46.987499999999997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7.35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15.865625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8.4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7.875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65.099999999999994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>
        <v>0</v>
      </c>
      <c r="H24" s="26" t="b">
        <v>1</v>
      </c>
    </row>
    <row r="25" spans="1:8" x14ac:dyDescent="0.25">
      <c r="A25">
        <v>307263</v>
      </c>
      <c r="B25" t="s">
        <v>158</v>
      </c>
      <c r="D25" s="26">
        <v>0</v>
      </c>
      <c r="E25" s="26">
        <v>0</v>
      </c>
      <c r="F25" s="26" t="b">
        <v>0</v>
      </c>
      <c r="G25" s="26">
        <v>0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 t="s">
        <v>355</v>
      </c>
      <c r="E28" s="26" t="s">
        <v>355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3.6749999999999998</v>
      </c>
      <c r="E29" s="26">
        <v>3.6749999999999998</v>
      </c>
      <c r="F29" s="26" t="b">
        <v>0</v>
      </c>
      <c r="G29" s="26">
        <v>3.6749999999999998</v>
      </c>
      <c r="H29" s="26" t="b">
        <v>0</v>
      </c>
    </row>
    <row r="30" spans="1:8" x14ac:dyDescent="0.25">
      <c r="A30">
        <v>407010</v>
      </c>
      <c r="B30" t="s">
        <v>164</v>
      </c>
      <c r="D30" s="26">
        <v>65.625</v>
      </c>
      <c r="E30" s="26">
        <v>65.625</v>
      </c>
      <c r="F30" s="26" t="b">
        <v>0</v>
      </c>
      <c r="G30" s="26">
        <v>65.625</v>
      </c>
      <c r="H30" s="26" t="b">
        <v>0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609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31.5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4.2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 t="s">
        <v>355</v>
      </c>
      <c r="E34" s="26" t="s">
        <v>355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151.19999999999999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966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65.625</v>
      </c>
      <c r="E37" s="26">
        <v>65.625</v>
      </c>
      <c r="F37" s="26" t="b">
        <v>0</v>
      </c>
      <c r="G37" s="26">
        <v>65.625</v>
      </c>
      <c r="H37" s="26" t="b">
        <v>0</v>
      </c>
    </row>
    <row r="38" spans="1:8" x14ac:dyDescent="0.25">
      <c r="A38">
        <v>407423</v>
      </c>
      <c r="B38" t="s">
        <v>106</v>
      </c>
      <c r="C38" s="3">
        <v>1.05</v>
      </c>
      <c r="D38" s="26">
        <v>788.55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0.105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0.52500000000000002</v>
      </c>
      <c r="E40" s="26">
        <v>0.52500000000000002</v>
      </c>
      <c r="F40" s="26" t="b">
        <v>0</v>
      </c>
      <c r="G40" s="26">
        <v>0.52500000000000002</v>
      </c>
      <c r="H40" s="26" t="b">
        <v>0</v>
      </c>
    </row>
    <row r="41" spans="1:8" x14ac:dyDescent="0.25">
      <c r="A41">
        <v>408013</v>
      </c>
      <c r="B41" t="s">
        <v>128</v>
      </c>
      <c r="D41" s="26">
        <v>0</v>
      </c>
      <c r="E41" s="26">
        <v>0</v>
      </c>
      <c r="F41" s="26" t="b">
        <v>0</v>
      </c>
      <c r="G41" s="26">
        <v>0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0.14281250000000001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7.1249999999999994E-2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1.17875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 t="s">
        <v>355</v>
      </c>
      <c r="E45" s="26">
        <v>4.2840000000000007</v>
      </c>
      <c r="F45" s="26" t="b">
        <v>0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0.12593750000000001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>
        <v>0.13125000000000001</v>
      </c>
      <c r="E47" s="26">
        <v>0.13125000000000001</v>
      </c>
      <c r="F47" s="26" t="b">
        <v>0</v>
      </c>
      <c r="G47" s="26">
        <v>0.13125000000000001</v>
      </c>
      <c r="H47" s="26" t="b">
        <v>0</v>
      </c>
    </row>
    <row r="48" spans="1:8" x14ac:dyDescent="0.25">
      <c r="A48">
        <v>409027</v>
      </c>
      <c r="B48" t="s">
        <v>152</v>
      </c>
      <c r="D48" s="26">
        <v>0</v>
      </c>
      <c r="E48" s="26">
        <v>0</v>
      </c>
      <c r="F48" s="26" t="b">
        <v>0</v>
      </c>
      <c r="G48" s="26">
        <v>0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16.8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8.4</v>
      </c>
      <c r="E50" s="26">
        <v>8.4</v>
      </c>
      <c r="F50" s="26" t="b">
        <v>0</v>
      </c>
      <c r="G50" s="26">
        <v>8.4</v>
      </c>
      <c r="H50" s="26" t="b">
        <v>0</v>
      </c>
    </row>
    <row r="51" spans="1:8" x14ac:dyDescent="0.25">
      <c r="A51">
        <v>410078</v>
      </c>
      <c r="B51" t="s">
        <v>252</v>
      </c>
      <c r="C51" s="3">
        <v>23.625</v>
      </c>
      <c r="D51" s="26" t="s">
        <v>355</v>
      </c>
      <c r="E51" s="26">
        <v>23.625</v>
      </c>
      <c r="F51" s="26" t="b">
        <v>0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10.5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5.25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8.9250000000000007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1.8374999999999999</v>
      </c>
      <c r="E56" s="26">
        <v>1.8374999999999999</v>
      </c>
      <c r="F56" s="26" t="b">
        <v>0</v>
      </c>
      <c r="G56" s="26">
        <v>1.8374999999999999</v>
      </c>
      <c r="H56" s="26" t="b">
        <v>0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16.8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1.05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0.86531250000000004</v>
      </c>
      <c r="E59" s="26">
        <v>0.86531250000000004</v>
      </c>
      <c r="F59" s="26" t="b">
        <v>0</v>
      </c>
      <c r="G59" s="26">
        <v>0.86531250000000004</v>
      </c>
      <c r="H59" s="26" t="b">
        <v>0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>
        <v>0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0.52500000000000002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0.1575</v>
      </c>
      <c r="E62" s="26">
        <v>0.1575</v>
      </c>
      <c r="F62" s="26" t="b">
        <v>0</v>
      </c>
      <c r="G62" s="26">
        <v>0.1575</v>
      </c>
      <c r="H62" s="26" t="b">
        <v>0</v>
      </c>
    </row>
    <row r="63" spans="1:8" x14ac:dyDescent="0.25">
      <c r="A63">
        <v>601121</v>
      </c>
      <c r="B63" t="s">
        <v>67</v>
      </c>
      <c r="C63" s="3">
        <v>0.52500000000000002</v>
      </c>
      <c r="D63" s="26" t="s">
        <v>355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0.57750000000000001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0.52500000000000002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0.105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>
        <v>0</v>
      </c>
      <c r="H70" s="26" t="b">
        <v>1</v>
      </c>
    </row>
    <row r="71" spans="1:8" x14ac:dyDescent="0.25">
      <c r="A71">
        <v>609008</v>
      </c>
      <c r="B71" t="s">
        <v>57</v>
      </c>
      <c r="D71" s="26">
        <v>1.05</v>
      </c>
      <c r="E71" s="26">
        <v>1.05</v>
      </c>
      <c r="F71" s="26" t="b">
        <v>0</v>
      </c>
      <c r="G71" s="26">
        <v>1.05</v>
      </c>
      <c r="H71" s="26" t="b">
        <v>0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>
        <v>0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4.2</v>
      </c>
      <c r="E73" s="26">
        <v>4.2</v>
      </c>
      <c r="F73" s="26" t="b">
        <v>0</v>
      </c>
      <c r="G73" s="26">
        <v>4.2</v>
      </c>
      <c r="H73" s="26" t="b">
        <v>0</v>
      </c>
    </row>
    <row r="74" spans="1:8" x14ac:dyDescent="0.25">
      <c r="A74">
        <v>617055</v>
      </c>
      <c r="B74" t="s">
        <v>182</v>
      </c>
      <c r="D74" s="26">
        <v>2.1</v>
      </c>
      <c r="E74" s="26">
        <v>2.1</v>
      </c>
      <c r="F74" s="26" t="b">
        <v>0</v>
      </c>
      <c r="G74" s="26">
        <v>2.1</v>
      </c>
      <c r="H74" s="26" t="b">
        <v>0</v>
      </c>
    </row>
    <row r="75" spans="1:8" x14ac:dyDescent="0.25">
      <c r="A75">
        <v>617056</v>
      </c>
      <c r="B75" t="s">
        <v>135</v>
      </c>
      <c r="D75" s="26">
        <v>0</v>
      </c>
      <c r="E75" s="26">
        <v>0</v>
      </c>
      <c r="F75" s="26" t="b">
        <v>0</v>
      </c>
      <c r="G75" s="26">
        <v>0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1.575</v>
      </c>
      <c r="E76" s="26">
        <v>1.575</v>
      </c>
      <c r="F76" s="26" t="b">
        <v>0</v>
      </c>
      <c r="G76" s="26">
        <v>1.575</v>
      </c>
      <c r="H76" s="26" t="b">
        <v>0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4.7249999999999996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2.8875000000000002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7.0875000000000004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0.698125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31.237500000000001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>
        <v>0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21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14.175000000000001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23.625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4.2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4.2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0.88468749999999996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0.44843749999999999</v>
      </c>
      <c r="E90" s="26">
        <v>0.44843749999999999</v>
      </c>
      <c r="F90" s="26" t="b">
        <v>0</v>
      </c>
      <c r="G90" s="26">
        <v>0.44843749999999999</v>
      </c>
      <c r="H90" s="26" t="b">
        <v>0</v>
      </c>
    </row>
    <row r="91" spans="1:8" x14ac:dyDescent="0.25">
      <c r="A91">
        <v>704091</v>
      </c>
      <c r="B91" t="s">
        <v>130</v>
      </c>
      <c r="D91" s="26">
        <v>0</v>
      </c>
      <c r="E91" s="26">
        <v>0</v>
      </c>
      <c r="F91" s="26" t="b">
        <v>0</v>
      </c>
      <c r="G91" s="26">
        <v>0</v>
      </c>
      <c r="H91" s="26" t="b">
        <v>1</v>
      </c>
    </row>
    <row r="92" spans="1:8" x14ac:dyDescent="0.25">
      <c r="A92">
        <v>704092</v>
      </c>
      <c r="B92" t="s">
        <v>116</v>
      </c>
      <c r="D92" s="26">
        <v>1</v>
      </c>
      <c r="E92" s="26">
        <v>1</v>
      </c>
      <c r="F92" s="26" t="b">
        <v>0</v>
      </c>
      <c r="G92" s="26">
        <v>1</v>
      </c>
      <c r="H92" s="26" t="b">
        <v>0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>
        <v>0</v>
      </c>
      <c r="H93" s="26" t="b">
        <v>1</v>
      </c>
    </row>
    <row r="94" spans="1:8" x14ac:dyDescent="0.25">
      <c r="A94">
        <v>704107</v>
      </c>
      <c r="B94" t="s">
        <v>131</v>
      </c>
      <c r="D94" s="26">
        <v>0</v>
      </c>
      <c r="E94" s="26">
        <v>0</v>
      </c>
      <c r="F94" s="26" t="b">
        <v>0</v>
      </c>
      <c r="G94" s="26">
        <v>0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3.3468749999999998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1.05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0.71125000000000005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13.65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0.52500000000000002</v>
      </c>
      <c r="E100" s="26">
        <v>0.52500000000000002</v>
      </c>
      <c r="F100" s="26" t="b">
        <v>0</v>
      </c>
      <c r="G100" s="26">
        <v>0.52500000000000002</v>
      </c>
      <c r="H100" s="26" t="b">
        <v>0</v>
      </c>
    </row>
    <row r="101" spans="1:8" x14ac:dyDescent="0.25">
      <c r="A101">
        <v>1101946</v>
      </c>
      <c r="B101" t="s">
        <v>117</v>
      </c>
      <c r="D101" s="26">
        <v>0</v>
      </c>
      <c r="E101" s="26">
        <v>0</v>
      </c>
      <c r="F101" s="26" t="b">
        <v>0</v>
      </c>
      <c r="G101" s="26">
        <v>0</v>
      </c>
      <c r="H101" s="26" t="b">
        <v>1</v>
      </c>
    </row>
    <row r="102" spans="1:8" x14ac:dyDescent="0.25">
      <c r="A102">
        <v>1101971</v>
      </c>
      <c r="B102" t="s">
        <v>100</v>
      </c>
      <c r="D102" s="26">
        <v>0</v>
      </c>
      <c r="E102" s="26">
        <v>0</v>
      </c>
      <c r="F102" s="26" t="b">
        <v>0</v>
      </c>
      <c r="G102" s="26">
        <v>0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2.1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3.15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>
        <v>0</v>
      </c>
      <c r="E107" s="26">
        <v>0</v>
      </c>
      <c r="F107" s="26" t="b">
        <v>0</v>
      </c>
      <c r="G107" s="26">
        <v>0</v>
      </c>
      <c r="H107" s="26" t="b">
        <v>1</v>
      </c>
    </row>
    <row r="108" spans="1:8" x14ac:dyDescent="0.25">
      <c r="A108">
        <v>1105122</v>
      </c>
      <c r="B108" t="s">
        <v>120</v>
      </c>
      <c r="D108" s="26">
        <v>0</v>
      </c>
      <c r="E108" s="26">
        <v>0</v>
      </c>
      <c r="F108" s="26" t="b">
        <v>0</v>
      </c>
      <c r="G108" s="26">
        <v>0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0.52500000000000002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>
        <v>0</v>
      </c>
      <c r="E110" s="26">
        <v>0</v>
      </c>
      <c r="F110" s="26" t="b">
        <v>0</v>
      </c>
      <c r="G110" s="26">
        <v>0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30.45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0.52500000000000002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 t="s">
        <v>355</v>
      </c>
      <c r="E113" s="26" t="s">
        <v>355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 t="s">
        <v>355</v>
      </c>
      <c r="E114" s="26" t="s">
        <v>355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0.52500000000000002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1.575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1.05</v>
      </c>
      <c r="E117" s="26">
        <v>1.05</v>
      </c>
      <c r="F117" s="26" t="b">
        <v>0</v>
      </c>
      <c r="G117" s="26">
        <v>1.05</v>
      </c>
      <c r="H117" s="26" t="b">
        <v>0</v>
      </c>
    </row>
    <row r="118" spans="1:8" x14ac:dyDescent="0.25">
      <c r="A118">
        <v>1610023</v>
      </c>
      <c r="B118" t="s">
        <v>59</v>
      </c>
      <c r="D118" s="26">
        <v>0.52500000000000002</v>
      </c>
      <c r="E118" s="26">
        <v>0.52500000000000002</v>
      </c>
      <c r="F118" s="26" t="b">
        <v>0</v>
      </c>
      <c r="G118" s="26">
        <v>0.52500000000000002</v>
      </c>
      <c r="H118" s="26" t="b">
        <v>0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 t="s">
        <v>355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0.52500000000000002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>
        <v>0</v>
      </c>
      <c r="E122" s="26">
        <v>0</v>
      </c>
      <c r="F122" s="26" t="b">
        <v>0</v>
      </c>
      <c r="G122" s="26">
        <v>0</v>
      </c>
      <c r="H122" s="26" t="b">
        <v>1</v>
      </c>
    </row>
    <row r="123" spans="1:8" x14ac:dyDescent="0.25">
      <c r="A123">
        <v>1801020</v>
      </c>
      <c r="B123" t="s">
        <v>53</v>
      </c>
      <c r="D123" s="26" t="s">
        <v>355</v>
      </c>
      <c r="E123" s="26" t="s">
        <v>355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>
        <v>0</v>
      </c>
      <c r="E125" s="26">
        <v>0</v>
      </c>
      <c r="F125" s="26" t="b">
        <v>0</v>
      </c>
      <c r="G125" s="26">
        <v>0</v>
      </c>
      <c r="H125" s="26" t="b">
        <v>1</v>
      </c>
    </row>
    <row r="126" spans="1:8" x14ac:dyDescent="0.25">
      <c r="A126">
        <v>1801155</v>
      </c>
      <c r="B126" t="s">
        <v>98</v>
      </c>
      <c r="D126" s="26">
        <v>8</v>
      </c>
      <c r="E126" s="26">
        <v>8</v>
      </c>
      <c r="F126" s="26" t="b">
        <v>0</v>
      </c>
      <c r="G126" s="26">
        <v>8</v>
      </c>
      <c r="H126" s="26" t="b">
        <v>0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0.52500000000000002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0.52500000000000002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>
        <v>0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>
        <v>0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>
        <v>0</v>
      </c>
      <c r="H131" s="26" t="b">
        <v>1</v>
      </c>
    </row>
    <row r="132" spans="1:8" x14ac:dyDescent="0.25">
      <c r="A132">
        <v>1801236</v>
      </c>
      <c r="B132" t="s">
        <v>103</v>
      </c>
      <c r="D132" s="26">
        <v>0</v>
      </c>
      <c r="E132" s="26">
        <v>0</v>
      </c>
      <c r="F132" s="26" t="b">
        <v>0</v>
      </c>
      <c r="G132" s="26">
        <v>0</v>
      </c>
      <c r="H132" s="26" t="b">
        <v>1</v>
      </c>
    </row>
    <row r="133" spans="1:8" x14ac:dyDescent="0.25">
      <c r="A133">
        <v>1801238</v>
      </c>
      <c r="B133" t="s">
        <v>104</v>
      </c>
      <c r="D133" s="26">
        <v>0</v>
      </c>
      <c r="E133" s="26">
        <v>0</v>
      </c>
      <c r="F133" s="26" t="b">
        <v>0</v>
      </c>
      <c r="G133" s="26">
        <v>0</v>
      </c>
      <c r="H133" s="26" t="b">
        <v>1</v>
      </c>
    </row>
    <row r="134" spans="1:8" x14ac:dyDescent="0.25">
      <c r="A134">
        <v>1801700</v>
      </c>
      <c r="B134" t="s">
        <v>122</v>
      </c>
      <c r="D134" s="26">
        <v>1</v>
      </c>
      <c r="E134" s="26">
        <v>1</v>
      </c>
      <c r="F134" s="26" t="b">
        <v>0</v>
      </c>
      <c r="G134" s="26">
        <v>1</v>
      </c>
      <c r="H134" s="26" t="b">
        <v>0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0.52500000000000002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>
        <v>0</v>
      </c>
      <c r="E136" s="26">
        <v>0</v>
      </c>
      <c r="F136" s="26" t="b">
        <v>0</v>
      </c>
      <c r="G136" s="26">
        <v>0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0.52500000000000002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0.52500000000000002</v>
      </c>
      <c r="E138" s="26">
        <v>1</v>
      </c>
      <c r="F138" s="26" t="b">
        <v>1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0.52500000000000002</v>
      </c>
      <c r="E139" s="26">
        <v>1</v>
      </c>
      <c r="F139" s="26" t="b">
        <v>1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0.52500000000000002</v>
      </c>
      <c r="E140" s="26">
        <v>1</v>
      </c>
      <c r="F140" s="26" t="b">
        <v>1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0.52500000000000002</v>
      </c>
      <c r="E141" s="26">
        <v>1</v>
      </c>
      <c r="F141" s="26" t="b">
        <v>1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0.52500000000000002</v>
      </c>
      <c r="E142" s="26">
        <v>1</v>
      </c>
      <c r="F142" s="26" t="b">
        <v>1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457</v>
      </c>
      <c r="C143" s="3">
        <v>1</v>
      </c>
      <c r="D143" s="26">
        <v>0.52500000000000002</v>
      </c>
      <c r="E143" s="26">
        <v>1</v>
      </c>
      <c r="F143" s="26" t="b">
        <v>1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0.52500000000000002</v>
      </c>
      <c r="E144" s="26">
        <v>1</v>
      </c>
      <c r="F144" s="26" t="b">
        <v>1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0.52500000000000002</v>
      </c>
      <c r="E145" s="26">
        <v>1</v>
      </c>
      <c r="F145" s="26" t="b">
        <v>1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0.52500000000000002</v>
      </c>
      <c r="E146" s="26">
        <v>1</v>
      </c>
      <c r="F146" s="26" t="b">
        <v>1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0.52500000000000002</v>
      </c>
      <c r="E147" s="26">
        <v>1</v>
      </c>
      <c r="F147" s="26" t="b">
        <v>1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0.52500000000000002</v>
      </c>
      <c r="E148" s="26">
        <v>1</v>
      </c>
      <c r="F148" s="26" t="b">
        <v>1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0.52500000000000002</v>
      </c>
      <c r="E149" s="26">
        <v>1</v>
      </c>
      <c r="F149" s="26" t="b">
        <v>1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 t="s">
        <v>355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>
        <v>0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0.52500000000000002</v>
      </c>
      <c r="E152" s="26">
        <v>1</v>
      </c>
      <c r="F152" s="26" t="b">
        <v>1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0.52500000000000002</v>
      </c>
      <c r="E153" s="26">
        <v>0.52500000000000002</v>
      </c>
      <c r="F153" s="26" t="b">
        <v>0</v>
      </c>
      <c r="G153" s="26">
        <v>0.52500000000000002</v>
      </c>
      <c r="H153" s="26" t="b">
        <v>0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1.05</v>
      </c>
      <c r="E154" s="26">
        <v>1.6666666666666667</v>
      </c>
      <c r="F154" s="26" t="b">
        <v>1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1.05</v>
      </c>
      <c r="E155" s="26">
        <v>2</v>
      </c>
      <c r="F155" s="26" t="b">
        <v>1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0.91874999999999996</v>
      </c>
      <c r="E156" s="26">
        <v>1.6666666666666667</v>
      </c>
      <c r="F156" s="26" t="b">
        <v>1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0.65625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>
        <v>0</v>
      </c>
      <c r="E158" s="26">
        <v>0</v>
      </c>
      <c r="F158" s="26" t="b">
        <v>0</v>
      </c>
      <c r="G158" s="26">
        <v>0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0.52500000000000002</v>
      </c>
      <c r="E160" s="26">
        <v>1</v>
      </c>
      <c r="F160" s="26" t="b">
        <v>1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0.52500000000000002</v>
      </c>
      <c r="E161" s="26">
        <v>1</v>
      </c>
      <c r="F161" s="26" t="b">
        <v>1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0.52500000000000002</v>
      </c>
      <c r="E162" s="26">
        <v>1</v>
      </c>
      <c r="F162" s="26" t="b">
        <v>1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0.52500000000000002</v>
      </c>
      <c r="E163" s="26">
        <v>1</v>
      </c>
      <c r="F163" s="26" t="b">
        <v>1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0.52500000000000002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0.52500000000000002</v>
      </c>
      <c r="E166" s="26">
        <v>1</v>
      </c>
      <c r="F166" s="26" t="b">
        <v>1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62.430312499999999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17.010000000000002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31.794374999999999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0</v>
      </c>
      <c r="E170" s="26">
        <v>4.7</v>
      </c>
      <c r="F170" s="26" t="b">
        <v>1</v>
      </c>
      <c r="G170" s="26">
        <v>0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1.2337499999999999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0.41468749999999999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2.1078125000000001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5.8615624999999998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0.78749999999999998</v>
      </c>
      <c r="E175" s="26">
        <v>0.76000000000000012</v>
      </c>
      <c r="F175" s="26" t="b">
        <v>0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0.78749999999999998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0.52500000000000002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0.31187500000000001</v>
      </c>
      <c r="E179" s="26">
        <v>0.54999999999999993</v>
      </c>
      <c r="F179" s="26" t="b">
        <v>1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6.3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2.9312499999999999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>
        <v>5.6875000000000002E-2</v>
      </c>
      <c r="E182" s="26">
        <v>5.6875000000000002E-2</v>
      </c>
      <c r="F182" s="26" t="b">
        <v>0</v>
      </c>
      <c r="G182" s="26">
        <v>5.6875000000000002E-2</v>
      </c>
      <c r="H182" s="26" t="b">
        <v>0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4.2</v>
      </c>
      <c r="E183" s="26">
        <v>2.3333333333333335</v>
      </c>
      <c r="F183" s="26" t="b">
        <v>0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2.1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>
        <v>0</v>
      </c>
      <c r="E186" s="26">
        <v>0</v>
      </c>
      <c r="F186" s="26" t="b">
        <v>0</v>
      </c>
      <c r="G186" s="26">
        <v>0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0.52500000000000002</v>
      </c>
      <c r="E187" s="26">
        <v>1</v>
      </c>
      <c r="F187" s="26" t="b">
        <v>1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0.26250000000000001</v>
      </c>
      <c r="E188" s="26">
        <v>1</v>
      </c>
      <c r="F188" s="26" t="b">
        <v>1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0.26250000000000001</v>
      </c>
      <c r="E189" s="26">
        <v>1</v>
      </c>
      <c r="F189" s="26" t="b">
        <v>1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0.52500000000000002</v>
      </c>
      <c r="E190" s="26">
        <v>1</v>
      </c>
      <c r="F190" s="26" t="b">
        <v>1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0.52500000000000002</v>
      </c>
      <c r="E191" s="26">
        <v>1</v>
      </c>
      <c r="F191" s="26" t="b">
        <v>1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34.65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0.26250000000000001</v>
      </c>
      <c r="E194" s="26">
        <v>1</v>
      </c>
      <c r="F194" s="26" t="b">
        <v>1</v>
      </c>
      <c r="G194" s="26">
        <v>0.26250000000000001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1.05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1.05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0.52500000000000002</v>
      </c>
      <c r="E200" s="26">
        <v>1</v>
      </c>
      <c r="F200" s="26" t="b">
        <v>1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0.26250000000000001</v>
      </c>
      <c r="E201" s="26">
        <v>1</v>
      </c>
      <c r="F201" s="26" t="b">
        <v>1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>
        <v>0</v>
      </c>
      <c r="E202" s="26">
        <v>0</v>
      </c>
      <c r="F202" s="26" t="b">
        <v>0</v>
      </c>
      <c r="G202" s="26">
        <v>0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6.3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0.68843750000000004</v>
      </c>
      <c r="E204" s="26">
        <v>0.66666666666666663</v>
      </c>
      <c r="F204" s="26" t="b">
        <v>0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8.3750000000000005E-2</v>
      </c>
      <c r="E205" s="26">
        <v>1.1666666666666667E-2</v>
      </c>
      <c r="F205" s="26" t="b">
        <v>0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>
        <v>0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5.46875E-2</v>
      </c>
      <c r="E208" s="26">
        <v>0.20833333333333331</v>
      </c>
      <c r="F208" s="26" t="b">
        <v>1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3.4540625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 t="s">
        <v>355</v>
      </c>
      <c r="E210" s="26">
        <v>0.40000000000000008</v>
      </c>
      <c r="F210" s="26" t="b">
        <v>0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>
        <v>0</v>
      </c>
      <c r="E211" s="26">
        <v>0</v>
      </c>
      <c r="F211" s="26" t="b">
        <v>0</v>
      </c>
      <c r="G211" s="26">
        <v>0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7.6124999999999998</v>
      </c>
      <c r="E212" s="26">
        <v>14.5</v>
      </c>
      <c r="F212" s="26" t="b">
        <v>1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>
        <v>0</v>
      </c>
      <c r="E213" s="26">
        <v>0</v>
      </c>
      <c r="F213" s="26" t="b">
        <v>0</v>
      </c>
      <c r="G213" s="26">
        <v>0</v>
      </c>
      <c r="H213" s="26" t="b">
        <v>1</v>
      </c>
    </row>
    <row r="214" spans="1:8" x14ac:dyDescent="0.25">
      <c r="A214" t="s">
        <v>92</v>
      </c>
      <c r="B214" t="s">
        <v>93</v>
      </c>
      <c r="D214" s="26">
        <v>0.19350000000000001</v>
      </c>
      <c r="E214" s="26">
        <v>0.19350000000000001</v>
      </c>
      <c r="F214" s="26" t="b">
        <v>0</v>
      </c>
      <c r="G214" s="26">
        <v>0.19350000000000001</v>
      </c>
      <c r="H214" s="26" t="b">
        <v>0</v>
      </c>
    </row>
    <row r="215" spans="1:8" x14ac:dyDescent="0.25">
      <c r="A215" t="s">
        <v>94</v>
      </c>
      <c r="B215" t="s">
        <v>95</v>
      </c>
      <c r="C215" s="3">
        <v>3</v>
      </c>
      <c r="D215" s="26">
        <v>3.15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 t="s">
        <v>355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458</v>
      </c>
      <c r="C218" s="3">
        <v>1</v>
      </c>
      <c r="D218" s="26" t="s">
        <v>355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458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458</v>
      </c>
      <c r="C220" s="3">
        <v>1.7000000000000001E-2</v>
      </c>
      <c r="D220" s="26">
        <v>9.0624999999999994E-3</v>
      </c>
      <c r="E220" s="26">
        <v>1.7000000000000001E-2</v>
      </c>
      <c r="F220" s="26" t="b">
        <v>1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458</v>
      </c>
      <c r="C221" s="3">
        <v>1</v>
      </c>
      <c r="D221" s="26" t="s">
        <v>355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458</v>
      </c>
      <c r="C222" s="3">
        <v>2</v>
      </c>
      <c r="D222" s="26">
        <v>1.575</v>
      </c>
      <c r="E222" s="26">
        <v>2</v>
      </c>
      <c r="F222" s="26" t="b">
        <v>1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458</v>
      </c>
      <c r="C223" s="3">
        <v>1</v>
      </c>
      <c r="D223" s="26">
        <v>0.52500000000000002</v>
      </c>
      <c r="E223" s="26">
        <v>1</v>
      </c>
      <c r="F223" s="26" t="b">
        <v>1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458</v>
      </c>
      <c r="C224" s="3">
        <v>1</v>
      </c>
      <c r="D224" s="26">
        <v>0.52500000000000002</v>
      </c>
      <c r="E224" s="26">
        <v>1</v>
      </c>
      <c r="F224" s="26" t="b">
        <v>1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17.587499999999999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473</v>
      </c>
      <c r="C226" s="3">
        <v>9</v>
      </c>
      <c r="D226" s="26" t="s">
        <v>355</v>
      </c>
      <c r="E226" s="26">
        <v>9</v>
      </c>
      <c r="F226" s="26" t="b">
        <v>0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474</v>
      </c>
      <c r="D227" s="26">
        <v>0.52500000000000002</v>
      </c>
      <c r="E227" s="26">
        <v>0.52500000000000002</v>
      </c>
      <c r="F227" s="26" t="b">
        <v>0</v>
      </c>
      <c r="G227" s="26">
        <v>0</v>
      </c>
      <c r="H227" s="26" t="b">
        <v>1</v>
      </c>
    </row>
    <row r="228" spans="1:8" x14ac:dyDescent="0.25">
      <c r="A228">
        <v>1802103</v>
      </c>
      <c r="B228" t="s">
        <v>475</v>
      </c>
      <c r="D228" s="26" t="s">
        <v>355</v>
      </c>
      <c r="E228" s="26" t="s">
        <v>355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1.575</v>
      </c>
      <c r="E229" s="26">
        <v>1.575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0.52500000000000002</v>
      </c>
      <c r="E230" s="26">
        <v>0.52500000000000002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0.52500000000000002</v>
      </c>
      <c r="E231" s="26">
        <v>0.52500000000000002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9.0624999999999994E-3</v>
      </c>
      <c r="E232" s="26">
        <v>9.0624999999999994E-3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479</v>
      </c>
      <c r="B234" t="s">
        <v>480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481</v>
      </c>
      <c r="D235" s="26">
        <v>0.52500000000000002</v>
      </c>
      <c r="E235" s="26">
        <v>0.52500000000000002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482</v>
      </c>
      <c r="D236" s="26">
        <v>1.05</v>
      </c>
      <c r="E236" s="26">
        <v>1.05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483</v>
      </c>
      <c r="D237" s="26">
        <v>1.05</v>
      </c>
      <c r="E237" s="26">
        <v>1.05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484</v>
      </c>
      <c r="D238" s="26">
        <v>0.78749999999999998</v>
      </c>
      <c r="E238" s="26">
        <v>0.78749999999999998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485</v>
      </c>
      <c r="D239" s="26">
        <v>1.05</v>
      </c>
      <c r="E239" s="26">
        <v>1.05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486</v>
      </c>
      <c r="D240" s="26">
        <v>0.52500000000000002</v>
      </c>
      <c r="E240" s="26">
        <v>0.52500000000000002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487</v>
      </c>
      <c r="D241" s="26">
        <v>0.52500000000000002</v>
      </c>
      <c r="E241" s="26">
        <v>0.52500000000000002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488</v>
      </c>
      <c r="D242" s="26">
        <v>0.52500000000000002</v>
      </c>
      <c r="E242" s="26">
        <v>0.52500000000000002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489</v>
      </c>
      <c r="D243" s="26">
        <v>1.05</v>
      </c>
      <c r="E243" s="26">
        <v>1.05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490</v>
      </c>
      <c r="B244" t="s">
        <v>490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491</v>
      </c>
      <c r="B245" t="s">
        <v>492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493</v>
      </c>
      <c r="D246" s="26">
        <v>2.6249999999999999E-2</v>
      </c>
      <c r="E246" s="26">
        <v>2.6249999999999999E-2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494</v>
      </c>
      <c r="D247" s="26">
        <v>0.21</v>
      </c>
      <c r="E247" s="26">
        <v>0.21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495</v>
      </c>
      <c r="D248" s="26">
        <v>9.1874999999999998E-2</v>
      </c>
      <c r="E248" s="26">
        <v>9.1874999999999998E-2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496</v>
      </c>
      <c r="D249" s="26">
        <v>29.529375000000002</v>
      </c>
      <c r="E249" s="26">
        <v>29.529375000000002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497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410083</v>
      </c>
      <c r="B253" t="s">
        <v>498</v>
      </c>
      <c r="D253" s="26" t="s">
        <v>355</v>
      </c>
      <c r="E253" s="26" t="s">
        <v>355</v>
      </c>
      <c r="F253" s="26" t="b">
        <v>0</v>
      </c>
      <c r="G253" s="26">
        <v>1.05</v>
      </c>
      <c r="H253" s="26" t="b">
        <v>0</v>
      </c>
    </row>
    <row r="254" spans="1:8" x14ac:dyDescent="0.25">
      <c r="A254" t="s">
        <v>499</v>
      </c>
      <c r="B254" t="s">
        <v>500</v>
      </c>
      <c r="D254" s="26" t="s">
        <v>355</v>
      </c>
      <c r="E254" s="26" t="s">
        <v>355</v>
      </c>
      <c r="F254" s="26" t="b">
        <v>0</v>
      </c>
      <c r="G254" s="26">
        <v>2.3625000000000003</v>
      </c>
      <c r="H254" s="26" t="b">
        <v>0</v>
      </c>
    </row>
    <row r="255" spans="1:8" x14ac:dyDescent="0.25">
      <c r="A255" t="s">
        <v>501</v>
      </c>
      <c r="B255" t="s">
        <v>502</v>
      </c>
      <c r="D255" s="26" t="s">
        <v>355</v>
      </c>
      <c r="E255" s="26" t="s">
        <v>355</v>
      </c>
      <c r="F255" s="26" t="b">
        <v>0</v>
      </c>
      <c r="G255" s="26">
        <v>2.1</v>
      </c>
      <c r="H255" s="26" t="b">
        <v>0</v>
      </c>
    </row>
    <row r="256" spans="1:8" x14ac:dyDescent="0.25">
      <c r="A256" t="s">
        <v>503</v>
      </c>
      <c r="B256" t="s">
        <v>504</v>
      </c>
      <c r="D256" s="26" t="s">
        <v>355</v>
      </c>
      <c r="E256" s="26" t="s">
        <v>355</v>
      </c>
      <c r="F256" s="26" t="b">
        <v>0</v>
      </c>
      <c r="G256" s="26">
        <v>1.1812499999999999</v>
      </c>
      <c r="H256" s="26" t="b">
        <v>0</v>
      </c>
    </row>
    <row r="257" spans="1:8" x14ac:dyDescent="0.25">
      <c r="A257" t="s">
        <v>505</v>
      </c>
      <c r="B257" t="s">
        <v>506</v>
      </c>
      <c r="D257" s="26" t="s">
        <v>355</v>
      </c>
      <c r="E257" s="26" t="s">
        <v>355</v>
      </c>
      <c r="F257" s="26" t="b">
        <v>0</v>
      </c>
      <c r="G257" s="26">
        <v>4.7250000000000005</v>
      </c>
      <c r="H257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524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436</v>
      </c>
      <c r="J1" s="2" t="s">
        <v>437</v>
      </c>
      <c r="K1" s="7" t="s">
        <v>438</v>
      </c>
    </row>
    <row r="2" spans="1:11" x14ac:dyDescent="0.25">
      <c r="A2" t="s">
        <v>21</v>
      </c>
      <c r="B2" t="s">
        <v>507</v>
      </c>
      <c r="C2" t="s">
        <v>320</v>
      </c>
      <c r="D2" t="s">
        <v>525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6.0249547110667835E-3</v>
      </c>
    </row>
    <row r="3" spans="1:11" x14ac:dyDescent="0.25">
      <c r="A3" t="s">
        <v>296</v>
      </c>
      <c r="B3" t="s">
        <v>297</v>
      </c>
      <c r="C3" t="s">
        <v>320</v>
      </c>
      <c r="D3" t="s">
        <v>526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9.5666510614911759E-4</v>
      </c>
    </row>
    <row r="4" spans="1:11" x14ac:dyDescent="0.25">
      <c r="A4" t="s">
        <v>286</v>
      </c>
      <c r="B4" t="s">
        <v>287</v>
      </c>
      <c r="C4" t="s">
        <v>320</v>
      </c>
      <c r="D4" t="s">
        <v>527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3.1888836871637257E-4</v>
      </c>
    </row>
    <row r="5" spans="1:11" x14ac:dyDescent="0.25">
      <c r="A5" t="s">
        <v>353</v>
      </c>
      <c r="B5" t="s">
        <v>347</v>
      </c>
      <c r="C5" t="s">
        <v>320</v>
      </c>
      <c r="D5" t="s">
        <v>528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508</v>
      </c>
      <c r="C6" t="s">
        <v>320</v>
      </c>
      <c r="D6" t="s">
        <v>529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6.3777673743274513E-4</v>
      </c>
    </row>
    <row r="7" spans="1:11" x14ac:dyDescent="0.25">
      <c r="A7" t="s">
        <v>82</v>
      </c>
      <c r="B7" t="s">
        <v>83</v>
      </c>
      <c r="C7" t="s">
        <v>320</v>
      </c>
      <c r="D7" t="s">
        <v>530</v>
      </c>
      <c r="E7" s="3">
        <f>+SUMIFS(PRODUCTOS[CANT. COMPRADA],PRODUCTOS[CODIGO],P_CRITICOS[[#This Row],[CODIGO]])</f>
        <v>56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16.213203627704313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36774.767857142855</v>
      </c>
      <c r="K7" s="7">
        <f>+P_CRITICOS[[#This Row],[CANT COMPRADA]]/$E$36</f>
        <v>3.7995209889610346E-4</v>
      </c>
    </row>
    <row r="8" spans="1:11" x14ac:dyDescent="0.25">
      <c r="A8" t="s">
        <v>345</v>
      </c>
      <c r="B8" t="s">
        <v>167</v>
      </c>
      <c r="C8" t="s">
        <v>320</v>
      </c>
      <c r="D8" t="s">
        <v>531</v>
      </c>
      <c r="E8" s="3">
        <f>+SUMIFS(PRODUCTOS[CANT. COMPRADA],PRODUCTOS[CODIGO],P_CRITICOS[[#This Row],[CODIGO]])</f>
        <v>800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105.09031198686371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13333.26125</v>
      </c>
      <c r="K8" s="7">
        <f>+P_CRITICOS[[#This Row],[CANT COMPRADA]]/$E$36</f>
        <v>5.4278871270871925E-3</v>
      </c>
    </row>
    <row r="9" spans="1:11" x14ac:dyDescent="0.25">
      <c r="A9">
        <v>1902014</v>
      </c>
      <c r="B9" t="s">
        <v>509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3.5281266326066749E-3</v>
      </c>
    </row>
    <row r="10" spans="1:11" x14ac:dyDescent="0.25">
      <c r="A10">
        <v>304101</v>
      </c>
      <c r="B10" t="s">
        <v>17</v>
      </c>
      <c r="C10" t="s">
        <v>320</v>
      </c>
      <c r="D10" t="s">
        <v>532</v>
      </c>
      <c r="E10" s="3">
        <f>+SUMIFS(PRODUCTOS[CANT. COMPRADA],PRODUCTOS[CODIGO],P_CRITICOS[[#This Row],[CODIGO]])</f>
        <v>5221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109.58415322051691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9649.1185596629002</v>
      </c>
      <c r="K10" s="7">
        <f>+P_CRITICOS[[#This Row],[CANT COMPRADA]]/$E$36</f>
        <v>3.5423748363152791E-2</v>
      </c>
    </row>
    <row r="11" spans="1:11" x14ac:dyDescent="0.25">
      <c r="A11">
        <v>302044</v>
      </c>
      <c r="B11" t="s">
        <v>510</v>
      </c>
      <c r="C11" t="s">
        <v>320</v>
      </c>
      <c r="D11" t="s">
        <v>533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6.8119983444944266E-3</v>
      </c>
    </row>
    <row r="12" spans="1:11" x14ac:dyDescent="0.25">
      <c r="A12">
        <v>302010</v>
      </c>
      <c r="B12" t="s">
        <v>511</v>
      </c>
      <c r="C12" t="s">
        <v>320</v>
      </c>
      <c r="D12" t="s">
        <v>534</v>
      </c>
      <c r="E12" s="3">
        <f>+SUMIFS(PRODUCTOS[CANT. COMPRADA],PRODUCTOS[CODIGO],P_CRITICOS[[#This Row],[CODIGO]])</f>
        <v>4032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115.4887218045112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5690.5508432539682</v>
      </c>
      <c r="K12" s="7">
        <f>+P_CRITICOS[[#This Row],[CANT COMPRADA]]/$E$36</f>
        <v>2.7356551120519448E-2</v>
      </c>
    </row>
    <row r="13" spans="1:11" x14ac:dyDescent="0.25">
      <c r="A13">
        <v>302028</v>
      </c>
      <c r="B13" t="s">
        <v>512</v>
      </c>
      <c r="C13" t="s">
        <v>320</v>
      </c>
      <c r="D13" t="s">
        <v>535</v>
      </c>
      <c r="E13" s="3">
        <f>+SUMIFS(PRODUCTOS[CANT. COMPRADA],PRODUCTOS[CODIGO],P_CRITICOS[[#This Row],[CODIGO]])</f>
        <v>11161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64.617166015342335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4769.5117820983787</v>
      </c>
      <c r="K13" s="7">
        <f>+P_CRITICOS[[#This Row],[CANT COMPRADA]]/$E$36</f>
        <v>7.5725810281775191E-2</v>
      </c>
    </row>
    <row r="14" spans="1:11" x14ac:dyDescent="0.25">
      <c r="A14">
        <v>304049</v>
      </c>
      <c r="B14" t="s">
        <v>318</v>
      </c>
      <c r="C14" t="s">
        <v>320</v>
      </c>
      <c r="D14" t="s">
        <v>536</v>
      </c>
      <c r="E14" s="3">
        <f>+SUMIFS(PRODUCTOS[CANT. COMPRADA],PRODUCTOS[CODIGO],P_CRITICOS[[#This Row],[CODIGO]])</f>
        <v>2640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113.43495214462952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15095.117424242424</v>
      </c>
      <c r="K14" s="7">
        <f>+P_CRITICOS[[#This Row],[CANT COMPRADA]]/$E$36</f>
        <v>1.7912027519387735E-2</v>
      </c>
    </row>
    <row r="15" spans="1:11" x14ac:dyDescent="0.25">
      <c r="A15">
        <v>1901008</v>
      </c>
      <c r="B15" t="s">
        <v>513</v>
      </c>
      <c r="C15" t="s">
        <v>320</v>
      </c>
      <c r="D15" t="s">
        <v>537</v>
      </c>
      <c r="E15" s="3">
        <f>+SUMIFS(PRODUCTOS[CANT. COMPRADA],PRODUCTOS[CODIGO],P_CRITICOS[[#This Row],[CODIGO]])</f>
        <v>7017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112.39729934037273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2062.9827561636025</v>
      </c>
      <c r="K15" s="7">
        <f>+P_CRITICOS[[#This Row],[CANT COMPRADA]]/$E$36</f>
        <v>4.7609354963463538E-2</v>
      </c>
    </row>
    <row r="16" spans="1:11" x14ac:dyDescent="0.25">
      <c r="A16">
        <v>304007</v>
      </c>
      <c r="B16" t="s">
        <v>80</v>
      </c>
      <c r="C16" t="s">
        <v>320</v>
      </c>
      <c r="D16" t="s">
        <v>538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8.7388982746103797E-3</v>
      </c>
    </row>
    <row r="17" spans="1:11" x14ac:dyDescent="0.25">
      <c r="A17">
        <v>701096</v>
      </c>
      <c r="B17" t="s">
        <v>204</v>
      </c>
      <c r="C17" t="s">
        <v>320</v>
      </c>
      <c r="D17" t="s">
        <v>539</v>
      </c>
      <c r="E17" s="3">
        <f>+SUMIFS(PRODUCTOS[CANT. COMPRADA],PRODUCTOS[CODIGO],P_CRITICOS[[#This Row],[CODIGO]])</f>
        <v>2924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93.605442176870753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16231.199726402188</v>
      </c>
      <c r="K17" s="7">
        <f>+P_CRITICOS[[#This Row],[CANT COMPRADA]]/$E$36</f>
        <v>1.9838927449503687E-2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540</v>
      </c>
      <c r="E18" s="3">
        <f>+SUMIFS(PRODUCTOS[CANT. COMPRADA],PRODUCTOS[CODIGO],P_CRITICOS[[#This Row],[CODIGO]])</f>
        <v>3439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52.826420890937001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1699.1256179121838</v>
      </c>
      <c r="K18" s="7">
        <f>+P_CRITICOS[[#This Row],[CANT COMPRADA]]/$E$36</f>
        <v>2.3333129787566069E-2</v>
      </c>
    </row>
    <row r="19" spans="1:11" x14ac:dyDescent="0.25">
      <c r="A19">
        <v>1901038</v>
      </c>
      <c r="B19" t="s">
        <v>514</v>
      </c>
      <c r="C19" t="s">
        <v>320</v>
      </c>
      <c r="D19" t="s">
        <v>541</v>
      </c>
      <c r="E19" s="3">
        <f>+SUMIFS(PRODUCTOS[CANT. COMPRADA],PRODUCTOS[CODIGO],P_CRITICOS[[#This Row],[CODIGO]])</f>
        <v>2266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56.635487156416168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4622.3477493380406</v>
      </c>
      <c r="K19" s="7">
        <f>+P_CRITICOS[[#This Row],[CANT COMPRADA]]/$E$36</f>
        <v>1.5374490287474472E-2</v>
      </c>
    </row>
    <row r="20" spans="1:11" x14ac:dyDescent="0.25">
      <c r="A20">
        <v>304002</v>
      </c>
      <c r="B20" t="s">
        <v>37</v>
      </c>
      <c r="C20" t="s">
        <v>320</v>
      </c>
      <c r="D20" t="s">
        <v>542</v>
      </c>
      <c r="E20" s="3">
        <f>+SUMIFS(PRODUCTOS[CANT. COMPRADA],PRODUCTOS[CODIGO],P_CRITICOS[[#This Row],[CODIGO]])</f>
        <v>3503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150.36351441985246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21604.880388238653</v>
      </c>
      <c r="K20" s="7">
        <f>+P_CRITICOS[[#This Row],[CANT COMPRADA]]/$E$36</f>
        <v>2.3767360757733044E-2</v>
      </c>
    </row>
    <row r="21" spans="1:11" x14ac:dyDescent="0.25">
      <c r="A21">
        <v>907031</v>
      </c>
      <c r="B21" t="s">
        <v>515</v>
      </c>
      <c r="C21" t="s">
        <v>320</v>
      </c>
      <c r="D21" t="s">
        <v>543</v>
      </c>
      <c r="E21" s="3">
        <f>+SUMIFS(PRODUCTOS[CANT. COMPRADA],PRODUCTOS[CODIGO],P_CRITICOS[[#This Row],[CODIGO]])</f>
        <v>68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95.617992349294298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153990.13235294117</v>
      </c>
      <c r="K21" s="7">
        <f>+P_CRITICOS[[#This Row],[CANT COMPRADA]]/$E$36</f>
        <v>4.6137040580241132E-4</v>
      </c>
    </row>
    <row r="22" spans="1:11" x14ac:dyDescent="0.25">
      <c r="A22">
        <v>302046</v>
      </c>
      <c r="B22" t="s">
        <v>516</v>
      </c>
      <c r="C22" t="s">
        <v>320</v>
      </c>
      <c r="D22" t="s">
        <v>544</v>
      </c>
      <c r="E22" s="3">
        <f>+SUMIFS(PRODUCTOS[CANT. COMPRADA],PRODUCTOS[CODIGO],P_CRITICOS[[#This Row],[CODIGO]])</f>
        <v>4837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139.59595959595961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10289.047343394666</v>
      </c>
      <c r="K22" s="7">
        <f>+P_CRITICOS[[#This Row],[CANT COMPRADA]]/$E$36</f>
        <v>3.2818362542150939E-2</v>
      </c>
    </row>
    <row r="23" spans="1:11" x14ac:dyDescent="0.25">
      <c r="A23">
        <v>701043</v>
      </c>
      <c r="B23" t="s">
        <v>197</v>
      </c>
      <c r="C23" t="s">
        <v>320</v>
      </c>
      <c r="D23" t="s">
        <v>545</v>
      </c>
      <c r="E23" s="3">
        <f>+SUMIFS(PRODUCTOS[CANT. COMPRADA],PRODUCTOS[CODIGO],P_CRITICOS[[#This Row],[CODIGO]])</f>
        <v>1076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151.81657848324511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22537.549256505576</v>
      </c>
      <c r="K23" s="7">
        <f>+P_CRITICOS[[#This Row],[CANT COMPRADA]]/$E$36</f>
        <v>7.3005081859322737E-3</v>
      </c>
    </row>
    <row r="24" spans="1:11" x14ac:dyDescent="0.25">
      <c r="A24">
        <v>407011</v>
      </c>
      <c r="B24" t="s">
        <v>30</v>
      </c>
      <c r="C24" t="s">
        <v>320</v>
      </c>
      <c r="D24" t="s">
        <v>546</v>
      </c>
      <c r="E24" s="3">
        <f>+SUMIFS(PRODUCTOS[CANT. COMPRADA],PRODUCTOS[CODIGO],P_CRITICOS[[#This Row],[CODIGO]])</f>
        <v>68298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116.15306122448979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463.03765849658851</v>
      </c>
      <c r="K24" s="7">
        <f>+P_CRITICOS[[#This Row],[CANT COMPRADA]]/$E$36</f>
        <v>0.46339229375725133</v>
      </c>
    </row>
    <row r="25" spans="1:11" x14ac:dyDescent="0.25">
      <c r="A25">
        <v>1901086</v>
      </c>
      <c r="B25" t="s">
        <v>517</v>
      </c>
      <c r="C25" t="s">
        <v>320</v>
      </c>
      <c r="D25" t="s">
        <v>547</v>
      </c>
      <c r="E25" s="3">
        <f>+SUMIFS(PRODUCTOS[CANT. COMPRADA],PRODUCTOS[CODIGO],P_CRITICOS[[#This Row],[CODIGO]])</f>
        <v>2922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91.902876323195002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3636.6988364134154</v>
      </c>
      <c r="K25" s="7">
        <f>+P_CRITICOS[[#This Row],[CANT COMPRADA]]/$E$36</f>
        <v>1.9825357731685971E-2</v>
      </c>
    </row>
    <row r="26" spans="1:11" x14ac:dyDescent="0.25">
      <c r="A26">
        <v>412260</v>
      </c>
      <c r="B26" t="s">
        <v>518</v>
      </c>
      <c r="C26" t="s">
        <v>320</v>
      </c>
      <c r="D26" t="s">
        <v>744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4.2066125234925741E-3</v>
      </c>
    </row>
    <row r="27" spans="1:11" x14ac:dyDescent="0.25">
      <c r="A27">
        <v>412280</v>
      </c>
      <c r="B27" t="s">
        <v>519</v>
      </c>
      <c r="C27" t="s">
        <v>320</v>
      </c>
      <c r="D27" t="s">
        <v>745</v>
      </c>
      <c r="E27" s="3">
        <f>+SUMIFS(PRODUCTOS[CANT. COMPRADA],PRODUCTOS[CODIGO],P_CRITICOS[[#This Row],[CODIGO]])</f>
        <v>926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117.58730158730158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39068.811015118794</v>
      </c>
      <c r="K27" s="7">
        <f>+P_CRITICOS[[#This Row],[CANT COMPRADA]]/$E$36</f>
        <v>6.2827793496034248E-3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3.1888836871637257E-4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2004</v>
      </c>
      <c r="E29" s="3">
        <f>+SUMIFS(PRODUCTOS[CANT. COMPRADA],PRODUCTOS[CODIGO],P_CRITICOS[[#This Row],[CODIGO]])</f>
        <v>17808</v>
      </c>
      <c r="G29" s="3">
        <f>+_xlfn.XLOOKUP(P_CRITICOS[[#This Row],[CODIGO]],PRODUCTOS[CODIGO],PRODUCTOS[CANT X MODULO],"",0)</f>
        <v>34.543750000000003</v>
      </c>
      <c r="H29" s="3">
        <f>+IFERROR(P_CRITICOS[[#This Row],[CANT COMPRADA]]/P_CRITICOS[[#This Row],[CANTIDAD X MODULOS]],"")</f>
        <v>515.52017369278087</v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4843.5655884995504</v>
      </c>
      <c r="K29" s="7">
        <f>+P_CRITICOS[[#This Row],[CANT COMPRADA]]/$E$36</f>
        <v>0.1208247674489609</v>
      </c>
    </row>
    <row r="30" spans="1:11" x14ac:dyDescent="0.25">
      <c r="A30">
        <v>302048</v>
      </c>
      <c r="B30" t="s">
        <v>126</v>
      </c>
      <c r="C30" t="s">
        <v>320</v>
      </c>
      <c r="D30" t="s">
        <v>533</v>
      </c>
      <c r="E30" s="3">
        <f>+SUMIFS(PRODUCTOS[CANT. COMPRADA],PRODUCTOS[CODIGO],P_CRITICOS[[#This Row],[CODIGO]])</f>
        <v>2922</v>
      </c>
      <c r="G30" s="3">
        <f>+_xlfn.XLOOKUP(P_CRITICOS[[#This Row],[CODIGO]],PRODUCTOS[CODIGO],PRODUCTOS[CANT X MODULO],"",0)</f>
        <v>35.174999999999997</v>
      </c>
      <c r="H30" s="3">
        <f>+IFERROR(P_CRITICOS[[#This Row],[CANT COMPRADA]]/P_CRITICOS[[#This Row],[CANTIDAD X MODULOS]],"")</f>
        <v>83.070362473347558</v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13769.264887063655</v>
      </c>
      <c r="K30" s="7">
        <f>+P_CRITICOS[[#This Row],[CANT COMPRADA]]/$E$36</f>
        <v>1.9825357731685971E-2</v>
      </c>
    </row>
    <row r="31" spans="1:11" x14ac:dyDescent="0.25">
      <c r="A31">
        <v>705028</v>
      </c>
      <c r="B31" t="s">
        <v>72</v>
      </c>
      <c r="C31" t="s">
        <v>320</v>
      </c>
      <c r="D31" t="s">
        <v>587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3.0464016500776868E-3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2005</v>
      </c>
      <c r="E32" s="3">
        <f>+SUMIFS(PRODUCTOS[CANT. COMPRADA],PRODUCTOS[CODIGO],P_CRITICOS[[#This Row],[CODIGO]])</f>
        <v>373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2.8618633972370926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40087.627345844507</v>
      </c>
      <c r="K32" s="7">
        <f>+P_CRITICOS[[#This Row],[CANT COMPRADA]]/$E$36</f>
        <v>2.5307523730044032E-3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147387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74"/>
  <sheetViews>
    <sheetView zoomScaleNormal="100" workbookViewId="0">
      <selection activeCell="L78" sqref="L7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524</v>
      </c>
      <c r="D1" t="s">
        <v>239</v>
      </c>
      <c r="E1" t="s">
        <v>359</v>
      </c>
      <c r="F1" s="2" t="s">
        <v>357</v>
      </c>
      <c r="G1" t="s">
        <v>400</v>
      </c>
      <c r="H1" s="2" t="s">
        <v>478</v>
      </c>
      <c r="I1" t="s">
        <v>456</v>
      </c>
      <c r="J1" t="s">
        <v>550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552</v>
      </c>
      <c r="Q1" s="3" t="s">
        <v>321</v>
      </c>
      <c r="R1" s="3" t="s">
        <v>746</v>
      </c>
      <c r="S1" s="3" t="s">
        <v>698</v>
      </c>
      <c r="T1" s="3" t="s">
        <v>522</v>
      </c>
      <c r="U1" t="s">
        <v>432</v>
      </c>
      <c r="V1" t="s">
        <v>433</v>
      </c>
      <c r="W1" t="s">
        <v>445</v>
      </c>
      <c r="X1" s="7" t="s">
        <v>446</v>
      </c>
      <c r="Y1" t="s">
        <v>472</v>
      </c>
      <c r="Z1" s="7" t="s">
        <v>452</v>
      </c>
      <c r="AA1" t="s">
        <v>469</v>
      </c>
      <c r="AB1" t="s">
        <v>749</v>
      </c>
      <c r="AC1" t="s">
        <v>750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>
        <v>0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>
        <f>+AB2-PRODUCTOS[[#This Row],[PPTO_ACTUALIZADO]]</f>
        <v>585.07209999999998</v>
      </c>
    </row>
    <row r="3" spans="1:29" x14ac:dyDescent="0.25">
      <c r="A3" t="s">
        <v>34</v>
      </c>
      <c r="B3" t="s">
        <v>35</v>
      </c>
      <c r="C3" t="s">
        <v>563</v>
      </c>
      <c r="D3" t="s">
        <v>240</v>
      </c>
      <c r="E3" t="s">
        <v>399</v>
      </c>
      <c r="F3" s="2">
        <v>233358.08791199999</v>
      </c>
      <c r="G3" s="6" t="s">
        <v>355</v>
      </c>
      <c r="H3" s="2">
        <v>0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>
        <f>+AB3-PRODUCTOS[[#This Row],[PPTO_ACTUALIZADO]]</f>
        <v>233358.08790000001</v>
      </c>
    </row>
    <row r="4" spans="1:29" x14ac:dyDescent="0.25">
      <c r="A4">
        <v>804070</v>
      </c>
      <c r="B4" t="s">
        <v>44</v>
      </c>
      <c r="C4" t="s">
        <v>565</v>
      </c>
      <c r="D4" t="s">
        <v>355</v>
      </c>
      <c r="E4" t="s">
        <v>355</v>
      </c>
      <c r="F4" s="2">
        <v>6479.9989750000004</v>
      </c>
      <c r="G4" s="6" t="s">
        <v>355</v>
      </c>
      <c r="H4" s="2">
        <v>0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>
        <f>+AB4-PRODUCTOS[[#This Row],[PPTO_ACTUALIZADO]]</f>
        <v>6479.9989999999998</v>
      </c>
    </row>
    <row r="5" spans="1:29" x14ac:dyDescent="0.25">
      <c r="A5">
        <v>1703046</v>
      </c>
      <c r="B5" t="s">
        <v>49</v>
      </c>
      <c r="C5" t="s">
        <v>568</v>
      </c>
      <c r="D5">
        <v>0</v>
      </c>
      <c r="E5">
        <v>0</v>
      </c>
      <c r="F5" s="2">
        <v>3138</v>
      </c>
      <c r="G5" s="6" t="s">
        <v>355</v>
      </c>
      <c r="H5" s="2">
        <v>0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>
        <f>+AB5-PRODUCTOS[[#This Row],[PPTO_ACTUALIZADO]]</f>
        <v>3138</v>
      </c>
    </row>
    <row r="6" spans="1:29" x14ac:dyDescent="0.25">
      <c r="A6">
        <v>1801035</v>
      </c>
      <c r="B6" t="s">
        <v>50</v>
      </c>
      <c r="C6" t="s">
        <v>569</v>
      </c>
      <c r="D6">
        <v>0</v>
      </c>
      <c r="E6">
        <v>0</v>
      </c>
      <c r="F6" s="2">
        <v>18126.208332999999</v>
      </c>
      <c r="G6" s="6" t="s">
        <v>355</v>
      </c>
      <c r="H6" s="2">
        <v>0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>
        <f>+AB6-PRODUCTOS[[#This Row],[PPTO_ACTUALIZADO]]</f>
        <v>18126.208299999998</v>
      </c>
    </row>
    <row r="7" spans="1:29" x14ac:dyDescent="0.25">
      <c r="A7">
        <v>1808149</v>
      </c>
      <c r="B7" t="s">
        <v>52</v>
      </c>
      <c r="C7" t="s">
        <v>572</v>
      </c>
      <c r="D7">
        <v>0</v>
      </c>
      <c r="E7">
        <v>0</v>
      </c>
      <c r="F7" s="2">
        <v>20303.2</v>
      </c>
      <c r="G7" s="6" t="s">
        <v>355</v>
      </c>
      <c r="H7" s="2">
        <v>0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>
        <f>+AB7-PRODUCTOS[[#This Row],[PPTO_ACTUALIZADO]]</f>
        <v>20303.2</v>
      </c>
    </row>
    <row r="8" spans="1:29" x14ac:dyDescent="0.25">
      <c r="A8">
        <v>1801020</v>
      </c>
      <c r="B8" t="s">
        <v>53</v>
      </c>
      <c r="C8" t="s">
        <v>573</v>
      </c>
      <c r="D8">
        <v>0</v>
      </c>
      <c r="E8">
        <v>0</v>
      </c>
      <c r="F8" s="2">
        <v>30757</v>
      </c>
      <c r="G8" s="6" t="s">
        <v>355</v>
      </c>
      <c r="H8" s="2">
        <v>0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>
        <f>+AB8-PRODUCTOS[[#This Row],[PPTO_ACTUALIZADO]]</f>
        <v>30757</v>
      </c>
    </row>
    <row r="9" spans="1:29" x14ac:dyDescent="0.25">
      <c r="A9">
        <v>5316481</v>
      </c>
      <c r="B9" t="s">
        <v>60</v>
      </c>
      <c r="C9">
        <v>0</v>
      </c>
      <c r="D9">
        <v>0</v>
      </c>
      <c r="E9">
        <v>0</v>
      </c>
      <c r="F9" s="2">
        <v>11769.175824</v>
      </c>
      <c r="G9" s="6" t="s">
        <v>355</v>
      </c>
      <c r="H9" s="2">
        <v>0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11769</v>
      </c>
      <c r="V9" s="3">
        <f>+IFERROR(PRODUCTOS[[#This Row],[PRECIO DE COMPRA]]/PRODUCTOS[[#This Row],[CANT. COMPRADA]],"")</f>
        <v>11769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11769.175800000001</v>
      </c>
      <c r="AC9" s="3">
        <f>+AB9-PRODUCTOS[[#This Row],[PPTO_ACTUALIZADO]]</f>
        <v>11769.175800000001</v>
      </c>
    </row>
    <row r="10" spans="1:29" x14ac:dyDescent="0.25">
      <c r="A10">
        <v>5316479</v>
      </c>
      <c r="B10" t="s">
        <v>61</v>
      </c>
      <c r="C10" t="s">
        <v>578</v>
      </c>
      <c r="D10">
        <v>0</v>
      </c>
      <c r="E10">
        <v>0</v>
      </c>
      <c r="F10" s="2">
        <v>10525</v>
      </c>
      <c r="G10" s="6" t="s">
        <v>355</v>
      </c>
      <c r="H10" s="2">
        <v>0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10525</v>
      </c>
      <c r="V10" s="3">
        <f>+IFERROR(PRODUCTOS[[#This Row],[PRECIO DE COMPRA]]/PRODUCTOS[[#This Row],[CANT. COMPRADA]],"")</f>
        <v>10525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10525</v>
      </c>
      <c r="AC10" s="3">
        <f>+AB10-PRODUCTOS[[#This Row],[PPTO_ACTUALIZADO]]</f>
        <v>10525</v>
      </c>
    </row>
    <row r="11" spans="1:29" x14ac:dyDescent="0.25">
      <c r="A11">
        <v>5316482</v>
      </c>
      <c r="B11" t="s">
        <v>62</v>
      </c>
      <c r="C11" t="s">
        <v>579</v>
      </c>
      <c r="D11" t="s">
        <v>258</v>
      </c>
      <c r="E11" t="s">
        <v>405</v>
      </c>
      <c r="F11" s="2">
        <v>1511</v>
      </c>
      <c r="G11" s="6" t="s">
        <v>355</v>
      </c>
      <c r="H11" s="2">
        <v>0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1511</v>
      </c>
      <c r="V11" s="3">
        <f>+IFERROR(PRODUCTOS[[#This Row],[PRECIO DE COMPRA]]/PRODUCTOS[[#This Row],[CANT. COMPRADA]],"")</f>
        <v>1511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1511</v>
      </c>
      <c r="AC11" s="3">
        <f>+AB11-PRODUCTOS[[#This Row],[PPTO_ACTUALIZADO]]</f>
        <v>1511</v>
      </c>
    </row>
    <row r="12" spans="1:29" x14ac:dyDescent="0.25">
      <c r="A12">
        <v>404184</v>
      </c>
      <c r="B12" t="s">
        <v>66</v>
      </c>
      <c r="C12" t="s">
        <v>582</v>
      </c>
      <c r="D12">
        <v>0</v>
      </c>
      <c r="E12">
        <v>0</v>
      </c>
      <c r="F12" s="2">
        <v>1754.8757310000001</v>
      </c>
      <c r="G12" s="6" t="s">
        <v>355</v>
      </c>
      <c r="H12" s="2">
        <v>0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139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139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243449</v>
      </c>
      <c r="V12" s="3">
        <f>+IFERROR(PRODUCTOS[[#This Row],[PRECIO DE COMPRA]]/PRODUCTOS[[#This Row],[CANT. COMPRADA]],"")</f>
        <v>1751.4316546762591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1754.8757000000001</v>
      </c>
      <c r="AC12" s="3">
        <f>+AB12-PRODUCTOS[[#This Row],[PPTO_ACTUALIZADO]]</f>
        <v>1754.8757000000001</v>
      </c>
    </row>
    <row r="13" spans="1:29" x14ac:dyDescent="0.25">
      <c r="A13">
        <v>601122</v>
      </c>
      <c r="B13" t="s">
        <v>69</v>
      </c>
      <c r="C13" t="s">
        <v>584</v>
      </c>
      <c r="D13">
        <v>0</v>
      </c>
      <c r="E13">
        <v>0</v>
      </c>
      <c r="F13" s="2">
        <v>12000</v>
      </c>
      <c r="G13" s="6" t="s">
        <v>355</v>
      </c>
      <c r="H13" s="2">
        <v>0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12000</v>
      </c>
      <c r="V13" s="3">
        <f>+IFERROR(PRODUCTOS[[#This Row],[PRECIO DE COMPRA]]/PRODUCTOS[[#This Row],[CANT. COMPRADA]],"")</f>
        <v>12000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12000</v>
      </c>
      <c r="AC13" s="3">
        <f>+AB13-PRODUCTOS[[#This Row],[PPTO_ACTUALIZADO]]</f>
        <v>12000</v>
      </c>
    </row>
    <row r="14" spans="1:29" x14ac:dyDescent="0.25">
      <c r="A14">
        <v>601123</v>
      </c>
      <c r="B14" t="s">
        <v>70</v>
      </c>
      <c r="C14" t="s">
        <v>585</v>
      </c>
      <c r="D14">
        <v>0</v>
      </c>
      <c r="E14">
        <v>0</v>
      </c>
      <c r="F14" s="2">
        <v>11427.75</v>
      </c>
      <c r="G14" s="6" t="s">
        <v>355</v>
      </c>
      <c r="H14" s="2">
        <v>0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11428</v>
      </c>
      <c r="V14" s="3">
        <f>+IFERROR(PRODUCTOS[[#This Row],[PRECIO DE COMPRA]]/PRODUCTOS[[#This Row],[CANT. COMPRADA]],"")</f>
        <v>11428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11427.75</v>
      </c>
      <c r="AC14" s="3">
        <f>+AB14-PRODUCTOS[[#This Row],[PPTO_ACTUALIZADO]]</f>
        <v>11427.75</v>
      </c>
    </row>
    <row r="15" spans="1:29" x14ac:dyDescent="0.25">
      <c r="A15">
        <v>602060</v>
      </c>
      <c r="B15" t="s">
        <v>71</v>
      </c>
      <c r="C15" t="s">
        <v>586</v>
      </c>
      <c r="D15">
        <v>0</v>
      </c>
      <c r="E15">
        <v>0</v>
      </c>
      <c r="F15" s="2">
        <v>63032</v>
      </c>
      <c r="G15" s="6" t="s">
        <v>355</v>
      </c>
      <c r="H15" s="2">
        <v>0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63032</v>
      </c>
      <c r="V15" s="3">
        <f>+IFERROR(PRODUCTOS[[#This Row],[PRECIO DE COMPRA]]/PRODUCTOS[[#This Row],[CANT. COMPRADA]],"")</f>
        <v>63032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63032</v>
      </c>
      <c r="AC15" s="3">
        <f>+AB15-PRODUCTOS[[#This Row],[PPTO_ACTUALIZADO]]</f>
        <v>63032</v>
      </c>
    </row>
    <row r="16" spans="1:29" x14ac:dyDescent="0.25">
      <c r="A16">
        <v>701022</v>
      </c>
      <c r="B16" t="s">
        <v>76</v>
      </c>
      <c r="C16" t="s">
        <v>560</v>
      </c>
      <c r="D16">
        <v>0</v>
      </c>
      <c r="E16">
        <v>0</v>
      </c>
      <c r="F16" s="2">
        <v>11163.59851</v>
      </c>
      <c r="G16" s="6" t="s">
        <v>355</v>
      </c>
      <c r="H16" s="2">
        <v>0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31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31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344416</v>
      </c>
      <c r="V16" s="3">
        <f>+IFERROR(PRODUCTOS[[#This Row],[PRECIO DE COMPRA]]/PRODUCTOS[[#This Row],[CANT. COMPRADA]],"")</f>
        <v>11110.193548387097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11163.5985</v>
      </c>
      <c r="AC16" s="3">
        <f>+AB16-PRODUCTOS[[#This Row],[PPTO_ACTUALIZADO]]</f>
        <v>11163.5985</v>
      </c>
    </row>
    <row r="17" spans="1:29" x14ac:dyDescent="0.25">
      <c r="A17">
        <v>2502036</v>
      </c>
      <c r="B17" t="s">
        <v>77</v>
      </c>
      <c r="C17">
        <v>0</v>
      </c>
      <c r="D17">
        <v>0</v>
      </c>
      <c r="E17">
        <v>0</v>
      </c>
      <c r="F17" s="2">
        <v>47856.412698</v>
      </c>
      <c r="G17" s="6" t="s">
        <v>355</v>
      </c>
      <c r="H17" s="2">
        <v>0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3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3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118452</v>
      </c>
      <c r="V17" s="3">
        <f>+IFERROR(PRODUCTOS[[#This Row],[PRECIO DE COMPRA]]/PRODUCTOS[[#This Row],[CANT. COMPRADA]],"")</f>
        <v>39484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47856.412700000001</v>
      </c>
      <c r="AC17" s="3">
        <f>+AB17-PRODUCTOS[[#This Row],[PPTO_ACTUALIZADO]]</f>
        <v>47856.412700000001</v>
      </c>
    </row>
    <row r="18" spans="1:29" x14ac:dyDescent="0.25">
      <c r="A18">
        <v>302019</v>
      </c>
      <c r="B18" t="s">
        <v>78</v>
      </c>
      <c r="C18" t="s">
        <v>591</v>
      </c>
      <c r="D18" t="s">
        <v>240</v>
      </c>
      <c r="E18" t="s">
        <v>403</v>
      </c>
      <c r="F18" s="2">
        <v>1660.342954</v>
      </c>
      <c r="G18" s="6" t="s">
        <v>355</v>
      </c>
      <c r="H18" s="2">
        <v>0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17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17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28241</v>
      </c>
      <c r="V18" s="3">
        <f>+IFERROR(PRODUCTOS[[#This Row],[PRECIO DE COMPRA]]/PRODUCTOS[[#This Row],[CANT. COMPRADA]],"")</f>
        <v>1661.2352941176471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1660.3430000000001</v>
      </c>
      <c r="AC18" s="3">
        <f>+AB18-PRODUCTOS[[#This Row],[PPTO_ACTUALIZADO]]</f>
        <v>1660.3430000000001</v>
      </c>
    </row>
    <row r="19" spans="1:29" x14ac:dyDescent="0.25">
      <c r="A19">
        <v>5112589</v>
      </c>
      <c r="B19" t="s">
        <v>81</v>
      </c>
      <c r="C19" t="s">
        <v>592</v>
      </c>
      <c r="D19">
        <v>0</v>
      </c>
      <c r="E19">
        <v>0</v>
      </c>
      <c r="F19" s="2">
        <v>5090.0923080000002</v>
      </c>
      <c r="G19" s="6" t="s">
        <v>355</v>
      </c>
      <c r="H19" s="2">
        <v>0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10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10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55051</v>
      </c>
      <c r="V19" s="3">
        <f>+IFERROR(PRODUCTOS[[#This Row],[PRECIO DE COMPRA]]/PRODUCTOS[[#This Row],[CANT. COMPRADA]],"")</f>
        <v>5505.1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5090.0923000000003</v>
      </c>
      <c r="AC19" s="3">
        <f>+AB19-PRODUCTOS[[#This Row],[PPTO_ACTUALIZADO]]</f>
        <v>5090.0923000000003</v>
      </c>
    </row>
    <row r="20" spans="1:29" x14ac:dyDescent="0.25">
      <c r="A20">
        <v>302039</v>
      </c>
      <c r="B20" t="s">
        <v>84</v>
      </c>
      <c r="C20" t="s">
        <v>544</v>
      </c>
      <c r="D20" t="s">
        <v>240</v>
      </c>
      <c r="E20" t="s">
        <v>403</v>
      </c>
      <c r="F20" s="2">
        <v>9825.5479560000003</v>
      </c>
      <c r="G20" s="6" t="s">
        <v>355</v>
      </c>
      <c r="H20" s="2">
        <v>0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97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97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983186</v>
      </c>
      <c r="V20" s="3">
        <f>+IFERROR(PRODUCTOS[[#This Row],[PRECIO DE COMPRA]]/PRODUCTOS[[#This Row],[CANT. COMPRADA]],"")</f>
        <v>10135.938144329897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9825.5480000000007</v>
      </c>
      <c r="AC20" s="3">
        <f>+AB20-PRODUCTOS[[#This Row],[PPTO_ACTUALIZADO]]</f>
        <v>9825.5480000000007</v>
      </c>
    </row>
    <row r="21" spans="1:29" x14ac:dyDescent="0.25">
      <c r="A21">
        <v>307275</v>
      </c>
      <c r="B21" t="s">
        <v>85</v>
      </c>
      <c r="C21">
        <v>0</v>
      </c>
      <c r="D21" t="s">
        <v>240</v>
      </c>
      <c r="E21" t="s">
        <v>403</v>
      </c>
      <c r="F21" s="2">
        <v>1482.060064</v>
      </c>
      <c r="G21" s="6" t="s">
        <v>355</v>
      </c>
      <c r="H21" s="2">
        <v>0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80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80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118565</v>
      </c>
      <c r="V21" s="3">
        <f>+IFERROR(PRODUCTOS[[#This Row],[PRECIO DE COMPRA]]/PRODUCTOS[[#This Row],[CANT. COMPRADA]],"")</f>
        <v>1482.0625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1482.0600999999999</v>
      </c>
      <c r="AC21" s="3">
        <f>+AB21-PRODUCTOS[[#This Row],[PPTO_ACTUALIZADO]]</f>
        <v>1482.0600999999999</v>
      </c>
    </row>
    <row r="22" spans="1:29" x14ac:dyDescent="0.25">
      <c r="A22">
        <v>307252</v>
      </c>
      <c r="B22" t="s">
        <v>86</v>
      </c>
      <c r="C22" t="s">
        <v>593</v>
      </c>
      <c r="D22" t="s">
        <v>240</v>
      </c>
      <c r="E22" t="s">
        <v>403</v>
      </c>
      <c r="F22" s="2">
        <v>16753.020979000001</v>
      </c>
      <c r="G22" s="6" t="s">
        <v>355</v>
      </c>
      <c r="H22" s="2">
        <v>0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8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8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134024</v>
      </c>
      <c r="V22" s="3">
        <f>+IFERROR(PRODUCTOS[[#This Row],[PRECIO DE COMPRA]]/PRODUCTOS[[#This Row],[CANT. COMPRADA]],"")</f>
        <v>16753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16753.021000000001</v>
      </c>
      <c r="AC22" s="3">
        <f>+AB22-PRODUCTOS[[#This Row],[PPTO_ACTUALIZADO]]</f>
        <v>16753.021000000001</v>
      </c>
    </row>
    <row r="23" spans="1:29" x14ac:dyDescent="0.25">
      <c r="A23" t="s">
        <v>87</v>
      </c>
      <c r="B23" t="s">
        <v>88</v>
      </c>
      <c r="C23" t="s">
        <v>594</v>
      </c>
      <c r="D23" t="s">
        <v>240</v>
      </c>
      <c r="E23" t="s">
        <v>403</v>
      </c>
      <c r="F23" s="2">
        <v>17998</v>
      </c>
      <c r="G23" s="6" t="s">
        <v>355</v>
      </c>
      <c r="H23" s="2">
        <v>0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>
        <f>+_xlfn.XLOOKUP(PRODUCTOS[[#This Row],[CODIGO]],BD_MODULO[Artículo],BD_MODULO[CUB_ACTUALIZADA],"",0)</f>
        <v>0</v>
      </c>
      <c r="M23" s="2">
        <f>+IFERROR(PRODUCTOS[[#This Row],[PPTO]]*PRODUCTOS[[#This Row],[CANT X MODULO]],"")</f>
        <v>0</v>
      </c>
      <c r="N23" s="2">
        <f>+IFERROR(PRODUCTOS[[#This Row],[PPTO X MODULO]]*32,"")</f>
        <v>0</v>
      </c>
      <c r="O23" s="2">
        <f>+IFERROR(PRODUCTOS[[#This Row],[PPTO X TORRE]]*22,"")</f>
        <v>0</v>
      </c>
      <c r="P23" s="3">
        <f>+IFERROR(PRODUCTOS[[#This Row],[CANT X MODULO]]*702,"")</f>
        <v>0</v>
      </c>
      <c r="Q23" s="3">
        <f>+SUMIFS(DETALLE_GD_1[CANTIDAD SOLICITADA],DETALLE_GD_1[CODIGO],PRODUCTOS[[#This Row],[CODIGO]])</f>
        <v>3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3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53994</v>
      </c>
      <c r="V23" s="3">
        <f>+IFERROR(PRODUCTOS[[#This Row],[PRECIO DE COMPRA]]/PRODUCTOS[[#This Row],[CANT. COMPRADA]],"")</f>
        <v>17998</v>
      </c>
      <c r="W23" s="3">
        <f>+IFERROR(PRODUCTOS[[#This Row],[PRECIO COMPRA UNITARIO]]*PRODUCTOS[[#This Row],[PPTO FALTANTE]],"")</f>
        <v>-53994</v>
      </c>
      <c r="X23" s="7" t="str">
        <f>+IFERROR(PRODUCTOS[[#This Row],[PROYECCION COMPRA]]/PRODUCTOS[[#This Row],[PPTO TOTAL]]-1,"")</f>
        <v/>
      </c>
      <c r="Y23" s="3">
        <f>+IFERROR((PRODUCTOS[[#This Row],[CANT X MODULO]]*704)-PRODUCTOS[[#This Row],[CANT. COMPRADA]],"")</f>
        <v>-3</v>
      </c>
      <c r="Z23" s="17">
        <f>+IFERROR(PRODUCTOS[[#This Row],[CANT. COMPRADA]]/PRODUCTOS[[#This Row],[PPTO FALTANTE]],"")</f>
        <v>-1</v>
      </c>
      <c r="AA23" s="3">
        <f>+IFERROR(PRODUCTOS[[#This Row],[PROYECCION COMPRA]]-(PRODUCTOS[[#This Row],[PPTO FALTANTE]]*PRODUCTOS[[#This Row],[PPTO]]),"")</f>
        <v>0</v>
      </c>
      <c r="AB23" s="3">
        <f>+_xlfn.XLOOKUP(PRODUCTOS[[#This Row],[CODIGO]],DETALLE_GD_1[CODIGO],DETALLE_GD_1[VALOR PPTO],"",0)</f>
        <v>17998</v>
      </c>
      <c r="AC23" s="3">
        <f>+AB23-PRODUCTOS[[#This Row],[PPTO_ACTUALIZADO]]</f>
        <v>17998</v>
      </c>
    </row>
    <row r="24" spans="1:29" x14ac:dyDescent="0.25">
      <c r="A24">
        <v>1405027</v>
      </c>
      <c r="B24" t="s">
        <v>89</v>
      </c>
      <c r="C24" t="s">
        <v>595</v>
      </c>
      <c r="D24" t="s">
        <v>244</v>
      </c>
      <c r="E24" t="s">
        <v>408</v>
      </c>
      <c r="F24" s="2">
        <v>20069</v>
      </c>
      <c r="G24" s="6" t="s">
        <v>90</v>
      </c>
      <c r="H24" s="2">
        <v>0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1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1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20069</v>
      </c>
      <c r="V24" s="3">
        <f>+IFERROR(PRODUCTOS[[#This Row],[PRECIO DE COMPRA]]/PRODUCTOS[[#This Row],[CANT. COMPRADA]],"")</f>
        <v>20069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20069</v>
      </c>
      <c r="AC24" s="3">
        <f>+AB24-PRODUCTOS[[#This Row],[PPTO_ACTUALIZADO]]</f>
        <v>20069</v>
      </c>
    </row>
    <row r="25" spans="1:29" x14ac:dyDescent="0.25">
      <c r="A25">
        <v>1405026</v>
      </c>
      <c r="B25" t="s">
        <v>91</v>
      </c>
      <c r="C25" t="s">
        <v>596</v>
      </c>
      <c r="D25" t="s">
        <v>244</v>
      </c>
      <c r="E25" t="s">
        <v>408</v>
      </c>
      <c r="F25" s="2">
        <v>18880.599999999999</v>
      </c>
      <c r="G25" s="6" t="s">
        <v>90</v>
      </c>
      <c r="H25" s="2">
        <v>0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2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2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37698</v>
      </c>
      <c r="V25" s="3">
        <f>+IFERROR(PRODUCTOS[[#This Row],[PRECIO DE COMPRA]]/PRODUCTOS[[#This Row],[CANT. COMPRADA]],"")</f>
        <v>18849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18880.599999999999</v>
      </c>
      <c r="AC25" s="3">
        <f>+AB25-PRODUCTOS[[#This Row],[PPTO_ACTUALIZADO]]</f>
        <v>18880.599999999999</v>
      </c>
    </row>
    <row r="26" spans="1:29" x14ac:dyDescent="0.25">
      <c r="A26">
        <v>1801154</v>
      </c>
      <c r="B26" t="s">
        <v>99</v>
      </c>
      <c r="C26" t="s">
        <v>602</v>
      </c>
      <c r="D26" t="s">
        <v>244</v>
      </c>
      <c r="E26" t="s">
        <v>406</v>
      </c>
      <c r="F26" s="2">
        <v>32738.5</v>
      </c>
      <c r="G26" s="6" t="s">
        <v>355</v>
      </c>
      <c r="H26" s="2">
        <v>0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>
        <f>+_xlfn.XLOOKUP(PRODUCTOS[[#This Row],[CODIGO]],BD_MODULO[Artículo],BD_MODULO[CUB_ACTUALIZADA],"",0)</f>
        <v>0</v>
      </c>
      <c r="M26" s="2">
        <f>+IFERROR(PRODUCTOS[[#This Row],[PPTO]]*PRODUCTOS[[#This Row],[CANT X MODULO]],"")</f>
        <v>0</v>
      </c>
      <c r="N26" s="2">
        <f>+IFERROR(PRODUCTOS[[#This Row],[PPTO X MODULO]]*32,"")</f>
        <v>0</v>
      </c>
      <c r="O26" s="2">
        <f>+IFERROR(PRODUCTOS[[#This Row],[PPTO X TORRE]]*22,"")</f>
        <v>0</v>
      </c>
      <c r="P26" s="3">
        <f>+IFERROR(PRODUCTOS[[#This Row],[CANT X MODULO]]*702,"")</f>
        <v>0</v>
      </c>
      <c r="Q26" s="3">
        <f>+SUMIFS(DETALLE_GD_1[CANTIDAD SOLICITADA],DETALLE_GD_1[CODIGO],PRODUCTOS[[#This Row],[CODIGO]])</f>
        <v>4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4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36428</v>
      </c>
      <c r="V26" s="3">
        <f>+IFERROR(PRODUCTOS[[#This Row],[PRECIO DE COMPRA]]/PRODUCTOS[[#This Row],[CANT. COMPRADA]],"")</f>
        <v>9107</v>
      </c>
      <c r="W26" s="3">
        <f>+IFERROR(PRODUCTOS[[#This Row],[PRECIO COMPRA UNITARIO]]*PRODUCTOS[[#This Row],[PPTO FALTANTE]],"")</f>
        <v>-36428</v>
      </c>
      <c r="X26" s="7" t="str">
        <f>+IFERROR(PRODUCTOS[[#This Row],[PROYECCION COMPRA]]/PRODUCTOS[[#This Row],[PPTO TOTAL]]-1,"")</f>
        <v/>
      </c>
      <c r="Y26" s="3">
        <f>+IFERROR((PRODUCTOS[[#This Row],[CANT X MODULO]]*704)-PRODUCTOS[[#This Row],[CANT. COMPRADA]],"")</f>
        <v>-4</v>
      </c>
      <c r="Z26" s="17">
        <f>+IFERROR(PRODUCTOS[[#This Row],[CANT. COMPRADA]]/PRODUCTOS[[#This Row],[PPTO FALTANTE]],"")</f>
        <v>-1</v>
      </c>
      <c r="AA26" s="3">
        <f>+IFERROR(PRODUCTOS[[#This Row],[PROYECCION COMPRA]]-(PRODUCTOS[[#This Row],[PPTO FALTANTE]]*PRODUCTOS[[#This Row],[PPTO]]),"")</f>
        <v>94526</v>
      </c>
      <c r="AB26" s="3">
        <f>+_xlfn.XLOOKUP(PRODUCTOS[[#This Row],[CODIGO]],DETALLE_GD_1[CODIGO],DETALLE_GD_1[VALOR PPTO],"",0)</f>
        <v>32738.5</v>
      </c>
      <c r="AC26" s="3">
        <f>+AB26-PRODUCTOS[[#This Row],[PPTO_ACTUALIZADO]]</f>
        <v>32738.5</v>
      </c>
    </row>
    <row r="27" spans="1:29" x14ac:dyDescent="0.25">
      <c r="A27">
        <v>1101971</v>
      </c>
      <c r="B27" t="s">
        <v>100</v>
      </c>
      <c r="C27" t="s">
        <v>529</v>
      </c>
      <c r="D27">
        <v>0</v>
      </c>
      <c r="E27">
        <v>0</v>
      </c>
      <c r="F27" s="2">
        <v>44950</v>
      </c>
      <c r="G27" s="6" t="s">
        <v>355</v>
      </c>
      <c r="H27" s="2">
        <v>0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>
        <f>+_xlfn.XLOOKUP(PRODUCTOS[[#This Row],[CODIGO]],BD_MODULO[Artículo],BD_MODULO[CUB_ACTUALIZADA],"",0)</f>
        <v>0</v>
      </c>
      <c r="M27" s="2">
        <f>+IFERROR(PRODUCTOS[[#This Row],[PPTO]]*PRODUCTOS[[#This Row],[CANT X MODULO]],"")</f>
        <v>0</v>
      </c>
      <c r="N27" s="2">
        <f>+IFERROR(PRODUCTOS[[#This Row],[PPTO X MODULO]]*32,"")</f>
        <v>0</v>
      </c>
      <c r="O27" s="2">
        <f>+IFERROR(PRODUCTOS[[#This Row],[PPTO X TORRE]]*22,"")</f>
        <v>0</v>
      </c>
      <c r="P27" s="3">
        <f>+IFERROR(PRODUCTOS[[#This Row],[CANT X MODULO]]*702,"")</f>
        <v>0</v>
      </c>
      <c r="Q27" s="3">
        <f>+SUMIFS(DETALLE_GD_1[CANTIDAD SOLICITADA],DETALLE_GD_1[CODIGO],PRODUCTOS[[#This Row],[CODIGO]])</f>
        <v>3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3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134850</v>
      </c>
      <c r="V27" s="3">
        <f>+IFERROR(PRODUCTOS[[#This Row],[PRECIO DE COMPRA]]/PRODUCTOS[[#This Row],[CANT. COMPRADA]],"")</f>
        <v>44950</v>
      </c>
      <c r="W27" s="3">
        <f>+IFERROR(PRODUCTOS[[#This Row],[PRECIO COMPRA UNITARIO]]*PRODUCTOS[[#This Row],[PPTO FALTANTE]],"")</f>
        <v>-134850</v>
      </c>
      <c r="X27" s="7" t="str">
        <f>+IFERROR(PRODUCTOS[[#This Row],[PROYECCION COMPRA]]/PRODUCTOS[[#This Row],[PPTO TOTAL]]-1,"")</f>
        <v/>
      </c>
      <c r="Y27" s="3">
        <f>+IFERROR((PRODUCTOS[[#This Row],[CANT X MODULO]]*704)-PRODUCTOS[[#This Row],[CANT. COMPRADA]],"")</f>
        <v>-3</v>
      </c>
      <c r="Z27" s="17">
        <f>+IFERROR(PRODUCTOS[[#This Row],[CANT. COMPRADA]]/PRODUCTOS[[#This Row],[PPTO FALTANTE]],"")</f>
        <v>-1</v>
      </c>
      <c r="AA27" s="3">
        <f>+IFERROR(PRODUCTOS[[#This Row],[PROYECCION COMPRA]]-(PRODUCTOS[[#This Row],[PPTO FALTANTE]]*PRODUCTOS[[#This Row],[PPTO]]),"")</f>
        <v>0</v>
      </c>
      <c r="AB27" s="3">
        <f>+_xlfn.XLOOKUP(PRODUCTOS[[#This Row],[CODIGO]],DETALLE_GD_1[CODIGO],DETALLE_GD_1[VALOR PPTO],"",0)</f>
        <v>44950</v>
      </c>
      <c r="AC27" s="3">
        <f>+AB27-PRODUCTOS[[#This Row],[PPTO_ACTUALIZADO]]</f>
        <v>44950</v>
      </c>
    </row>
    <row r="28" spans="1:29" x14ac:dyDescent="0.25">
      <c r="A28">
        <v>1802005</v>
      </c>
      <c r="B28" t="s">
        <v>101</v>
      </c>
      <c r="C28" t="s">
        <v>603</v>
      </c>
      <c r="D28" t="s">
        <v>244</v>
      </c>
      <c r="E28" t="s">
        <v>406</v>
      </c>
      <c r="F28" s="2">
        <v>3780.4087909999998</v>
      </c>
      <c r="G28" s="6" t="s">
        <v>355</v>
      </c>
      <c r="H28" s="2">
        <v>0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>
        <f>+_xlfn.XLOOKUP(PRODUCTOS[[#This Row],[CODIGO]],BD_MODULO[Artículo],BD_MODULO[CUB_ACTUALIZADA],"",0)</f>
        <v>0</v>
      </c>
      <c r="M28" s="2">
        <f>+IFERROR(PRODUCTOS[[#This Row],[PPTO]]*PRODUCTOS[[#This Row],[CANT X MODULO]],"")</f>
        <v>0</v>
      </c>
      <c r="N28" s="2">
        <f>+IFERROR(PRODUCTOS[[#This Row],[PPTO X MODULO]]*32,"")</f>
        <v>0</v>
      </c>
      <c r="O28" s="2">
        <f>+IFERROR(PRODUCTOS[[#This Row],[PPTO X TORRE]]*22,"")</f>
        <v>0</v>
      </c>
      <c r="P28" s="3">
        <f>+IFERROR(PRODUCTOS[[#This Row],[CANT X MODULO]]*702,"")</f>
        <v>0</v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3780</v>
      </c>
      <c r="V28" s="3">
        <f>+IFERROR(PRODUCTOS[[#This Row],[PRECIO DE COMPRA]]/PRODUCTOS[[#This Row],[CANT. COMPRADA]],"")</f>
        <v>3780</v>
      </c>
      <c r="W28" s="3">
        <f>+IFERROR(PRODUCTOS[[#This Row],[PRECIO COMPRA UNITARIO]]*PRODUCTOS[[#This Row],[PPTO FALTANTE]],"")</f>
        <v>-3780</v>
      </c>
      <c r="X28" s="7" t="str">
        <f>+IFERROR(PRODUCTOS[[#This Row],[PROYECCION COMPRA]]/PRODUCTOS[[#This Row],[PPTO TOTAL]]-1,"")</f>
        <v/>
      </c>
      <c r="Y28" s="3">
        <f>+IFERROR((PRODUCTOS[[#This Row],[CANT X MODULO]]*704)-PRODUCTOS[[#This Row],[CANT. COMPRADA]],"")</f>
        <v>-1</v>
      </c>
      <c r="Z28" s="17">
        <f>+IFERROR(PRODUCTOS[[#This Row],[CANT. COMPRADA]]/PRODUCTOS[[#This Row],[PPTO FALTANTE]],"")</f>
        <v>-1</v>
      </c>
      <c r="AA28" s="3">
        <f>+IFERROR(PRODUCTOS[[#This Row],[PROYECCION COMPRA]]-(PRODUCTOS[[#This Row],[PPTO FALTANTE]]*PRODUCTOS[[#This Row],[PPTO]]),"")</f>
        <v>0.40879099999983737</v>
      </c>
      <c r="AB28" s="3">
        <f>+_xlfn.XLOOKUP(PRODUCTOS[[#This Row],[CODIGO]],DETALLE_GD_1[CODIGO],DETALLE_GD_1[VALOR PPTO],"",0)</f>
        <v>3780.4088000000002</v>
      </c>
      <c r="AC28" s="3">
        <f>+AB28-PRODUCTOS[[#This Row],[PPTO_ACTUALIZADO]]</f>
        <v>3780.4088000000002</v>
      </c>
    </row>
    <row r="29" spans="1:29" x14ac:dyDescent="0.25">
      <c r="A29">
        <v>1808043</v>
      </c>
      <c r="B29" t="s">
        <v>102</v>
      </c>
      <c r="C29" t="s">
        <v>604</v>
      </c>
      <c r="D29">
        <v>0</v>
      </c>
      <c r="E29">
        <v>0</v>
      </c>
      <c r="F29" s="2">
        <v>2779.727273</v>
      </c>
      <c r="G29" s="6" t="s">
        <v>355</v>
      </c>
      <c r="H29" s="2">
        <v>0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>
        <f>+_xlfn.XLOOKUP(PRODUCTOS[[#This Row],[CODIGO]],BD_MODULO[Artículo],BD_MODULO[CUB_ACTUALIZADA],"",0)</f>
        <v>0</v>
      </c>
      <c r="M29" s="2">
        <f>+IFERROR(PRODUCTOS[[#This Row],[PPTO]]*PRODUCTOS[[#This Row],[CANT X MODULO]],"")</f>
        <v>0</v>
      </c>
      <c r="N29" s="2">
        <f>+IFERROR(PRODUCTOS[[#This Row],[PPTO X MODULO]]*32,"")</f>
        <v>0</v>
      </c>
      <c r="O29" s="2">
        <f>+IFERROR(PRODUCTOS[[#This Row],[PPTO X TORRE]]*22,"")</f>
        <v>0</v>
      </c>
      <c r="P29" s="3">
        <f>+IFERROR(PRODUCTOS[[#This Row],[CANT X MODULO]]*702,"")</f>
        <v>0</v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2780</v>
      </c>
      <c r="V29" s="3">
        <f>+IFERROR(PRODUCTOS[[#This Row],[PRECIO DE COMPRA]]/PRODUCTOS[[#This Row],[CANT. COMPRADA]],"")</f>
        <v>2780</v>
      </c>
      <c r="W29" s="3">
        <f>+IFERROR(PRODUCTOS[[#This Row],[PRECIO COMPRA UNITARIO]]*PRODUCTOS[[#This Row],[PPTO FALTANTE]],"")</f>
        <v>-2780</v>
      </c>
      <c r="X29" s="7" t="str">
        <f>+IFERROR(PRODUCTOS[[#This Row],[PROYECCION COMPRA]]/PRODUCTOS[[#This Row],[PPTO TOTAL]]-1,"")</f>
        <v/>
      </c>
      <c r="Y29" s="3">
        <f>+IFERROR((PRODUCTOS[[#This Row],[CANT X MODULO]]*704)-PRODUCTOS[[#This Row],[CANT. COMPRADA]],"")</f>
        <v>-1</v>
      </c>
      <c r="Z29" s="17">
        <f>+IFERROR(PRODUCTOS[[#This Row],[CANT. COMPRADA]]/PRODUCTOS[[#This Row],[PPTO FALTANTE]],"")</f>
        <v>-1</v>
      </c>
      <c r="AA29" s="3">
        <f>+IFERROR(PRODUCTOS[[#This Row],[PROYECCION COMPRA]]-(PRODUCTOS[[#This Row],[PPTO FALTANTE]]*PRODUCTOS[[#This Row],[PPTO]]),"")</f>
        <v>-0.27272700000003169</v>
      </c>
      <c r="AB29" s="3">
        <f>+_xlfn.XLOOKUP(PRODUCTOS[[#This Row],[CODIGO]],DETALLE_GD_1[CODIGO],DETALLE_GD_1[VALOR PPTO],"",0)</f>
        <v>2779.7273</v>
      </c>
      <c r="AC29" s="3">
        <f>+AB29-PRODUCTOS[[#This Row],[PPTO_ACTUALIZADO]]</f>
        <v>2779.7273</v>
      </c>
    </row>
    <row r="30" spans="1:29" x14ac:dyDescent="0.25">
      <c r="A30">
        <v>1801236</v>
      </c>
      <c r="B30" t="s">
        <v>103</v>
      </c>
      <c r="C30" t="s">
        <v>605</v>
      </c>
      <c r="D30" t="s">
        <v>258</v>
      </c>
      <c r="E30">
        <v>0</v>
      </c>
      <c r="F30" s="2">
        <v>8938</v>
      </c>
      <c r="G30" s="6" t="s">
        <v>355</v>
      </c>
      <c r="H30" s="2">
        <v>0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>
        <f>+_xlfn.XLOOKUP(PRODUCTOS[[#This Row],[CODIGO]],BD_MODULO[Artículo],BD_MODULO[CUB_ACTUALIZADA],"",0)</f>
        <v>0</v>
      </c>
      <c r="M30" s="2">
        <f>+IFERROR(PRODUCTOS[[#This Row],[PPTO]]*PRODUCTOS[[#This Row],[CANT X MODULO]],"")</f>
        <v>0</v>
      </c>
      <c r="N30" s="2">
        <f>+IFERROR(PRODUCTOS[[#This Row],[PPTO X MODULO]]*32,"")</f>
        <v>0</v>
      </c>
      <c r="O30" s="2">
        <f>+IFERROR(PRODUCTOS[[#This Row],[PPTO X TORRE]]*22,"")</f>
        <v>0</v>
      </c>
      <c r="P30" s="3">
        <f>+IFERROR(PRODUCTOS[[#This Row],[CANT X MODULO]]*702,"")</f>
        <v>0</v>
      </c>
      <c r="Q30" s="3">
        <f>+SUMIFS(DETALLE_GD_1[CANTIDAD SOLICITADA],DETALLE_GD_1[CODIGO],PRODUCTOS[[#This Row],[CODIGO]])</f>
        <v>1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1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9269</v>
      </c>
      <c r="V30" s="3">
        <f>+IFERROR(PRODUCTOS[[#This Row],[PRECIO DE COMPRA]]/PRODUCTOS[[#This Row],[CANT. COMPRADA]],"")</f>
        <v>9269</v>
      </c>
      <c r="W30" s="3">
        <f>+IFERROR(PRODUCTOS[[#This Row],[PRECIO COMPRA UNITARIO]]*PRODUCTOS[[#This Row],[PPTO FALTANTE]],"")</f>
        <v>-9269</v>
      </c>
      <c r="X30" s="7" t="str">
        <f>+IFERROR(PRODUCTOS[[#This Row],[PROYECCION COMPRA]]/PRODUCTOS[[#This Row],[PPTO TOTAL]]-1,"")</f>
        <v/>
      </c>
      <c r="Y30" s="3">
        <f>+IFERROR((PRODUCTOS[[#This Row],[CANT X MODULO]]*704)-PRODUCTOS[[#This Row],[CANT. COMPRADA]],"")</f>
        <v>-1</v>
      </c>
      <c r="Z30" s="17">
        <f>+IFERROR(PRODUCTOS[[#This Row],[CANT. COMPRADA]]/PRODUCTOS[[#This Row],[PPTO FALTANTE]],"")</f>
        <v>-1</v>
      </c>
      <c r="AA30" s="3">
        <f>+IFERROR(PRODUCTOS[[#This Row],[PROYECCION COMPRA]]-(PRODUCTOS[[#This Row],[PPTO FALTANTE]]*PRODUCTOS[[#This Row],[PPTO]]),"")</f>
        <v>-331</v>
      </c>
      <c r="AB30" s="3">
        <f>+_xlfn.XLOOKUP(PRODUCTOS[[#This Row],[CODIGO]],DETALLE_GD_1[CODIGO],DETALLE_GD_1[VALOR PPTO],"",0)</f>
        <v>8938</v>
      </c>
      <c r="AC30" s="3">
        <f>+AB30-PRODUCTOS[[#This Row],[PPTO_ACTUALIZADO]]</f>
        <v>8938</v>
      </c>
    </row>
    <row r="31" spans="1:29" x14ac:dyDescent="0.25">
      <c r="A31">
        <v>1801238</v>
      </c>
      <c r="B31" t="s">
        <v>104</v>
      </c>
      <c r="C31" t="s">
        <v>606</v>
      </c>
      <c r="D31" t="s">
        <v>258</v>
      </c>
      <c r="E31" t="s">
        <v>355</v>
      </c>
      <c r="F31" s="2">
        <v>16615</v>
      </c>
      <c r="G31" s="6" t="s">
        <v>355</v>
      </c>
      <c r="H31" s="2">
        <v>0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>
        <f>+_xlfn.XLOOKUP(PRODUCTOS[[#This Row],[CODIGO]],BD_MODULO[Artículo],BD_MODULO[CUB_ACTUALIZADA],"",0)</f>
        <v>0</v>
      </c>
      <c r="M31" s="2">
        <f>+IFERROR(PRODUCTOS[[#This Row],[PPTO]]*PRODUCTOS[[#This Row],[CANT X MODULO]],"")</f>
        <v>0</v>
      </c>
      <c r="N31" s="2">
        <f>+IFERROR(PRODUCTOS[[#This Row],[PPTO X MODULO]]*32,"")</f>
        <v>0</v>
      </c>
      <c r="O31" s="2">
        <f>+IFERROR(PRODUCTOS[[#This Row],[PPTO X TORRE]]*22,"")</f>
        <v>0</v>
      </c>
      <c r="P31" s="3">
        <f>+IFERROR(PRODUCTOS[[#This Row],[CANT X MODULO]]*702,"")</f>
        <v>0</v>
      </c>
      <c r="Q31" s="3">
        <f>+SUMIFS(DETALLE_GD_1[CANTIDAD SOLICITADA],DETALLE_GD_1[CODIGO],PRODUCTOS[[#This Row],[CODIGO]])</f>
        <v>1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1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16615</v>
      </c>
      <c r="V31" s="3">
        <f>+IFERROR(PRODUCTOS[[#This Row],[PRECIO DE COMPRA]]/PRODUCTOS[[#This Row],[CANT. COMPRADA]],"")</f>
        <v>16615</v>
      </c>
      <c r="W31" s="3">
        <f>+IFERROR(PRODUCTOS[[#This Row],[PRECIO COMPRA UNITARIO]]*PRODUCTOS[[#This Row],[PPTO FALTANTE]],"")</f>
        <v>-16615</v>
      </c>
      <c r="X31" s="7" t="str">
        <f>+IFERROR(PRODUCTOS[[#This Row],[PROYECCION COMPRA]]/PRODUCTOS[[#This Row],[PPTO TOTAL]]-1,"")</f>
        <v/>
      </c>
      <c r="Y31" s="3">
        <f>+IFERROR((PRODUCTOS[[#This Row],[CANT X MODULO]]*704)-PRODUCTOS[[#This Row],[CANT. COMPRADA]],"")</f>
        <v>-1</v>
      </c>
      <c r="Z31" s="17">
        <f>+IFERROR(PRODUCTOS[[#This Row],[CANT. COMPRADA]]/PRODUCTOS[[#This Row],[PPTO FALTANTE]],"")</f>
        <v>-1</v>
      </c>
      <c r="AA31" s="3">
        <f>+IFERROR(PRODUCTOS[[#This Row],[PROYECCION COMPRA]]-(PRODUCTOS[[#This Row],[PPTO FALTANTE]]*PRODUCTOS[[#This Row],[PPTO]]),"")</f>
        <v>0</v>
      </c>
      <c r="AB31" s="3">
        <f>+_xlfn.XLOOKUP(PRODUCTOS[[#This Row],[CODIGO]],DETALLE_GD_1[CODIGO],DETALLE_GD_1[VALOR PPTO],"",0)</f>
        <v>16615</v>
      </c>
      <c r="AC31" s="3">
        <f>+AB31-PRODUCTOS[[#This Row],[PPTO_ACTUALIZADO]]</f>
        <v>16615</v>
      </c>
    </row>
    <row r="32" spans="1:29" x14ac:dyDescent="0.25">
      <c r="A32">
        <v>1801011</v>
      </c>
      <c r="B32" t="s">
        <v>105</v>
      </c>
      <c r="C32" t="s">
        <v>607</v>
      </c>
      <c r="D32">
        <v>0</v>
      </c>
      <c r="E32">
        <v>0</v>
      </c>
      <c r="F32" s="2">
        <v>9242.4217690000005</v>
      </c>
      <c r="G32" s="6" t="s">
        <v>355</v>
      </c>
      <c r="H32" s="2">
        <v>0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>
        <f>+_xlfn.XLOOKUP(PRODUCTOS[[#This Row],[CODIGO]],BD_MODULO[Artículo],BD_MODULO[CUB_ACTUALIZADA],"",0)</f>
        <v>0</v>
      </c>
      <c r="M32" s="2">
        <f>+IFERROR(PRODUCTOS[[#This Row],[PPTO]]*PRODUCTOS[[#This Row],[CANT X MODULO]],"")</f>
        <v>0</v>
      </c>
      <c r="N32" s="2">
        <f>+IFERROR(PRODUCTOS[[#This Row],[PPTO X MODULO]]*32,"")</f>
        <v>0</v>
      </c>
      <c r="O32" s="2">
        <f>+IFERROR(PRODUCTOS[[#This Row],[PPTO X TORRE]]*22,"")</f>
        <v>0</v>
      </c>
      <c r="P32" s="3">
        <f>+IFERROR(PRODUCTOS[[#This Row],[CANT X MODULO]]*702,"")</f>
        <v>0</v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9273</v>
      </c>
      <c r="V32" s="3">
        <f>+IFERROR(PRODUCTOS[[#This Row],[PRECIO DE COMPRA]]/PRODUCTOS[[#This Row],[CANT. COMPRADA]],"")</f>
        <v>9273</v>
      </c>
      <c r="W32" s="3">
        <f>+IFERROR(PRODUCTOS[[#This Row],[PRECIO COMPRA UNITARIO]]*PRODUCTOS[[#This Row],[PPTO FALTANTE]],"")</f>
        <v>-9273</v>
      </c>
      <c r="X32" s="7" t="str">
        <f>+IFERROR(PRODUCTOS[[#This Row],[PROYECCION COMPRA]]/PRODUCTOS[[#This Row],[PPTO TOTAL]]-1,"")</f>
        <v/>
      </c>
      <c r="Y32" s="3">
        <f>+IFERROR((PRODUCTOS[[#This Row],[CANT X MODULO]]*704)-PRODUCTOS[[#This Row],[CANT. COMPRADA]],"")</f>
        <v>-1</v>
      </c>
      <c r="Z32" s="17">
        <f>+IFERROR(PRODUCTOS[[#This Row],[CANT. COMPRADA]]/PRODUCTOS[[#This Row],[PPTO FALTANTE]],"")</f>
        <v>-1</v>
      </c>
      <c r="AA32" s="3">
        <f>+IFERROR(PRODUCTOS[[#This Row],[PROYECCION COMPRA]]-(PRODUCTOS[[#This Row],[PPTO FALTANTE]]*PRODUCTOS[[#This Row],[PPTO]]),"")</f>
        <v>-30.578230999999505</v>
      </c>
      <c r="AB32" s="3">
        <f>+_xlfn.XLOOKUP(PRODUCTOS[[#This Row],[CODIGO]],DETALLE_GD_1[CODIGO],DETALLE_GD_1[VALOR PPTO],"",0)</f>
        <v>9242.4218000000001</v>
      </c>
      <c r="AC32" s="3">
        <f>+AB32-PRODUCTOS[[#This Row],[PPTO_ACTUALIZADO]]</f>
        <v>9242.4218000000001</v>
      </c>
    </row>
    <row r="33" spans="1:29" x14ac:dyDescent="0.25">
      <c r="A33">
        <v>1101946</v>
      </c>
      <c r="B33" t="s">
        <v>117</v>
      </c>
      <c r="C33" t="s">
        <v>615</v>
      </c>
      <c r="D33">
        <v>0</v>
      </c>
      <c r="E33">
        <v>0</v>
      </c>
      <c r="F33" s="2">
        <v>52385.051282</v>
      </c>
      <c r="G33" s="6" t="s">
        <v>355</v>
      </c>
      <c r="H33" s="2">
        <v>0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>
        <f>+_xlfn.XLOOKUP(PRODUCTOS[[#This Row],[CODIGO]],BD_MODULO[Artículo],BD_MODULO[CUB_ACTUALIZADA],"",0)</f>
        <v>0</v>
      </c>
      <c r="M33" s="2">
        <f>+IFERROR(PRODUCTOS[[#This Row],[PPTO]]*PRODUCTOS[[#This Row],[CANT X MODULO]],"")</f>
        <v>0</v>
      </c>
      <c r="N33" s="2">
        <f>+IFERROR(PRODUCTOS[[#This Row],[PPTO X MODULO]]*32,"")</f>
        <v>0</v>
      </c>
      <c r="O33" s="2">
        <f>+IFERROR(PRODUCTOS[[#This Row],[PPTO X TORRE]]*22,"")</f>
        <v>0</v>
      </c>
      <c r="P33" s="3">
        <f>+IFERROR(PRODUCTOS[[#This Row],[CANT X MODULO]]*702,"")</f>
        <v>0</v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52060</v>
      </c>
      <c r="V33" s="3">
        <f>+IFERROR(PRODUCTOS[[#This Row],[PRECIO DE COMPRA]]/PRODUCTOS[[#This Row],[CANT. COMPRADA]],"")</f>
        <v>52060</v>
      </c>
      <c r="W33" s="3">
        <f>+IFERROR(PRODUCTOS[[#This Row],[PRECIO COMPRA UNITARIO]]*PRODUCTOS[[#This Row],[PPTO FALTANTE]],"")</f>
        <v>-52060</v>
      </c>
      <c r="X33" s="7" t="str">
        <f>+IFERROR(PRODUCTOS[[#This Row],[PROYECCION COMPRA]]/PRODUCTOS[[#This Row],[PPTO TOTAL]]-1,"")</f>
        <v/>
      </c>
      <c r="Y33" s="3">
        <f>+IFERROR((PRODUCTOS[[#This Row],[CANT X MODULO]]*704)-PRODUCTOS[[#This Row],[CANT. COMPRADA]],"")</f>
        <v>-1</v>
      </c>
      <c r="Z33" s="17">
        <f>+IFERROR(PRODUCTOS[[#This Row],[CANT. COMPRADA]]/PRODUCTOS[[#This Row],[PPTO FALTANTE]],"")</f>
        <v>-1</v>
      </c>
      <c r="AA33" s="3">
        <f>+IFERROR(PRODUCTOS[[#This Row],[PROYECCION COMPRA]]-(PRODUCTOS[[#This Row],[PPTO FALTANTE]]*PRODUCTOS[[#This Row],[PPTO]]),"")</f>
        <v>325.05128200000036</v>
      </c>
      <c r="AB33" s="3">
        <f>+_xlfn.XLOOKUP(PRODUCTOS[[#This Row],[CODIGO]],DETALLE_GD_1[CODIGO],DETALLE_GD_1[VALOR PPTO],"",0)</f>
        <v>52385.051299999999</v>
      </c>
      <c r="AC33" s="3">
        <f>+AB33-PRODUCTOS[[#This Row],[PPTO_ACTUALIZADO]]</f>
        <v>52385.051299999999</v>
      </c>
    </row>
    <row r="34" spans="1:29" x14ac:dyDescent="0.25">
      <c r="A34">
        <v>1401065</v>
      </c>
      <c r="B34" t="s">
        <v>118</v>
      </c>
      <c r="C34" t="s">
        <v>616</v>
      </c>
      <c r="D34" t="s">
        <v>244</v>
      </c>
      <c r="E34" t="s">
        <v>355</v>
      </c>
      <c r="F34" s="2">
        <v>13116.498607</v>
      </c>
      <c r="G34" s="6" t="s">
        <v>355</v>
      </c>
      <c r="H34" s="2">
        <v>0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>
        <f>+_xlfn.XLOOKUP(PRODUCTOS[[#This Row],[CODIGO]],BD_MODULO[Artículo],BD_MODULO[CUB_ACTUALIZADA],"",0)</f>
        <v>0</v>
      </c>
      <c r="M34" s="2">
        <f>+IFERROR(PRODUCTOS[[#This Row],[PPTO]]*PRODUCTOS[[#This Row],[CANT X MODULO]],"")</f>
        <v>0</v>
      </c>
      <c r="N34" s="2">
        <f>+IFERROR(PRODUCTOS[[#This Row],[PPTO X MODULO]]*32,"")</f>
        <v>0</v>
      </c>
      <c r="O34" s="2">
        <f>+IFERROR(PRODUCTOS[[#This Row],[PPTO X TORRE]]*22,"")</f>
        <v>0</v>
      </c>
      <c r="P34" s="3">
        <f>+IFERROR(PRODUCTOS[[#This Row],[CANT X MODULO]]*702,"")</f>
        <v>0</v>
      </c>
      <c r="Q34" s="3">
        <f>+SUMIFS(DETALLE_GD_1[CANTIDAD SOLICITADA],DETALLE_GD_1[CODIGO],PRODUCTOS[[#This Row],[CODIGO]])</f>
        <v>3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3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39438</v>
      </c>
      <c r="V34" s="3">
        <f>+IFERROR(PRODUCTOS[[#This Row],[PRECIO DE COMPRA]]/PRODUCTOS[[#This Row],[CANT. COMPRADA]],"")</f>
        <v>13146</v>
      </c>
      <c r="W34" s="3">
        <f>+IFERROR(PRODUCTOS[[#This Row],[PRECIO COMPRA UNITARIO]]*PRODUCTOS[[#This Row],[PPTO FALTANTE]],"")</f>
        <v>-39438</v>
      </c>
      <c r="X34" s="7" t="str">
        <f>+IFERROR(PRODUCTOS[[#This Row],[PROYECCION COMPRA]]/PRODUCTOS[[#This Row],[PPTO TOTAL]]-1,"")</f>
        <v/>
      </c>
      <c r="Y34" s="3">
        <f>+IFERROR((PRODUCTOS[[#This Row],[CANT X MODULO]]*704)-PRODUCTOS[[#This Row],[CANT. COMPRADA]],"")</f>
        <v>-3</v>
      </c>
      <c r="Z34" s="17">
        <f>+IFERROR(PRODUCTOS[[#This Row],[CANT. COMPRADA]]/PRODUCTOS[[#This Row],[PPTO FALTANTE]],"")</f>
        <v>-1</v>
      </c>
      <c r="AA34" s="3">
        <f>+IFERROR(PRODUCTOS[[#This Row],[PROYECCION COMPRA]]-(PRODUCTOS[[#This Row],[PPTO FALTANTE]]*PRODUCTOS[[#This Row],[PPTO]]),"")</f>
        <v>-88.504179000003205</v>
      </c>
      <c r="AB34" s="3">
        <f>+_xlfn.XLOOKUP(PRODUCTOS[[#This Row],[CODIGO]],DETALLE_GD_1[CODIGO],DETALLE_GD_1[VALOR PPTO],"",0)</f>
        <v>13116.498600000001</v>
      </c>
      <c r="AC34" s="3">
        <f>+AB34-PRODUCTOS[[#This Row],[PPTO_ACTUALIZADO]]</f>
        <v>13116.498600000001</v>
      </c>
    </row>
    <row r="35" spans="1:29" x14ac:dyDescent="0.25">
      <c r="A35">
        <v>1105121</v>
      </c>
      <c r="B35" t="s">
        <v>119</v>
      </c>
      <c r="C35" t="s">
        <v>617</v>
      </c>
      <c r="D35" t="s">
        <v>244</v>
      </c>
      <c r="E35" t="s">
        <v>355</v>
      </c>
      <c r="F35" s="2">
        <v>96540.363635999995</v>
      </c>
      <c r="G35" s="6" t="s">
        <v>355</v>
      </c>
      <c r="H35" s="2">
        <v>0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>
        <f>+_xlfn.XLOOKUP(PRODUCTOS[[#This Row],[CODIGO]],BD_MODULO[Artículo],BD_MODULO[CUB_ACTUALIZADA],"",0)</f>
        <v>0</v>
      </c>
      <c r="M35" s="2">
        <f>+IFERROR(PRODUCTOS[[#This Row],[PPTO]]*PRODUCTOS[[#This Row],[CANT X MODULO]],"")</f>
        <v>0</v>
      </c>
      <c r="N35" s="2">
        <f>+IFERROR(PRODUCTOS[[#This Row],[PPTO X MODULO]]*32,"")</f>
        <v>0</v>
      </c>
      <c r="O35" s="2">
        <f>+IFERROR(PRODUCTOS[[#This Row],[PPTO X TORRE]]*22,"")</f>
        <v>0</v>
      </c>
      <c r="P35" s="3">
        <f>+IFERROR(PRODUCTOS[[#This Row],[CANT X MODULO]]*702,"")</f>
        <v>0</v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96540</v>
      </c>
      <c r="V35" s="3">
        <f>+IFERROR(PRODUCTOS[[#This Row],[PRECIO DE COMPRA]]/PRODUCTOS[[#This Row],[CANT. COMPRADA]],"")</f>
        <v>96540</v>
      </c>
      <c r="W35" s="3">
        <f>+IFERROR(PRODUCTOS[[#This Row],[PRECIO COMPRA UNITARIO]]*PRODUCTOS[[#This Row],[PPTO FALTANTE]],"")</f>
        <v>-96540</v>
      </c>
      <c r="X35" s="7" t="str">
        <f>+IFERROR(PRODUCTOS[[#This Row],[PROYECCION COMPRA]]/PRODUCTOS[[#This Row],[PPTO TOTAL]]-1,"")</f>
        <v/>
      </c>
      <c r="Y35" s="3">
        <f>+IFERROR((PRODUCTOS[[#This Row],[CANT X MODULO]]*704)-PRODUCTOS[[#This Row],[CANT. COMPRADA]],"")</f>
        <v>-1</v>
      </c>
      <c r="Z35" s="17">
        <f>+IFERROR(PRODUCTOS[[#This Row],[CANT. COMPRADA]]/PRODUCTOS[[#This Row],[PPTO FALTANTE]],"")</f>
        <v>-1</v>
      </c>
      <c r="AA35" s="3">
        <f>+IFERROR(PRODUCTOS[[#This Row],[PROYECCION COMPRA]]-(PRODUCTOS[[#This Row],[PPTO FALTANTE]]*PRODUCTOS[[#This Row],[PPTO]]),"")</f>
        <v>0.36363599999458529</v>
      </c>
      <c r="AB35" s="3">
        <f>+_xlfn.XLOOKUP(PRODUCTOS[[#This Row],[CODIGO]],DETALLE_GD_1[CODIGO],DETALLE_GD_1[VALOR PPTO],"",0)</f>
        <v>96540.363599999997</v>
      </c>
      <c r="AC35" s="3">
        <f>+AB35-PRODUCTOS[[#This Row],[PPTO_ACTUALIZADO]]</f>
        <v>96540.363599999997</v>
      </c>
    </row>
    <row r="36" spans="1:29" x14ac:dyDescent="0.25">
      <c r="A36">
        <v>1105122</v>
      </c>
      <c r="B36" t="s">
        <v>120</v>
      </c>
      <c r="C36" t="s">
        <v>618</v>
      </c>
      <c r="D36" t="s">
        <v>244</v>
      </c>
      <c r="E36" t="s">
        <v>355</v>
      </c>
      <c r="F36" s="2">
        <v>134750</v>
      </c>
      <c r="G36" s="6" t="s">
        <v>355</v>
      </c>
      <c r="H36" s="2">
        <v>0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>
        <f>+_xlfn.XLOOKUP(PRODUCTOS[[#This Row],[CODIGO]],BD_MODULO[Artículo],BD_MODULO[CUB_ACTUALIZADA],"",0)</f>
        <v>0</v>
      </c>
      <c r="M36" s="2">
        <f>+IFERROR(PRODUCTOS[[#This Row],[PPTO]]*PRODUCTOS[[#This Row],[CANT X MODULO]],"")</f>
        <v>0</v>
      </c>
      <c r="N36" s="2">
        <f>+IFERROR(PRODUCTOS[[#This Row],[PPTO X MODULO]]*32,"")</f>
        <v>0</v>
      </c>
      <c r="O36" s="2">
        <f>+IFERROR(PRODUCTOS[[#This Row],[PPTO X TORRE]]*22,"")</f>
        <v>0</v>
      </c>
      <c r="P36" s="3">
        <f>+IFERROR(PRODUCTOS[[#This Row],[CANT X MODULO]]*702,"")</f>
        <v>0</v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134750</v>
      </c>
      <c r="V36" s="3">
        <f>+IFERROR(PRODUCTOS[[#This Row],[PRECIO DE COMPRA]]/PRODUCTOS[[#This Row],[CANT. COMPRADA]],"")</f>
        <v>134750</v>
      </c>
      <c r="W36" s="3">
        <f>+IFERROR(PRODUCTOS[[#This Row],[PRECIO COMPRA UNITARIO]]*PRODUCTOS[[#This Row],[PPTO FALTANTE]],"")</f>
        <v>-134750</v>
      </c>
      <c r="X36" s="7" t="str">
        <f>+IFERROR(PRODUCTOS[[#This Row],[PROYECCION COMPRA]]/PRODUCTOS[[#This Row],[PPTO TOTAL]]-1,"")</f>
        <v/>
      </c>
      <c r="Y36" s="3">
        <f>+IFERROR((PRODUCTOS[[#This Row],[CANT X MODULO]]*704)-PRODUCTOS[[#This Row],[CANT. COMPRADA]],"")</f>
        <v>-1</v>
      </c>
      <c r="Z36" s="17">
        <f>+IFERROR(PRODUCTOS[[#This Row],[CANT. COMPRADA]]/PRODUCTOS[[#This Row],[PPTO FALTANTE]],"")</f>
        <v>-1</v>
      </c>
      <c r="AA36" s="3">
        <f>+IFERROR(PRODUCTOS[[#This Row],[PROYECCION COMPRA]]-(PRODUCTOS[[#This Row],[PPTO FALTANTE]]*PRODUCTOS[[#This Row],[PPTO]]),"")</f>
        <v>0</v>
      </c>
      <c r="AB36" s="3">
        <f>+_xlfn.XLOOKUP(PRODUCTOS[[#This Row],[CODIGO]],DETALLE_GD_1[CODIGO],DETALLE_GD_1[VALOR PPTO],"",0)</f>
        <v>134750</v>
      </c>
      <c r="AC36" s="3">
        <f>+AB36-PRODUCTOS[[#This Row],[PPTO_ACTUALIZADO]]</f>
        <v>134750</v>
      </c>
    </row>
    <row r="37" spans="1:29" x14ac:dyDescent="0.25">
      <c r="A37">
        <v>1901229</v>
      </c>
      <c r="B37" t="s">
        <v>125</v>
      </c>
      <c r="C37" t="s">
        <v>562</v>
      </c>
      <c r="D37" t="s">
        <v>240</v>
      </c>
      <c r="E37" t="s">
        <v>404</v>
      </c>
      <c r="F37" s="2">
        <v>1896.2317370000001</v>
      </c>
      <c r="G37" s="6" t="s">
        <v>355</v>
      </c>
      <c r="H37" s="2">
        <v>0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>
        <f>+_xlfn.XLOOKUP(PRODUCTOS[[#This Row],[CODIGO]],BD_MODULO[Artículo],BD_MODULO[CUB_ACTUALIZADA],"",0)</f>
        <v>0</v>
      </c>
      <c r="M37" s="2">
        <f>+IFERROR(PRODUCTOS[[#This Row],[PPTO]]*PRODUCTOS[[#This Row],[CANT X MODULO]],"")</f>
        <v>0</v>
      </c>
      <c r="N37" s="2">
        <f>+IFERROR(PRODUCTOS[[#This Row],[PPTO X MODULO]]*32,"")</f>
        <v>0</v>
      </c>
      <c r="O37" s="2">
        <f>+IFERROR(PRODUCTOS[[#This Row],[PPTO X TORRE]]*22,"")</f>
        <v>0</v>
      </c>
      <c r="P37" s="3">
        <f>+IFERROR(PRODUCTOS[[#This Row],[CANT X MODULO]]*702,"")</f>
        <v>0</v>
      </c>
      <c r="Q37" s="3">
        <f>+SUMIFS(DETALLE_GD_1[CANTIDAD SOLICITADA],DETALLE_GD_1[CODIGO],PRODUCTOS[[#This Row],[CODIGO]])</f>
        <v>197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197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373619</v>
      </c>
      <c r="V37" s="3">
        <f>+IFERROR(PRODUCTOS[[#This Row],[PRECIO DE COMPRA]]/PRODUCTOS[[#This Row],[CANT. COMPRADA]],"")</f>
        <v>1896.5431472081218</v>
      </c>
      <c r="W37" s="3">
        <f>+IFERROR(PRODUCTOS[[#This Row],[PRECIO COMPRA UNITARIO]]*PRODUCTOS[[#This Row],[PPTO FALTANTE]],"")</f>
        <v>-373619</v>
      </c>
      <c r="X37" s="7" t="str">
        <f>+IFERROR(PRODUCTOS[[#This Row],[PROYECCION COMPRA]]/PRODUCTOS[[#This Row],[PPTO TOTAL]]-1,"")</f>
        <v/>
      </c>
      <c r="Y37" s="3">
        <f>+IFERROR((PRODUCTOS[[#This Row],[CANT X MODULO]]*704)-PRODUCTOS[[#This Row],[CANT. COMPRADA]],"")</f>
        <v>-197</v>
      </c>
      <c r="Z37" s="17">
        <f>+IFERROR(PRODUCTOS[[#This Row],[CANT. COMPRADA]]/PRODUCTOS[[#This Row],[PPTO FALTANTE]],"")</f>
        <v>-1</v>
      </c>
      <c r="AA37" s="3">
        <f>+IFERROR(PRODUCTOS[[#This Row],[PROYECCION COMPRA]]-(PRODUCTOS[[#This Row],[PPTO FALTANTE]]*PRODUCTOS[[#This Row],[PPTO]]),"")</f>
        <v>-61.34781100001419</v>
      </c>
      <c r="AB37" s="3">
        <f>+_xlfn.XLOOKUP(PRODUCTOS[[#This Row],[CODIGO]],DETALLE_GD_1[CODIGO],DETALLE_GD_1[VALOR PPTO],"",0)</f>
        <v>1896.2317</v>
      </c>
      <c r="AC37" s="3">
        <f>+AB37-PRODUCTOS[[#This Row],[PPTO_ACTUALIZADO]]</f>
        <v>1896.2317</v>
      </c>
    </row>
    <row r="38" spans="1:29" x14ac:dyDescent="0.25">
      <c r="A38">
        <v>307256</v>
      </c>
      <c r="B38" t="s">
        <v>127</v>
      </c>
      <c r="C38" t="s">
        <v>591</v>
      </c>
      <c r="D38" t="s">
        <v>240</v>
      </c>
      <c r="E38" t="s">
        <v>403</v>
      </c>
      <c r="F38" s="2">
        <v>1896.957447</v>
      </c>
      <c r="G38" s="6" t="s">
        <v>355</v>
      </c>
      <c r="H38" s="2">
        <v>0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>
        <f>+_xlfn.XLOOKUP(PRODUCTOS[[#This Row],[CODIGO]],BD_MODULO[Artículo],BD_MODULO[CUB_ACTUALIZADA],"",0)</f>
        <v>0</v>
      </c>
      <c r="M38" s="2">
        <f>+IFERROR(PRODUCTOS[[#This Row],[PPTO]]*PRODUCTOS[[#This Row],[CANT X MODULO]],"")</f>
        <v>0</v>
      </c>
      <c r="N38" s="2">
        <f>+IFERROR(PRODUCTOS[[#This Row],[PPTO X MODULO]]*32,"")</f>
        <v>0</v>
      </c>
      <c r="O38" s="2">
        <f>+IFERROR(PRODUCTOS[[#This Row],[PPTO X TORRE]]*22,"")</f>
        <v>0</v>
      </c>
      <c r="P38" s="3">
        <f>+IFERROR(PRODUCTOS[[#This Row],[CANT X MODULO]]*702,"")</f>
        <v>0</v>
      </c>
      <c r="Q38" s="3">
        <f>+SUMIFS(DETALLE_GD_1[CANTIDAD SOLICITADA],DETALLE_GD_1[CODIGO],PRODUCTOS[[#This Row],[CODIGO]])</f>
        <v>490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490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929511</v>
      </c>
      <c r="V38" s="3">
        <f>+IFERROR(PRODUCTOS[[#This Row],[PRECIO DE COMPRA]]/PRODUCTOS[[#This Row],[CANT. COMPRADA]],"")</f>
        <v>1896.961224489796</v>
      </c>
      <c r="W38" s="3">
        <f>+IFERROR(PRODUCTOS[[#This Row],[PRECIO COMPRA UNITARIO]]*PRODUCTOS[[#This Row],[PPTO FALTANTE]],"")</f>
        <v>-929511</v>
      </c>
      <c r="X38" s="7" t="str">
        <f>+IFERROR(PRODUCTOS[[#This Row],[PROYECCION COMPRA]]/PRODUCTOS[[#This Row],[PPTO TOTAL]]-1,"")</f>
        <v/>
      </c>
      <c r="Y38" s="3">
        <f>+IFERROR((PRODUCTOS[[#This Row],[CANT X MODULO]]*704)-PRODUCTOS[[#This Row],[CANT. COMPRADA]],"")</f>
        <v>-490</v>
      </c>
      <c r="Z38" s="17">
        <f>+IFERROR(PRODUCTOS[[#This Row],[CANT. COMPRADA]]/PRODUCTOS[[#This Row],[PPTO FALTANTE]],"")</f>
        <v>-1</v>
      </c>
      <c r="AA38" s="3">
        <f>+IFERROR(PRODUCTOS[[#This Row],[PROYECCION COMPRA]]-(PRODUCTOS[[#This Row],[PPTO FALTANTE]]*PRODUCTOS[[#This Row],[PPTO]]),"")</f>
        <v>-1.8509700000286102</v>
      </c>
      <c r="AB38" s="3">
        <f>+_xlfn.XLOOKUP(PRODUCTOS[[#This Row],[CODIGO]],DETALLE_GD_1[CODIGO],DETALLE_GD_1[VALOR PPTO],"",0)</f>
        <v>1896.9574</v>
      </c>
      <c r="AC38" s="3">
        <f>+AB38-PRODUCTOS[[#This Row],[PPTO_ACTUALIZADO]]</f>
        <v>1896.9574</v>
      </c>
    </row>
    <row r="39" spans="1:29" x14ac:dyDescent="0.25">
      <c r="A39">
        <v>408013</v>
      </c>
      <c r="B39" t="s">
        <v>128</v>
      </c>
      <c r="C39" t="s">
        <v>620</v>
      </c>
      <c r="D39">
        <v>0</v>
      </c>
      <c r="E39">
        <v>0</v>
      </c>
      <c r="F39" s="2">
        <v>2520.47678</v>
      </c>
      <c r="G39" s="6" t="s">
        <v>355</v>
      </c>
      <c r="H39" s="2">
        <v>0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>
        <f>+_xlfn.XLOOKUP(PRODUCTOS[[#This Row],[CODIGO]],BD_MODULO[Artículo],BD_MODULO[CUB_ACTUALIZADA],"",0)</f>
        <v>0</v>
      </c>
      <c r="M39" s="2">
        <f>+IFERROR(PRODUCTOS[[#This Row],[PPTO]]*PRODUCTOS[[#This Row],[CANT X MODULO]],"")</f>
        <v>0</v>
      </c>
      <c r="N39" s="2">
        <f>+IFERROR(PRODUCTOS[[#This Row],[PPTO X MODULO]]*32,"")</f>
        <v>0</v>
      </c>
      <c r="O39" s="2">
        <f>+IFERROR(PRODUCTOS[[#This Row],[PPTO X TORRE]]*22,"")</f>
        <v>0</v>
      </c>
      <c r="P39" s="3">
        <f>+IFERROR(PRODUCTOS[[#This Row],[CANT X MODULO]]*702,"")</f>
        <v>0</v>
      </c>
      <c r="Q39" s="3">
        <f>+SUMIFS(DETALLE_GD_1[CANTIDAD SOLICITADA],DETALLE_GD_1[CODIGO],PRODUCTOS[[#This Row],[CODIGO]])</f>
        <v>1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1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2698</v>
      </c>
      <c r="V39" s="3">
        <f>+IFERROR(PRODUCTOS[[#This Row],[PRECIO DE COMPRA]]/PRODUCTOS[[#This Row],[CANT. COMPRADA]],"")</f>
        <v>2698</v>
      </c>
      <c r="W39" s="3">
        <f>+IFERROR(PRODUCTOS[[#This Row],[PRECIO COMPRA UNITARIO]]*PRODUCTOS[[#This Row],[PPTO FALTANTE]],"")</f>
        <v>-2698</v>
      </c>
      <c r="X39" s="7" t="str">
        <f>+IFERROR(PRODUCTOS[[#This Row],[PROYECCION COMPRA]]/PRODUCTOS[[#This Row],[PPTO TOTAL]]-1,"")</f>
        <v/>
      </c>
      <c r="Y39" s="3">
        <f>+IFERROR((PRODUCTOS[[#This Row],[CANT X MODULO]]*704)-PRODUCTOS[[#This Row],[CANT. COMPRADA]],"")</f>
        <v>-1</v>
      </c>
      <c r="Z39" s="17">
        <f>+IFERROR(PRODUCTOS[[#This Row],[CANT. COMPRADA]]/PRODUCTOS[[#This Row],[PPTO FALTANTE]],"")</f>
        <v>-1</v>
      </c>
      <c r="AA39" s="3">
        <f>+IFERROR(PRODUCTOS[[#This Row],[PROYECCION COMPRA]]-(PRODUCTOS[[#This Row],[PPTO FALTANTE]]*PRODUCTOS[[#This Row],[PPTO]]),"")</f>
        <v>-177.52322000000004</v>
      </c>
      <c r="AB39" s="3">
        <f>+_xlfn.XLOOKUP(PRODUCTOS[[#This Row],[CODIGO]],DETALLE_GD_1[CODIGO],DETALLE_GD_1[VALOR PPTO],"",0)</f>
        <v>2520.4767999999999</v>
      </c>
      <c r="AC39" s="3">
        <f>+AB39-PRODUCTOS[[#This Row],[PPTO_ACTUALIZADO]]</f>
        <v>2520.4767999999999</v>
      </c>
    </row>
    <row r="40" spans="1:29" x14ac:dyDescent="0.25">
      <c r="A40">
        <v>704091</v>
      </c>
      <c r="B40" t="s">
        <v>130</v>
      </c>
      <c r="C40" t="s">
        <v>622</v>
      </c>
      <c r="D40">
        <v>0</v>
      </c>
      <c r="E40">
        <v>0</v>
      </c>
      <c r="F40" s="2">
        <v>175.15508600000001</v>
      </c>
      <c r="G40" s="6" t="s">
        <v>355</v>
      </c>
      <c r="H40" s="2">
        <v>0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>
        <f>+_xlfn.XLOOKUP(PRODUCTOS[[#This Row],[CODIGO]],BD_MODULO[Artículo],BD_MODULO[CUB_ACTUALIZADA],"",0)</f>
        <v>0</v>
      </c>
      <c r="M40" s="2">
        <f>+IFERROR(PRODUCTOS[[#This Row],[PPTO]]*PRODUCTOS[[#This Row],[CANT X MODULO]],"")</f>
        <v>0</v>
      </c>
      <c r="N40" s="2">
        <f>+IFERROR(PRODUCTOS[[#This Row],[PPTO X MODULO]]*32,"")</f>
        <v>0</v>
      </c>
      <c r="O40" s="2">
        <f>+IFERROR(PRODUCTOS[[#This Row],[PPTO X TORRE]]*22,"")</f>
        <v>0</v>
      </c>
      <c r="P40" s="3">
        <f>+IFERROR(PRODUCTOS[[#This Row],[CANT X MODULO]]*702,"")</f>
        <v>0</v>
      </c>
      <c r="Q40" s="3">
        <f>+SUMIFS(DETALLE_GD_1[CANTIDAD SOLICITADA],DETALLE_GD_1[CODIGO],PRODUCTOS[[#This Row],[CODIGO]])</f>
        <v>100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100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17516</v>
      </c>
      <c r="V40" s="3">
        <f>+IFERROR(PRODUCTOS[[#This Row],[PRECIO DE COMPRA]]/PRODUCTOS[[#This Row],[CANT. COMPRADA]],"")</f>
        <v>175.16</v>
      </c>
      <c r="W40" s="3">
        <f>+IFERROR(PRODUCTOS[[#This Row],[PRECIO COMPRA UNITARIO]]*PRODUCTOS[[#This Row],[PPTO FALTANTE]],"")</f>
        <v>-17516</v>
      </c>
      <c r="X40" s="7" t="str">
        <f>+IFERROR(PRODUCTOS[[#This Row],[PROYECCION COMPRA]]/PRODUCTOS[[#This Row],[PPTO TOTAL]]-1,"")</f>
        <v/>
      </c>
      <c r="Y40" s="3">
        <f>+IFERROR((PRODUCTOS[[#This Row],[CANT X MODULO]]*704)-PRODUCTOS[[#This Row],[CANT. COMPRADA]],"")</f>
        <v>-100</v>
      </c>
      <c r="Z40" s="17">
        <f>+IFERROR(PRODUCTOS[[#This Row],[CANT. COMPRADA]]/PRODUCTOS[[#This Row],[PPTO FALTANTE]],"")</f>
        <v>-1</v>
      </c>
      <c r="AA40" s="3">
        <f>+IFERROR(PRODUCTOS[[#This Row],[PROYECCION COMPRA]]-(PRODUCTOS[[#This Row],[PPTO FALTANTE]]*PRODUCTOS[[#This Row],[PPTO]]),"")</f>
        <v>-0.49139999999897555</v>
      </c>
      <c r="AB40" s="3">
        <f>+_xlfn.XLOOKUP(PRODUCTOS[[#This Row],[CODIGO]],DETALLE_GD_1[CODIGO],DETALLE_GD_1[VALOR PPTO],"",0)</f>
        <v>175.1551</v>
      </c>
      <c r="AC40" s="3">
        <f>+AB40-PRODUCTOS[[#This Row],[PPTO_ACTUALIZADO]]</f>
        <v>175.1551</v>
      </c>
    </row>
    <row r="41" spans="1:29" x14ac:dyDescent="0.25">
      <c r="A41">
        <v>704107</v>
      </c>
      <c r="B41" t="s">
        <v>131</v>
      </c>
      <c r="C41" t="s">
        <v>623</v>
      </c>
      <c r="D41">
        <v>0</v>
      </c>
      <c r="E41">
        <v>0</v>
      </c>
      <c r="F41" s="2">
        <v>236.855018</v>
      </c>
      <c r="G41" s="6" t="s">
        <v>355</v>
      </c>
      <c r="H41" s="2">
        <v>0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>
        <f>+_xlfn.XLOOKUP(PRODUCTOS[[#This Row],[CODIGO]],BD_MODULO[Artículo],BD_MODULO[CUB_ACTUALIZADA],"",0)</f>
        <v>0</v>
      </c>
      <c r="M41" s="2">
        <f>+IFERROR(PRODUCTOS[[#This Row],[PPTO]]*PRODUCTOS[[#This Row],[CANT X MODULO]],"")</f>
        <v>0</v>
      </c>
      <c r="N41" s="2">
        <f>+IFERROR(PRODUCTOS[[#This Row],[PPTO X MODULO]]*32,"")</f>
        <v>0</v>
      </c>
      <c r="O41" s="2">
        <f>+IFERROR(PRODUCTOS[[#This Row],[PPTO X TORRE]]*22,"")</f>
        <v>0</v>
      </c>
      <c r="P41" s="3">
        <f>+IFERROR(PRODUCTOS[[#This Row],[CANT X MODULO]]*702,"")</f>
        <v>0</v>
      </c>
      <c r="Q41" s="3">
        <f>+SUMIFS(DETALLE_GD_1[CANTIDAD SOLICITADA],DETALLE_GD_1[CODIGO],PRODUCTOS[[#This Row],[CODIGO]])</f>
        <v>100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100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23685</v>
      </c>
      <c r="V41" s="3">
        <f>+IFERROR(PRODUCTOS[[#This Row],[PRECIO DE COMPRA]]/PRODUCTOS[[#This Row],[CANT. COMPRADA]],"")</f>
        <v>236.85</v>
      </c>
      <c r="W41" s="3">
        <f>+IFERROR(PRODUCTOS[[#This Row],[PRECIO COMPRA UNITARIO]]*PRODUCTOS[[#This Row],[PPTO FALTANTE]],"")</f>
        <v>-23685</v>
      </c>
      <c r="X41" s="7" t="str">
        <f>+IFERROR(PRODUCTOS[[#This Row],[PROYECCION COMPRA]]/PRODUCTOS[[#This Row],[PPTO TOTAL]]-1,"")</f>
        <v/>
      </c>
      <c r="Y41" s="3">
        <f>+IFERROR((PRODUCTOS[[#This Row],[CANT X MODULO]]*704)-PRODUCTOS[[#This Row],[CANT. COMPRADA]],"")</f>
        <v>-100</v>
      </c>
      <c r="Z41" s="17">
        <f>+IFERROR(PRODUCTOS[[#This Row],[CANT. COMPRADA]]/PRODUCTOS[[#This Row],[PPTO FALTANTE]],"")</f>
        <v>-1</v>
      </c>
      <c r="AA41" s="3">
        <f>+IFERROR(PRODUCTOS[[#This Row],[PROYECCION COMPRA]]-(PRODUCTOS[[#This Row],[PPTO FALTANTE]]*PRODUCTOS[[#This Row],[PPTO]]),"")</f>
        <v>0.5018000000018219</v>
      </c>
      <c r="AB41" s="3">
        <f>+_xlfn.XLOOKUP(PRODUCTOS[[#This Row],[CODIGO]],DETALLE_GD_1[CODIGO],DETALLE_GD_1[VALOR PPTO],"",0)</f>
        <v>236.85499999999999</v>
      </c>
      <c r="AC41" s="3">
        <f>+AB41-PRODUCTOS[[#This Row],[PPTO_ACTUALIZADO]]</f>
        <v>236.85499999999999</v>
      </c>
    </row>
    <row r="42" spans="1:29" x14ac:dyDescent="0.25">
      <c r="A42">
        <v>617056</v>
      </c>
      <c r="B42" t="s">
        <v>135</v>
      </c>
      <c r="C42" t="s">
        <v>627</v>
      </c>
      <c r="D42">
        <v>0</v>
      </c>
      <c r="E42">
        <v>0</v>
      </c>
      <c r="F42" s="2">
        <v>1320.5</v>
      </c>
      <c r="G42" s="6" t="s">
        <v>355</v>
      </c>
      <c r="H42" s="2">
        <v>0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>
        <f>+_xlfn.XLOOKUP(PRODUCTOS[[#This Row],[CODIGO]],BD_MODULO[Artículo],BD_MODULO[CUB_ACTUALIZADA],"",0)</f>
        <v>0</v>
      </c>
      <c r="M42" s="2">
        <f>+IFERROR(PRODUCTOS[[#This Row],[PPTO]]*PRODUCTOS[[#This Row],[CANT X MODULO]],"")</f>
        <v>0</v>
      </c>
      <c r="N42" s="2">
        <f>+IFERROR(PRODUCTOS[[#This Row],[PPTO X MODULO]]*32,"")</f>
        <v>0</v>
      </c>
      <c r="O42" s="2">
        <f>+IFERROR(PRODUCTOS[[#This Row],[PPTO X TORRE]]*22,"")</f>
        <v>0</v>
      </c>
      <c r="P42" s="3">
        <f>+IFERROR(PRODUCTOS[[#This Row],[CANT X MODULO]]*702,"")</f>
        <v>0</v>
      </c>
      <c r="Q42" s="3">
        <f>+SUMIFS(DETALLE_GD_1[CANTIDAD SOLICITADA],DETALLE_GD_1[CODIGO],PRODUCTOS[[#This Row],[CODIGO]])</f>
        <v>2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2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2929</v>
      </c>
      <c r="V42" s="3">
        <f>+IFERROR(PRODUCTOS[[#This Row],[PRECIO DE COMPRA]]/PRODUCTOS[[#This Row],[CANT. COMPRADA]],"")</f>
        <v>1464.5</v>
      </c>
      <c r="W42" s="3">
        <f>+IFERROR(PRODUCTOS[[#This Row],[PRECIO COMPRA UNITARIO]]*PRODUCTOS[[#This Row],[PPTO FALTANTE]],"")</f>
        <v>-2929</v>
      </c>
      <c r="X42" s="7" t="str">
        <f>+IFERROR(PRODUCTOS[[#This Row],[PROYECCION COMPRA]]/PRODUCTOS[[#This Row],[PPTO TOTAL]]-1,"")</f>
        <v/>
      </c>
      <c r="Y42" s="3">
        <f>+IFERROR((PRODUCTOS[[#This Row],[CANT X MODULO]]*704)-PRODUCTOS[[#This Row],[CANT. COMPRADA]],"")</f>
        <v>-2</v>
      </c>
      <c r="Z42" s="17">
        <f>+IFERROR(PRODUCTOS[[#This Row],[CANT. COMPRADA]]/PRODUCTOS[[#This Row],[PPTO FALTANTE]],"")</f>
        <v>-1</v>
      </c>
      <c r="AA42" s="3">
        <f>+IFERROR(PRODUCTOS[[#This Row],[PROYECCION COMPRA]]-(PRODUCTOS[[#This Row],[PPTO FALTANTE]]*PRODUCTOS[[#This Row],[PPTO]]),"")</f>
        <v>-288</v>
      </c>
      <c r="AB42" s="3">
        <f>+_xlfn.XLOOKUP(PRODUCTOS[[#This Row],[CODIGO]],DETALLE_GD_1[CODIGO],DETALLE_GD_1[VALOR PPTO],"",0)</f>
        <v>1320.5</v>
      </c>
      <c r="AC42" s="3">
        <f>+AB42-PRODUCTOS[[#This Row],[PPTO_ACTUALIZADO]]</f>
        <v>1320.5</v>
      </c>
    </row>
    <row r="43" spans="1:29" x14ac:dyDescent="0.25">
      <c r="A43">
        <v>701183</v>
      </c>
      <c r="B43" t="s">
        <v>136</v>
      </c>
      <c r="C43" t="s">
        <v>628</v>
      </c>
      <c r="D43">
        <v>0</v>
      </c>
      <c r="E43">
        <v>0</v>
      </c>
      <c r="F43" s="2">
        <v>996.5</v>
      </c>
      <c r="G43" s="6" t="s">
        <v>355</v>
      </c>
      <c r="H43" s="2">
        <v>0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>
        <f>+_xlfn.XLOOKUP(PRODUCTOS[[#This Row],[CODIGO]],BD_MODULO[Artículo],BD_MODULO[CUB_ACTUALIZADA],"",0)</f>
        <v>0</v>
      </c>
      <c r="M43" s="2">
        <f>+IFERROR(PRODUCTOS[[#This Row],[PPTO]]*PRODUCTOS[[#This Row],[CANT X MODULO]],"")</f>
        <v>0</v>
      </c>
      <c r="N43" s="2">
        <f>+IFERROR(PRODUCTOS[[#This Row],[PPTO X MODULO]]*32,"")</f>
        <v>0</v>
      </c>
      <c r="O43" s="2">
        <f>+IFERROR(PRODUCTOS[[#This Row],[PPTO X TORRE]]*22,"")</f>
        <v>0</v>
      </c>
      <c r="P43" s="3">
        <f>+IFERROR(PRODUCTOS[[#This Row],[CANT X MODULO]]*702,"")</f>
        <v>0</v>
      </c>
      <c r="Q43" s="3">
        <f>+SUMIFS(DETALLE_GD_1[CANTIDAD SOLICITADA],DETALLE_GD_1[CODIGO],PRODUCTOS[[#This Row],[CODIGO]])</f>
        <v>21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21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20910</v>
      </c>
      <c r="V43" s="3">
        <f>+IFERROR(PRODUCTOS[[#This Row],[PRECIO DE COMPRA]]/PRODUCTOS[[#This Row],[CANT. COMPRADA]],"")</f>
        <v>995.71428571428567</v>
      </c>
      <c r="W43" s="3">
        <f>+IFERROR(PRODUCTOS[[#This Row],[PRECIO COMPRA UNITARIO]]*PRODUCTOS[[#This Row],[PPTO FALTANTE]],"")</f>
        <v>-20910</v>
      </c>
      <c r="X43" s="7" t="str">
        <f>+IFERROR(PRODUCTOS[[#This Row],[PROYECCION COMPRA]]/PRODUCTOS[[#This Row],[PPTO TOTAL]]-1,"")</f>
        <v/>
      </c>
      <c r="Y43" s="3">
        <f>+IFERROR((PRODUCTOS[[#This Row],[CANT X MODULO]]*704)-PRODUCTOS[[#This Row],[CANT. COMPRADA]],"")</f>
        <v>-21</v>
      </c>
      <c r="Z43" s="17">
        <f>+IFERROR(PRODUCTOS[[#This Row],[CANT. COMPRADA]]/PRODUCTOS[[#This Row],[PPTO FALTANTE]],"")</f>
        <v>-1</v>
      </c>
      <c r="AA43" s="3">
        <f>+IFERROR(PRODUCTOS[[#This Row],[PROYECCION COMPRA]]-(PRODUCTOS[[#This Row],[PPTO FALTANTE]]*PRODUCTOS[[#This Row],[PPTO]]),"")</f>
        <v>16.5</v>
      </c>
      <c r="AB43" s="3">
        <f>+_xlfn.XLOOKUP(PRODUCTOS[[#This Row],[CODIGO]],DETALLE_GD_1[CODIGO],DETALLE_GD_1[VALOR PPTO],"",0)</f>
        <v>996.5</v>
      </c>
      <c r="AC43" s="3">
        <f>+AB43-PRODUCTOS[[#This Row],[PPTO_ACTUALIZADO]]</f>
        <v>996.5</v>
      </c>
    </row>
    <row r="44" spans="1:29" x14ac:dyDescent="0.25">
      <c r="A44" t="s">
        <v>138</v>
      </c>
      <c r="B44" t="s">
        <v>139</v>
      </c>
      <c r="C44" t="s">
        <v>629</v>
      </c>
      <c r="D44">
        <v>0</v>
      </c>
      <c r="E44">
        <v>0</v>
      </c>
      <c r="F44" s="2">
        <v>265.85816599999998</v>
      </c>
      <c r="G44" s="6" t="s">
        <v>355</v>
      </c>
      <c r="H44" s="2">
        <v>0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>
        <f>+_xlfn.XLOOKUP(PRODUCTOS[[#This Row],[CODIGO]],BD_MODULO[Artículo],BD_MODULO[CUB_ACTUALIZADA],"",0)</f>
        <v>0</v>
      </c>
      <c r="M44" s="2">
        <f>+IFERROR(PRODUCTOS[[#This Row],[PPTO]]*PRODUCTOS[[#This Row],[CANT X MODULO]],"")</f>
        <v>0</v>
      </c>
      <c r="N44" s="2">
        <f>+IFERROR(PRODUCTOS[[#This Row],[PPTO X MODULO]]*32,"")</f>
        <v>0</v>
      </c>
      <c r="O44" s="2">
        <f>+IFERROR(PRODUCTOS[[#This Row],[PPTO X TORRE]]*22,"")</f>
        <v>0</v>
      </c>
      <c r="P44" s="3">
        <f>+IFERROR(PRODUCTOS[[#This Row],[CANT X MODULO]]*702,"")</f>
        <v>0</v>
      </c>
      <c r="Q44" s="3">
        <f>+SUMIFS(DETALLE_GD_1[CANTIDAD SOLICITADA],DETALLE_GD_1[CODIGO],PRODUCTOS[[#This Row],[CODIGO]])</f>
        <v>1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1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229</v>
      </c>
      <c r="V44" s="3">
        <f>+IFERROR(PRODUCTOS[[#This Row],[PRECIO DE COMPRA]]/PRODUCTOS[[#This Row],[CANT. COMPRADA]],"")</f>
        <v>229</v>
      </c>
      <c r="W44" s="3">
        <f>+IFERROR(PRODUCTOS[[#This Row],[PRECIO COMPRA UNITARIO]]*PRODUCTOS[[#This Row],[PPTO FALTANTE]],"")</f>
        <v>-229</v>
      </c>
      <c r="X44" s="7" t="str">
        <f>+IFERROR(PRODUCTOS[[#This Row],[PROYECCION COMPRA]]/PRODUCTOS[[#This Row],[PPTO TOTAL]]-1,"")</f>
        <v/>
      </c>
      <c r="Y44" s="3">
        <f>+IFERROR((PRODUCTOS[[#This Row],[CANT X MODULO]]*704)-PRODUCTOS[[#This Row],[CANT. COMPRADA]],"")</f>
        <v>-1</v>
      </c>
      <c r="Z44" s="17">
        <f>+IFERROR(PRODUCTOS[[#This Row],[CANT. COMPRADA]]/PRODUCTOS[[#This Row],[PPTO FALTANTE]],"")</f>
        <v>-1</v>
      </c>
      <c r="AA44" s="3">
        <f>+IFERROR(PRODUCTOS[[#This Row],[PROYECCION COMPRA]]-(PRODUCTOS[[#This Row],[PPTO FALTANTE]]*PRODUCTOS[[#This Row],[PPTO]]),"")</f>
        <v>36.858165999999983</v>
      </c>
      <c r="AB44" s="3">
        <f>+_xlfn.XLOOKUP(PRODUCTOS[[#This Row],[CODIGO]],DETALLE_GD_1[CODIGO],DETALLE_GD_1[VALOR PPTO],"",0)</f>
        <v>265.85820000000001</v>
      </c>
      <c r="AC44" s="3">
        <f>+AB44-PRODUCTOS[[#This Row],[PPTO_ACTUALIZADO]]</f>
        <v>265.85820000000001</v>
      </c>
    </row>
    <row r="45" spans="1:29" x14ac:dyDescent="0.25">
      <c r="A45">
        <v>2505059</v>
      </c>
      <c r="B45" t="s">
        <v>143</v>
      </c>
      <c r="C45" t="s">
        <v>632</v>
      </c>
      <c r="D45">
        <v>0</v>
      </c>
      <c r="E45">
        <v>0</v>
      </c>
      <c r="F45" s="2">
        <v>75790.3125</v>
      </c>
      <c r="G45" s="6" t="s">
        <v>355</v>
      </c>
      <c r="H45" s="2">
        <v>0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>
        <f>+_xlfn.XLOOKUP(PRODUCTOS[[#This Row],[CODIGO]],BD_MODULO[Artículo],BD_MODULO[CUB_ACTUALIZADA],"",0)</f>
        <v>0</v>
      </c>
      <c r="M45" s="2">
        <f>+IFERROR(PRODUCTOS[[#This Row],[PPTO]]*PRODUCTOS[[#This Row],[CANT X MODULO]],"")</f>
        <v>0</v>
      </c>
      <c r="N45" s="2">
        <f>+IFERROR(PRODUCTOS[[#This Row],[PPTO X MODULO]]*32,"")</f>
        <v>0</v>
      </c>
      <c r="O45" s="2">
        <f>+IFERROR(PRODUCTOS[[#This Row],[PPTO X TORRE]]*22,"")</f>
        <v>0</v>
      </c>
      <c r="P45" s="3">
        <f>+IFERROR(PRODUCTOS[[#This Row],[CANT X MODULO]]*702,"")</f>
        <v>0</v>
      </c>
      <c r="Q45" s="3">
        <f>+SUMIFS(DETALLE_GD_1[CANTIDAD SOLICITADA],DETALLE_GD_1[CODIGO],PRODUCTOS[[#This Row],[CODIGO]])</f>
        <v>2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2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151581</v>
      </c>
      <c r="V45" s="3">
        <f>+IFERROR(PRODUCTOS[[#This Row],[PRECIO DE COMPRA]]/PRODUCTOS[[#This Row],[CANT. COMPRADA]],"")</f>
        <v>75790.5</v>
      </c>
      <c r="W45" s="3">
        <f>+IFERROR(PRODUCTOS[[#This Row],[PRECIO COMPRA UNITARIO]]*PRODUCTOS[[#This Row],[PPTO FALTANTE]],"")</f>
        <v>-151581</v>
      </c>
      <c r="X45" s="7" t="str">
        <f>+IFERROR(PRODUCTOS[[#This Row],[PROYECCION COMPRA]]/PRODUCTOS[[#This Row],[PPTO TOTAL]]-1,"")</f>
        <v/>
      </c>
      <c r="Y45" s="3">
        <f>+IFERROR((PRODUCTOS[[#This Row],[CANT X MODULO]]*704)-PRODUCTOS[[#This Row],[CANT. COMPRADA]],"")</f>
        <v>-2</v>
      </c>
      <c r="Z45" s="17">
        <f>+IFERROR(PRODUCTOS[[#This Row],[CANT. COMPRADA]]/PRODUCTOS[[#This Row],[PPTO FALTANTE]],"")</f>
        <v>-1</v>
      </c>
      <c r="AA45" s="3">
        <f>+IFERROR(PRODUCTOS[[#This Row],[PROYECCION COMPRA]]-(PRODUCTOS[[#This Row],[PPTO FALTANTE]]*PRODUCTOS[[#This Row],[PPTO]]),"")</f>
        <v>-0.375</v>
      </c>
      <c r="AB45" s="3">
        <f>+_xlfn.XLOOKUP(PRODUCTOS[[#This Row],[CODIGO]],DETALLE_GD_1[CODIGO],DETALLE_GD_1[VALOR PPTO],"",0)</f>
        <v>75790.3125</v>
      </c>
      <c r="AC45" s="3">
        <f>+AB45-PRODUCTOS[[#This Row],[PPTO_ACTUALIZADO]]</f>
        <v>75790.3125</v>
      </c>
    </row>
    <row r="46" spans="1:29" x14ac:dyDescent="0.25">
      <c r="A46">
        <v>409027</v>
      </c>
      <c r="B46" t="s">
        <v>152</v>
      </c>
      <c r="C46" t="s">
        <v>635</v>
      </c>
      <c r="D46" t="s">
        <v>355</v>
      </c>
      <c r="E46" t="s">
        <v>355</v>
      </c>
      <c r="F46" s="2">
        <v>6469.1028470000001</v>
      </c>
      <c r="G46" s="6" t="s">
        <v>355</v>
      </c>
      <c r="H46" s="2">
        <v>0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>
        <f>+_xlfn.XLOOKUP(PRODUCTOS[[#This Row],[CODIGO]],BD_MODULO[Artículo],BD_MODULO[CUB_ACTUALIZADA],"",0)</f>
        <v>0</v>
      </c>
      <c r="M46" s="2">
        <f>+IFERROR(PRODUCTOS[[#This Row],[PPTO]]*PRODUCTOS[[#This Row],[CANT X MODULO]],"")</f>
        <v>0</v>
      </c>
      <c r="N46" s="2">
        <f>+IFERROR(PRODUCTOS[[#This Row],[PPTO X MODULO]]*32,"")</f>
        <v>0</v>
      </c>
      <c r="O46" s="2">
        <f>+IFERROR(PRODUCTOS[[#This Row],[PPTO X TORRE]]*22,"")</f>
        <v>0</v>
      </c>
      <c r="P46" s="3">
        <f>+IFERROR(PRODUCTOS[[#This Row],[CANT X MODULO]]*702,"")</f>
        <v>0</v>
      </c>
      <c r="Q46" s="3">
        <f>+SUMIFS(DETALLE_GD_1[CANTIDAD SOLICITADA],DETALLE_GD_1[CODIGO],PRODUCTOS[[#This Row],[CODIGO]])</f>
        <v>12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12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75785</v>
      </c>
      <c r="V46" s="3">
        <f>+IFERROR(PRODUCTOS[[#This Row],[PRECIO DE COMPRA]]/PRODUCTOS[[#This Row],[CANT. COMPRADA]],"")</f>
        <v>6315.416666666667</v>
      </c>
      <c r="W46" s="3">
        <f>+IFERROR(PRODUCTOS[[#This Row],[PRECIO COMPRA UNITARIO]]*PRODUCTOS[[#This Row],[PPTO FALTANTE]],"")</f>
        <v>-75785</v>
      </c>
      <c r="X46" s="7" t="str">
        <f>+IFERROR(PRODUCTOS[[#This Row],[PROYECCION COMPRA]]/PRODUCTOS[[#This Row],[PPTO TOTAL]]-1,"")</f>
        <v/>
      </c>
      <c r="Y46" s="3">
        <f>+IFERROR((PRODUCTOS[[#This Row],[CANT X MODULO]]*704)-PRODUCTOS[[#This Row],[CANT. COMPRADA]],"")</f>
        <v>-12</v>
      </c>
      <c r="Z46" s="17">
        <f>+IFERROR(PRODUCTOS[[#This Row],[CANT. COMPRADA]]/PRODUCTOS[[#This Row],[PPTO FALTANTE]],"")</f>
        <v>-1</v>
      </c>
      <c r="AA46" s="3">
        <f>+IFERROR(PRODUCTOS[[#This Row],[PROYECCION COMPRA]]-(PRODUCTOS[[#This Row],[PPTO FALTANTE]]*PRODUCTOS[[#This Row],[PPTO]]),"")</f>
        <v>1844.2341639999941</v>
      </c>
      <c r="AB46" s="3">
        <f>+_xlfn.XLOOKUP(PRODUCTOS[[#This Row],[CODIGO]],DETALLE_GD_1[CODIGO],DETALLE_GD_1[VALOR PPTO],"",0)</f>
        <v>6469.1027999999997</v>
      </c>
      <c r="AC46" s="3">
        <f>+AB46-PRODUCTOS[[#This Row],[PPTO_ACTUALIZADO]]</f>
        <v>6469.1027999999997</v>
      </c>
    </row>
    <row r="47" spans="1:29" x14ac:dyDescent="0.25">
      <c r="A47" t="s">
        <v>153</v>
      </c>
      <c r="B47" t="s">
        <v>154</v>
      </c>
      <c r="C47">
        <v>0</v>
      </c>
      <c r="D47" t="s">
        <v>355</v>
      </c>
      <c r="E47" t="s">
        <v>355</v>
      </c>
      <c r="F47" s="2">
        <v>5771.9989420000002</v>
      </c>
      <c r="G47" s="6" t="s">
        <v>355</v>
      </c>
      <c r="H47" s="2">
        <v>0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>
        <f>+_xlfn.XLOOKUP(PRODUCTOS[[#This Row],[CODIGO]],BD_MODULO[Artículo],BD_MODULO[CUB_ACTUALIZADA],"",0)</f>
        <v>0</v>
      </c>
      <c r="M47" s="2">
        <f>+IFERROR(PRODUCTOS[[#This Row],[PPTO]]*PRODUCTOS[[#This Row],[CANT X MODULO]],"")</f>
        <v>0</v>
      </c>
      <c r="N47" s="2">
        <f>+IFERROR(PRODUCTOS[[#This Row],[PPTO X MODULO]]*32,"")</f>
        <v>0</v>
      </c>
      <c r="O47" s="2">
        <f>+IFERROR(PRODUCTOS[[#This Row],[PPTO X TORRE]]*22,"")</f>
        <v>0</v>
      </c>
      <c r="P47" s="3">
        <f>+IFERROR(PRODUCTOS[[#This Row],[CANT X MODULO]]*702,"")</f>
        <v>0</v>
      </c>
      <c r="Q47" s="3">
        <f>+SUMIFS(DETALLE_GD_1[CANTIDAD SOLICITADA],DETALLE_GD_1[CODIGO],PRODUCTOS[[#This Row],[CODIGO]])</f>
        <v>102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102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591630</v>
      </c>
      <c r="V47" s="3">
        <f>+IFERROR(PRODUCTOS[[#This Row],[PRECIO DE COMPRA]]/PRODUCTOS[[#This Row],[CANT. COMPRADA]],"")</f>
        <v>5800.2941176470586</v>
      </c>
      <c r="W47" s="3">
        <f>+IFERROR(PRODUCTOS[[#This Row],[PRECIO COMPRA UNITARIO]]*PRODUCTOS[[#This Row],[PPTO FALTANTE]],"")</f>
        <v>-591630</v>
      </c>
      <c r="X47" s="7" t="str">
        <f>+IFERROR(PRODUCTOS[[#This Row],[PROYECCION COMPRA]]/PRODUCTOS[[#This Row],[PPTO TOTAL]]-1,"")</f>
        <v/>
      </c>
      <c r="Y47" s="3">
        <f>+IFERROR((PRODUCTOS[[#This Row],[CANT X MODULO]]*704)-PRODUCTOS[[#This Row],[CANT. COMPRADA]],"")</f>
        <v>-102</v>
      </c>
      <c r="Z47" s="17">
        <f>+IFERROR(PRODUCTOS[[#This Row],[CANT. COMPRADA]]/PRODUCTOS[[#This Row],[PPTO FALTANTE]],"")</f>
        <v>-1</v>
      </c>
      <c r="AA47" s="3">
        <f>+IFERROR(PRODUCTOS[[#This Row],[PROYECCION COMPRA]]-(PRODUCTOS[[#This Row],[PPTO FALTANTE]]*PRODUCTOS[[#This Row],[PPTO]]),"")</f>
        <v>-2886.1079159999499</v>
      </c>
      <c r="AB47" s="3">
        <f>+_xlfn.XLOOKUP(PRODUCTOS[[#This Row],[CODIGO]],DETALLE_GD_1[CODIGO],DETALLE_GD_1[VALOR PPTO],"",0)</f>
        <v>5771.9988999999996</v>
      </c>
      <c r="AC47" s="3">
        <f>+AB47-PRODUCTOS[[#This Row],[PPTO_ACTUALIZADO]]</f>
        <v>5771.9988999999996</v>
      </c>
    </row>
    <row r="48" spans="1:29" x14ac:dyDescent="0.25">
      <c r="A48">
        <v>307263</v>
      </c>
      <c r="B48" t="s">
        <v>158</v>
      </c>
      <c r="C48">
        <v>0</v>
      </c>
      <c r="D48" t="s">
        <v>355</v>
      </c>
      <c r="E48" t="s">
        <v>355</v>
      </c>
      <c r="F48" s="2">
        <v>9514.2179489999999</v>
      </c>
      <c r="G48" s="6" t="s">
        <v>355</v>
      </c>
      <c r="H48" s="2">
        <v>0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>
        <f>+_xlfn.XLOOKUP(PRODUCTOS[[#This Row],[CODIGO]],BD_MODULO[Artículo],BD_MODULO[CUB_ACTUALIZADA],"",0)</f>
        <v>0</v>
      </c>
      <c r="M48" s="2">
        <f>+IFERROR(PRODUCTOS[[#This Row],[PPTO]]*PRODUCTOS[[#This Row],[CANT X MODULO]],"")</f>
        <v>0</v>
      </c>
      <c r="N48" s="2">
        <f>+IFERROR(PRODUCTOS[[#This Row],[PPTO X MODULO]]*32,"")</f>
        <v>0</v>
      </c>
      <c r="O48" s="2">
        <f>+IFERROR(PRODUCTOS[[#This Row],[PPTO X TORRE]]*22,"")</f>
        <v>0</v>
      </c>
      <c r="P48" s="3">
        <f>+IFERROR(PRODUCTOS[[#This Row],[CANT X MODULO]]*702,"")</f>
        <v>0</v>
      </c>
      <c r="Q48" s="3">
        <f>+SUMIFS(DETALLE_GD_1[CANTIDAD SOLICITADA],DETALLE_GD_1[CODIGO],PRODUCTOS[[#This Row],[CODIGO]])</f>
        <v>7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7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66599</v>
      </c>
      <c r="V48" s="3">
        <f>+IFERROR(PRODUCTOS[[#This Row],[PRECIO DE COMPRA]]/PRODUCTOS[[#This Row],[CANT. COMPRADA]],"")</f>
        <v>9514.1428571428569</v>
      </c>
      <c r="W48" s="3">
        <f>+IFERROR(PRODUCTOS[[#This Row],[PRECIO COMPRA UNITARIO]]*PRODUCTOS[[#This Row],[PPTO FALTANTE]],"")</f>
        <v>-66599</v>
      </c>
      <c r="X48" s="7" t="str">
        <f>+IFERROR(PRODUCTOS[[#This Row],[PROYECCION COMPRA]]/PRODUCTOS[[#This Row],[PPTO TOTAL]]-1,"")</f>
        <v/>
      </c>
      <c r="Y48" s="3">
        <f>+IFERROR((PRODUCTOS[[#This Row],[CANT X MODULO]]*704)-PRODUCTOS[[#This Row],[CANT. COMPRADA]],"")</f>
        <v>-7</v>
      </c>
      <c r="Z48" s="17">
        <f>+IFERROR(PRODUCTOS[[#This Row],[CANT. COMPRADA]]/PRODUCTOS[[#This Row],[PPTO FALTANTE]],"")</f>
        <v>-1</v>
      </c>
      <c r="AA48" s="3">
        <f>+IFERROR(PRODUCTOS[[#This Row],[PROYECCION COMPRA]]-(PRODUCTOS[[#This Row],[PPTO FALTANTE]]*PRODUCTOS[[#This Row],[PPTO]]),"")</f>
        <v>0.52564300000085495</v>
      </c>
      <c r="AB48" s="3">
        <f>+_xlfn.XLOOKUP(PRODUCTOS[[#This Row],[CODIGO]],DETALLE_GD_1[CODIGO],DETALLE_GD_1[VALOR PPTO],"",0)</f>
        <v>9514.2178999999996</v>
      </c>
      <c r="AC48" s="3">
        <f>+AB48-PRODUCTOS[[#This Row],[PPTO_ACTUALIZADO]]</f>
        <v>9514.2178999999996</v>
      </c>
    </row>
    <row r="49" spans="1:29" x14ac:dyDescent="0.25">
      <c r="A49">
        <v>1802515</v>
      </c>
      <c r="B49" t="s">
        <v>162</v>
      </c>
      <c r="C49">
        <v>0</v>
      </c>
      <c r="D49" t="s">
        <v>355</v>
      </c>
      <c r="E49" t="s">
        <v>355</v>
      </c>
      <c r="F49" s="2">
        <v>2827.2510459999999</v>
      </c>
      <c r="G49" s="6" t="s">
        <v>355</v>
      </c>
      <c r="H49" s="2">
        <v>0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>
        <f>+_xlfn.XLOOKUP(PRODUCTOS[[#This Row],[CODIGO]],BD_MODULO[Artículo],BD_MODULO[CUB_ACTUALIZADA],"",0)</f>
        <v>0</v>
      </c>
      <c r="M49" s="2">
        <f>+IFERROR(PRODUCTOS[[#This Row],[PPTO]]*PRODUCTOS[[#This Row],[CANT X MODULO]],"")</f>
        <v>0</v>
      </c>
      <c r="N49" s="2">
        <f>+IFERROR(PRODUCTOS[[#This Row],[PPTO X MODULO]]*32,"")</f>
        <v>0</v>
      </c>
      <c r="O49" s="2">
        <f>+IFERROR(PRODUCTOS[[#This Row],[PPTO X TORRE]]*22,"")</f>
        <v>0</v>
      </c>
      <c r="P49" s="3">
        <f>+IFERROR(PRODUCTOS[[#This Row],[CANT X MODULO]]*702,"")</f>
        <v>0</v>
      </c>
      <c r="Q49" s="3">
        <f>+SUMIFS(DETALLE_GD_1[CANTIDAD SOLICITADA],DETALLE_GD_1[CODIGO],PRODUCTOS[[#This Row],[CODIGO]])</f>
        <v>1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2827</v>
      </c>
      <c r="V49" s="3">
        <f>+IFERROR(PRODUCTOS[[#This Row],[PRECIO DE COMPRA]]/PRODUCTOS[[#This Row],[CANT. COMPRADA]],"")</f>
        <v>2827</v>
      </c>
      <c r="W49" s="3">
        <f>+IFERROR(PRODUCTOS[[#This Row],[PRECIO COMPRA UNITARIO]]*PRODUCTOS[[#This Row],[PPTO FALTANTE]],"")</f>
        <v>-2827</v>
      </c>
      <c r="X49" s="7" t="str">
        <f>+IFERROR(PRODUCTOS[[#This Row],[PROYECCION COMPRA]]/PRODUCTOS[[#This Row],[PPTO TOTAL]]-1,"")</f>
        <v/>
      </c>
      <c r="Y49" s="3">
        <f>+IFERROR((PRODUCTOS[[#This Row],[CANT X MODULO]]*704)-PRODUCTOS[[#This Row],[CANT. COMPRADA]],"")</f>
        <v>-1</v>
      </c>
      <c r="Z49" s="17">
        <f>+IFERROR(PRODUCTOS[[#This Row],[CANT. COMPRADA]]/PRODUCTOS[[#This Row],[PPTO FALTANTE]],"")</f>
        <v>-1</v>
      </c>
      <c r="AA49" s="3">
        <f>+IFERROR(PRODUCTOS[[#This Row],[PROYECCION COMPRA]]-(PRODUCTOS[[#This Row],[PPTO FALTANTE]]*PRODUCTOS[[#This Row],[PPTO]]),"")</f>
        <v>0.25104599999986021</v>
      </c>
      <c r="AB49" s="3">
        <f>+_xlfn.XLOOKUP(PRODUCTOS[[#This Row],[CODIGO]],DETALLE_GD_1[CODIGO],DETALLE_GD_1[VALOR PPTO],"",0)</f>
        <v>2827.2510000000002</v>
      </c>
      <c r="AC49" s="3">
        <f>+AB49-PRODUCTOS[[#This Row],[PPTO_ACTUALIZADO]]</f>
        <v>2827.2510000000002</v>
      </c>
    </row>
    <row r="50" spans="1:29" x14ac:dyDescent="0.25">
      <c r="A50" t="s">
        <v>183</v>
      </c>
      <c r="B50" t="s">
        <v>184</v>
      </c>
      <c r="C50">
        <v>0</v>
      </c>
      <c r="D50">
        <v>0</v>
      </c>
      <c r="E50">
        <v>0</v>
      </c>
      <c r="F50" s="2">
        <v>6798.3407129999996</v>
      </c>
      <c r="G50" s="6" t="s">
        <v>355</v>
      </c>
      <c r="H50" s="2">
        <v>0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1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1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6797</v>
      </c>
      <c r="V50" s="3">
        <f>+IFERROR(PRODUCTOS[[#This Row],[PRECIO DE COMPRA]]/PRODUCTOS[[#This Row],[CANT. COMPRADA]],"")</f>
        <v>6797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6798.3406999999997</v>
      </c>
      <c r="AC50" s="3">
        <f>+AB50-PRODUCTOS[[#This Row],[PPTO_ACTUALIZADO]]</f>
        <v>6798.3406999999997</v>
      </c>
    </row>
    <row r="51" spans="1:29" x14ac:dyDescent="0.25">
      <c r="A51">
        <v>704095</v>
      </c>
      <c r="B51" t="s">
        <v>187</v>
      </c>
      <c r="C51">
        <v>0</v>
      </c>
      <c r="D51" t="s">
        <v>355</v>
      </c>
      <c r="E51" t="s">
        <v>355</v>
      </c>
      <c r="F51" s="2">
        <v>250.00118800000001</v>
      </c>
      <c r="G51" s="6" t="s">
        <v>355</v>
      </c>
      <c r="H51" s="2">
        <v>0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>
        <f>+_xlfn.XLOOKUP(PRODUCTOS[[#This Row],[CODIGO]],BD_MODULO[Artículo],BD_MODULO[CUB_ACTUALIZADA],"",0)</f>
        <v>0</v>
      </c>
      <c r="M51" s="2">
        <f>+IFERROR(PRODUCTOS[[#This Row],[PPTO]]*PRODUCTOS[[#This Row],[CANT X MODULO]],"")</f>
        <v>0</v>
      </c>
      <c r="N51" s="2">
        <f>+IFERROR(PRODUCTOS[[#This Row],[PPTO X MODULO]]*32,"")</f>
        <v>0</v>
      </c>
      <c r="O51" s="2">
        <f>+IFERROR(PRODUCTOS[[#This Row],[PPTO X TORRE]]*22,"")</f>
        <v>0</v>
      </c>
      <c r="P51" s="3">
        <f>+IFERROR(PRODUCTOS[[#This Row],[CANT X MODULO]]*702,"")</f>
        <v>0</v>
      </c>
      <c r="Q51" s="3">
        <f>+SUMIFS(DETALLE_GD_1[CANTIDAD SOLICITADA],DETALLE_GD_1[CODIGO],PRODUCTOS[[#This Row],[CODIGO]])</f>
        <v>60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60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15000</v>
      </c>
      <c r="V51" s="3">
        <f>+IFERROR(PRODUCTOS[[#This Row],[PRECIO DE COMPRA]]/PRODUCTOS[[#This Row],[CANT. COMPRADA]],"")</f>
        <v>250</v>
      </c>
      <c r="W51" s="3">
        <f>+IFERROR(PRODUCTOS[[#This Row],[PRECIO COMPRA UNITARIO]]*PRODUCTOS[[#This Row],[PPTO FALTANTE]],"")</f>
        <v>-15000</v>
      </c>
      <c r="X51" s="7" t="str">
        <f>+IFERROR(PRODUCTOS[[#This Row],[PROYECCION COMPRA]]/PRODUCTOS[[#This Row],[PPTO TOTAL]]-1,"")</f>
        <v/>
      </c>
      <c r="Y51" s="3">
        <f>+IFERROR((PRODUCTOS[[#This Row],[CANT X MODULO]]*704)-PRODUCTOS[[#This Row],[CANT. COMPRADA]],"")</f>
        <v>-60</v>
      </c>
      <c r="Z51" s="17">
        <f>+IFERROR(PRODUCTOS[[#This Row],[CANT. COMPRADA]]/PRODUCTOS[[#This Row],[PPTO FALTANTE]],"")</f>
        <v>-1</v>
      </c>
      <c r="AA51" s="3">
        <f>+IFERROR(PRODUCTOS[[#This Row],[PROYECCION COMPRA]]-(PRODUCTOS[[#This Row],[PPTO FALTANTE]]*PRODUCTOS[[#This Row],[PPTO]]),"")</f>
        <v>7.1280000000115251E-2</v>
      </c>
      <c r="AB51" s="3">
        <f>+_xlfn.XLOOKUP(PRODUCTOS[[#This Row],[CODIGO]],DETALLE_GD_1[CODIGO],DETALLE_GD_1[VALOR PPTO],"",0)</f>
        <v>250.00120000000001</v>
      </c>
      <c r="AC51" s="3">
        <f>+AB51-PRODUCTOS[[#This Row],[PPTO_ACTUALIZADO]]</f>
        <v>250.00120000000001</v>
      </c>
    </row>
    <row r="52" spans="1:29" x14ac:dyDescent="0.25">
      <c r="A52">
        <v>617007</v>
      </c>
      <c r="B52" t="s">
        <v>188</v>
      </c>
      <c r="C52">
        <v>0</v>
      </c>
      <c r="D52" t="s">
        <v>355</v>
      </c>
      <c r="E52" t="s">
        <v>355</v>
      </c>
      <c r="F52" s="2">
        <v>99.963820999999996</v>
      </c>
      <c r="G52" s="6" t="s">
        <v>355</v>
      </c>
      <c r="H52" s="2">
        <v>0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>
        <f>+_xlfn.XLOOKUP(PRODUCTOS[[#This Row],[CODIGO]],BD_MODULO[Artículo],BD_MODULO[CUB_ACTUALIZADA],"",0)</f>
        <v>0</v>
      </c>
      <c r="M52" s="2">
        <f>+IFERROR(PRODUCTOS[[#This Row],[PPTO]]*PRODUCTOS[[#This Row],[CANT X MODULO]],"")</f>
        <v>0</v>
      </c>
      <c r="N52" s="2">
        <f>+IFERROR(PRODUCTOS[[#This Row],[PPTO X MODULO]]*32,"")</f>
        <v>0</v>
      </c>
      <c r="O52" s="2">
        <f>+IFERROR(PRODUCTOS[[#This Row],[PPTO X TORRE]]*22,"")</f>
        <v>0</v>
      </c>
      <c r="P52" s="3">
        <f>+IFERROR(PRODUCTOS[[#This Row],[CANT X MODULO]]*702,"")</f>
        <v>0</v>
      </c>
      <c r="Q52" s="3">
        <f>+SUMIFS(DETALLE_GD_1[CANTIDAD SOLICITADA],DETALLE_GD_1[CODIGO],PRODUCTOS[[#This Row],[CODIGO]])</f>
        <v>13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13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1300</v>
      </c>
      <c r="V52" s="3">
        <f>+IFERROR(PRODUCTOS[[#This Row],[PRECIO DE COMPRA]]/PRODUCTOS[[#This Row],[CANT. COMPRADA]],"")</f>
        <v>100</v>
      </c>
      <c r="W52" s="3">
        <f>+IFERROR(PRODUCTOS[[#This Row],[PRECIO COMPRA UNITARIO]]*PRODUCTOS[[#This Row],[PPTO FALTANTE]],"")</f>
        <v>-1300</v>
      </c>
      <c r="X52" s="7" t="str">
        <f>+IFERROR(PRODUCTOS[[#This Row],[PROYECCION COMPRA]]/PRODUCTOS[[#This Row],[PPTO TOTAL]]-1,"")</f>
        <v/>
      </c>
      <c r="Y52" s="3">
        <f>+IFERROR((PRODUCTOS[[#This Row],[CANT X MODULO]]*704)-PRODUCTOS[[#This Row],[CANT. COMPRADA]],"")</f>
        <v>-13</v>
      </c>
      <c r="Z52" s="17">
        <f>+IFERROR(PRODUCTOS[[#This Row],[CANT. COMPRADA]]/PRODUCTOS[[#This Row],[PPTO FALTANTE]],"")</f>
        <v>-1</v>
      </c>
      <c r="AA52" s="3">
        <f>+IFERROR(PRODUCTOS[[#This Row],[PROYECCION COMPRA]]-(PRODUCTOS[[#This Row],[PPTO FALTANTE]]*PRODUCTOS[[#This Row],[PPTO]]),"")</f>
        <v>-0.4703269999999975</v>
      </c>
      <c r="AB52" s="3">
        <f>+_xlfn.XLOOKUP(PRODUCTOS[[#This Row],[CODIGO]],DETALLE_GD_1[CODIGO],DETALLE_GD_1[VALOR PPTO],"",0)</f>
        <v>99.963800000000006</v>
      </c>
      <c r="AC52" s="3">
        <f>+AB52-PRODUCTOS[[#This Row],[PPTO_ACTUALIZADO]]</f>
        <v>99.963800000000006</v>
      </c>
    </row>
    <row r="53" spans="1:29" x14ac:dyDescent="0.25">
      <c r="A53">
        <v>1801233</v>
      </c>
      <c r="B53" t="s">
        <v>190</v>
      </c>
      <c r="C53">
        <v>0</v>
      </c>
      <c r="D53" t="s">
        <v>355</v>
      </c>
      <c r="E53" t="s">
        <v>355</v>
      </c>
      <c r="F53" s="2">
        <v>7404.4100719999997</v>
      </c>
      <c r="G53" s="6" t="s">
        <v>355</v>
      </c>
      <c r="H53" s="2">
        <v>0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>
        <f>+_xlfn.XLOOKUP(PRODUCTOS[[#This Row],[CODIGO]],BD_MODULO[Artículo],BD_MODULO[CUB_ACTUALIZADA],"",0)</f>
        <v>0</v>
      </c>
      <c r="M53" s="2">
        <f>+IFERROR(PRODUCTOS[[#This Row],[PPTO]]*PRODUCTOS[[#This Row],[CANT X MODULO]],"")</f>
        <v>0</v>
      </c>
      <c r="N53" s="2">
        <f>+IFERROR(PRODUCTOS[[#This Row],[PPTO X MODULO]]*32,"")</f>
        <v>0</v>
      </c>
      <c r="O53" s="2">
        <f>+IFERROR(PRODUCTOS[[#This Row],[PPTO X TORRE]]*22,"")</f>
        <v>0</v>
      </c>
      <c r="P53" s="3">
        <f>+IFERROR(PRODUCTOS[[#This Row],[CANT X MODULO]]*702,"")</f>
        <v>0</v>
      </c>
      <c r="Q53" s="3">
        <f>+SUMIFS(DETALLE_GD_1[CANTIDAD SOLICITADA],DETALLE_GD_1[CODIGO],PRODUCTOS[[#This Row],[CODIGO]])</f>
        <v>1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1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7404</v>
      </c>
      <c r="V53" s="3">
        <f>+IFERROR(PRODUCTOS[[#This Row],[PRECIO DE COMPRA]]/PRODUCTOS[[#This Row],[CANT. COMPRADA]],"")</f>
        <v>7404</v>
      </c>
      <c r="W53" s="3">
        <f>+IFERROR(PRODUCTOS[[#This Row],[PRECIO COMPRA UNITARIO]]*PRODUCTOS[[#This Row],[PPTO FALTANTE]],"")</f>
        <v>-7404</v>
      </c>
      <c r="X53" s="7" t="str">
        <f>+IFERROR(PRODUCTOS[[#This Row],[PROYECCION COMPRA]]/PRODUCTOS[[#This Row],[PPTO TOTAL]]-1,"")</f>
        <v/>
      </c>
      <c r="Y53" s="3">
        <f>+IFERROR((PRODUCTOS[[#This Row],[CANT X MODULO]]*704)-PRODUCTOS[[#This Row],[CANT. COMPRADA]],"")</f>
        <v>-1</v>
      </c>
      <c r="Z53" s="17">
        <f>+IFERROR(PRODUCTOS[[#This Row],[CANT. COMPRADA]]/PRODUCTOS[[#This Row],[PPTO FALTANTE]],"")</f>
        <v>-1</v>
      </c>
      <c r="AA53" s="3">
        <f>+IFERROR(PRODUCTOS[[#This Row],[PROYECCION COMPRA]]-(PRODUCTOS[[#This Row],[PPTO FALTANTE]]*PRODUCTOS[[#This Row],[PPTO]]),"")</f>
        <v>0.4100719999996727</v>
      </c>
      <c r="AB53" s="3">
        <f>+_xlfn.XLOOKUP(PRODUCTOS[[#This Row],[CODIGO]],DETALLE_GD_1[CODIGO],DETALLE_GD_1[VALOR PPTO],"",0)</f>
        <v>7404.4101000000001</v>
      </c>
      <c r="AC53" s="3">
        <f>+AB53-PRODUCTOS[[#This Row],[PPTO_ACTUALIZADO]]</f>
        <v>7404.4101000000001</v>
      </c>
    </row>
    <row r="54" spans="1:29" x14ac:dyDescent="0.25">
      <c r="A54">
        <v>1801232</v>
      </c>
      <c r="B54" t="s">
        <v>191</v>
      </c>
      <c r="C54">
        <v>0</v>
      </c>
      <c r="D54" t="s">
        <v>355</v>
      </c>
      <c r="E54" t="s">
        <v>355</v>
      </c>
      <c r="F54" s="2">
        <v>6876.3333329999996</v>
      </c>
      <c r="G54" s="6" t="s">
        <v>355</v>
      </c>
      <c r="H54" s="2">
        <v>0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>
        <f>+_xlfn.XLOOKUP(PRODUCTOS[[#This Row],[CODIGO]],BD_MODULO[Artículo],BD_MODULO[CUB_ACTUALIZADA],"",0)</f>
        <v>0</v>
      </c>
      <c r="M54" s="2">
        <f>+IFERROR(PRODUCTOS[[#This Row],[PPTO]]*PRODUCTOS[[#This Row],[CANT X MODULO]],"")</f>
        <v>0</v>
      </c>
      <c r="N54" s="2">
        <f>+IFERROR(PRODUCTOS[[#This Row],[PPTO X MODULO]]*32,"")</f>
        <v>0</v>
      </c>
      <c r="O54" s="2">
        <f>+IFERROR(PRODUCTOS[[#This Row],[PPTO X TORRE]]*22,"")</f>
        <v>0</v>
      </c>
      <c r="P54" s="3">
        <f>+IFERROR(PRODUCTOS[[#This Row],[CANT X MODULO]]*702,"")</f>
        <v>0</v>
      </c>
      <c r="Q54" s="3">
        <f>+SUMIFS(DETALLE_GD_1[CANTIDAD SOLICITADA],DETALLE_GD_1[CODIGO],PRODUCTOS[[#This Row],[CODIGO]])</f>
        <v>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6876</v>
      </c>
      <c r="V54" s="3">
        <f>+IFERROR(PRODUCTOS[[#This Row],[PRECIO DE COMPRA]]/PRODUCTOS[[#This Row],[CANT. COMPRADA]],"")</f>
        <v>6876</v>
      </c>
      <c r="W54" s="3">
        <f>+IFERROR(PRODUCTOS[[#This Row],[PRECIO COMPRA UNITARIO]]*PRODUCTOS[[#This Row],[PPTO FALTANTE]],"")</f>
        <v>-6876</v>
      </c>
      <c r="X54" s="7" t="str">
        <f>+IFERROR(PRODUCTOS[[#This Row],[PROYECCION COMPRA]]/PRODUCTOS[[#This Row],[PPTO TOTAL]]-1,"")</f>
        <v/>
      </c>
      <c r="Y54" s="3">
        <f>+IFERROR((PRODUCTOS[[#This Row],[CANT X MODULO]]*704)-PRODUCTOS[[#This Row],[CANT. COMPRADA]],"")</f>
        <v>-1</v>
      </c>
      <c r="Z54" s="17">
        <f>+IFERROR(PRODUCTOS[[#This Row],[CANT. COMPRADA]]/PRODUCTOS[[#This Row],[PPTO FALTANTE]],"")</f>
        <v>-1</v>
      </c>
      <c r="AA54" s="3">
        <f>+IFERROR(PRODUCTOS[[#This Row],[PROYECCION COMPRA]]-(PRODUCTOS[[#This Row],[PPTO FALTANTE]]*PRODUCTOS[[#This Row],[PPTO]]),"")</f>
        <v>0.33333299999958399</v>
      </c>
      <c r="AB54" s="3">
        <f>+_xlfn.XLOOKUP(PRODUCTOS[[#This Row],[CODIGO]],DETALLE_GD_1[CODIGO],DETALLE_GD_1[VALOR PPTO],"",0)</f>
        <v>6876.3333000000002</v>
      </c>
      <c r="AC54" s="3">
        <f>+AB54-PRODUCTOS[[#This Row],[PPTO_ACTUALIZADO]]</f>
        <v>6876.3333000000002</v>
      </c>
    </row>
    <row r="55" spans="1:29" x14ac:dyDescent="0.25">
      <c r="A55">
        <v>1801231</v>
      </c>
      <c r="B55" t="s">
        <v>193</v>
      </c>
      <c r="C55">
        <v>0</v>
      </c>
      <c r="D55" t="s">
        <v>355</v>
      </c>
      <c r="E55" t="s">
        <v>355</v>
      </c>
      <c r="F55" s="2">
        <v>5708.8</v>
      </c>
      <c r="G55" s="6" t="s">
        <v>355</v>
      </c>
      <c r="H55" s="2">
        <v>0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>
        <f>+_xlfn.XLOOKUP(PRODUCTOS[[#This Row],[CODIGO]],BD_MODULO[Artículo],BD_MODULO[CUB_ACTUALIZADA],"",0)</f>
        <v>0</v>
      </c>
      <c r="M55" s="2">
        <f>+IFERROR(PRODUCTOS[[#This Row],[PPTO]]*PRODUCTOS[[#This Row],[CANT X MODULO]],"")</f>
        <v>0</v>
      </c>
      <c r="N55" s="2">
        <f>+IFERROR(PRODUCTOS[[#This Row],[PPTO X MODULO]]*32,"")</f>
        <v>0</v>
      </c>
      <c r="O55" s="2">
        <f>+IFERROR(PRODUCTOS[[#This Row],[PPTO X TORRE]]*22,"")</f>
        <v>0</v>
      </c>
      <c r="P55" s="3">
        <f>+IFERROR(PRODUCTOS[[#This Row],[CANT X MODULO]]*702,"")</f>
        <v>0</v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5709</v>
      </c>
      <c r="V55" s="3">
        <f>+IFERROR(PRODUCTOS[[#This Row],[PRECIO DE COMPRA]]/PRODUCTOS[[#This Row],[CANT. COMPRADA]],"")</f>
        <v>5709</v>
      </c>
      <c r="W55" s="3">
        <f>+IFERROR(PRODUCTOS[[#This Row],[PRECIO COMPRA UNITARIO]]*PRODUCTOS[[#This Row],[PPTO FALTANTE]],"")</f>
        <v>-5709</v>
      </c>
      <c r="X55" s="7" t="str">
        <f>+IFERROR(PRODUCTOS[[#This Row],[PROYECCION COMPRA]]/PRODUCTOS[[#This Row],[PPTO TOTAL]]-1,"")</f>
        <v/>
      </c>
      <c r="Y55" s="3">
        <f>+IFERROR((PRODUCTOS[[#This Row],[CANT X MODULO]]*704)-PRODUCTOS[[#This Row],[CANT. COMPRADA]],"")</f>
        <v>-1</v>
      </c>
      <c r="Z55" s="17">
        <f>+IFERROR(PRODUCTOS[[#This Row],[CANT. COMPRADA]]/PRODUCTOS[[#This Row],[PPTO FALTANTE]],"")</f>
        <v>-1</v>
      </c>
      <c r="AA55" s="3">
        <f>+IFERROR(PRODUCTOS[[#This Row],[PROYECCION COMPRA]]-(PRODUCTOS[[#This Row],[PPTO FALTANTE]]*PRODUCTOS[[#This Row],[PPTO]]),"")</f>
        <v>-0.1999999999998181</v>
      </c>
      <c r="AB55" s="3">
        <f>+_xlfn.XLOOKUP(PRODUCTOS[[#This Row],[CODIGO]],DETALLE_GD_1[CODIGO],DETALLE_GD_1[VALOR PPTO],"",0)</f>
        <v>5708.8</v>
      </c>
      <c r="AC55" s="3">
        <f>+AB55-PRODUCTOS[[#This Row],[PPTO_ACTUALIZADO]]</f>
        <v>5708.8</v>
      </c>
    </row>
    <row r="56" spans="1:29" x14ac:dyDescent="0.25">
      <c r="A56" t="s">
        <v>206</v>
      </c>
      <c r="B56" t="s">
        <v>207</v>
      </c>
      <c r="C56">
        <v>0</v>
      </c>
      <c r="D56" t="s">
        <v>355</v>
      </c>
      <c r="E56" t="s">
        <v>355</v>
      </c>
      <c r="F56" s="2">
        <v>41451.848739000001</v>
      </c>
      <c r="G56" s="6" t="s">
        <v>355</v>
      </c>
      <c r="H56" s="2">
        <v>0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>
        <f>+_xlfn.XLOOKUP(PRODUCTOS[[#This Row],[CODIGO]],BD_MODULO[Artículo],BD_MODULO[CUB_ACTUALIZADA],"",0)</f>
        <v>0</v>
      </c>
      <c r="M56" s="2">
        <f>+IFERROR(PRODUCTOS[[#This Row],[PPTO]]*PRODUCTOS[[#This Row],[CANT X MODULO]],"")</f>
        <v>0</v>
      </c>
      <c r="N56" s="2">
        <f>+IFERROR(PRODUCTOS[[#This Row],[PPTO X MODULO]]*32,"")</f>
        <v>0</v>
      </c>
      <c r="O56" s="2">
        <f>+IFERROR(PRODUCTOS[[#This Row],[PPTO X TORRE]]*22,"")</f>
        <v>0</v>
      </c>
      <c r="P56" s="3">
        <f>+IFERROR(PRODUCTOS[[#This Row],[CANT X MODULO]]*702,"")</f>
        <v>0</v>
      </c>
      <c r="Q56" s="3">
        <f>+SUMIFS(DETALLE_GD_1[CANTIDAD SOLICITADA],DETALLE_GD_1[CODIGO],PRODUCTOS[[#This Row],[CODIGO]])</f>
        <v>1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1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41452</v>
      </c>
      <c r="V56" s="3">
        <f>+IFERROR(PRODUCTOS[[#This Row],[PRECIO DE COMPRA]]/PRODUCTOS[[#This Row],[CANT. COMPRADA]],"")</f>
        <v>41452</v>
      </c>
      <c r="W56" s="3">
        <f>+IFERROR(PRODUCTOS[[#This Row],[PRECIO COMPRA UNITARIO]]*PRODUCTOS[[#This Row],[PPTO FALTANTE]],"")</f>
        <v>-41452</v>
      </c>
      <c r="X56" s="7" t="str">
        <f>+IFERROR(PRODUCTOS[[#This Row],[PROYECCION COMPRA]]/PRODUCTOS[[#This Row],[PPTO TOTAL]]-1,"")</f>
        <v/>
      </c>
      <c r="Y56" s="3">
        <f>+IFERROR((PRODUCTOS[[#This Row],[CANT X MODULO]]*704)-PRODUCTOS[[#This Row],[CANT. COMPRADA]],"")</f>
        <v>-1</v>
      </c>
      <c r="Z56" s="17">
        <f>+IFERROR(PRODUCTOS[[#This Row],[CANT. COMPRADA]]/PRODUCTOS[[#This Row],[PPTO FALTANTE]],"")</f>
        <v>-1</v>
      </c>
      <c r="AA56" s="3">
        <f>+IFERROR(PRODUCTOS[[#This Row],[PROYECCION COMPRA]]-(PRODUCTOS[[#This Row],[PPTO FALTANTE]]*PRODUCTOS[[#This Row],[PPTO]]),"")</f>
        <v>-0.15126099999906728</v>
      </c>
      <c r="AB56" s="3">
        <f>+_xlfn.XLOOKUP(PRODUCTOS[[#This Row],[CODIGO]],DETALLE_GD_1[CODIGO],DETALLE_GD_1[VALOR PPTO],"",0)</f>
        <v>41451.848700000002</v>
      </c>
      <c r="AC56" s="3">
        <f>+AB56-PRODUCTOS[[#This Row],[PPTO_ACTUALIZADO]]</f>
        <v>41451.848700000002</v>
      </c>
    </row>
    <row r="57" spans="1:29" x14ac:dyDescent="0.25">
      <c r="A57">
        <v>609007</v>
      </c>
      <c r="B57" t="s">
        <v>210</v>
      </c>
      <c r="C57">
        <v>0</v>
      </c>
      <c r="D57" t="s">
        <v>355</v>
      </c>
      <c r="E57" t="s">
        <v>355</v>
      </c>
      <c r="F57" s="2">
        <v>8164.9821430000002</v>
      </c>
      <c r="G57" s="6" t="s">
        <v>355</v>
      </c>
      <c r="H57" s="2">
        <v>0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>
        <f>+_xlfn.XLOOKUP(PRODUCTOS[[#This Row],[CODIGO]],BD_MODULO[Artículo],BD_MODULO[CUB_ACTUALIZADA],"",0)</f>
        <v>0</v>
      </c>
      <c r="M57" s="2">
        <f>+IFERROR(PRODUCTOS[[#This Row],[PPTO]]*PRODUCTOS[[#This Row],[CANT X MODULO]],"")</f>
        <v>0</v>
      </c>
      <c r="N57" s="2">
        <f>+IFERROR(PRODUCTOS[[#This Row],[PPTO X MODULO]]*32,"")</f>
        <v>0</v>
      </c>
      <c r="O57" s="2">
        <f>+IFERROR(PRODUCTOS[[#This Row],[PPTO X TORRE]]*22,"")</f>
        <v>0</v>
      </c>
      <c r="P57" s="3">
        <f>+IFERROR(PRODUCTOS[[#This Row],[CANT X MODULO]]*702,"")</f>
        <v>0</v>
      </c>
      <c r="Q57" s="3">
        <f>+SUMIFS(DETALLE_GD_1[CANTIDAD SOLICITADA],DETALLE_GD_1[CODIGO],PRODUCTOS[[#This Row],[CODIGO]])</f>
        <v>7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7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57155</v>
      </c>
      <c r="V57" s="3">
        <f>+IFERROR(PRODUCTOS[[#This Row],[PRECIO DE COMPRA]]/PRODUCTOS[[#This Row],[CANT. COMPRADA]],"")</f>
        <v>8165</v>
      </c>
      <c r="W57" s="3">
        <f>+IFERROR(PRODUCTOS[[#This Row],[PRECIO COMPRA UNITARIO]]*PRODUCTOS[[#This Row],[PPTO FALTANTE]],"")</f>
        <v>-57155</v>
      </c>
      <c r="X57" s="7" t="str">
        <f>+IFERROR(PRODUCTOS[[#This Row],[PROYECCION COMPRA]]/PRODUCTOS[[#This Row],[PPTO TOTAL]]-1,"")</f>
        <v/>
      </c>
      <c r="Y57" s="3">
        <f>+IFERROR((PRODUCTOS[[#This Row],[CANT X MODULO]]*704)-PRODUCTOS[[#This Row],[CANT. COMPRADA]],"")</f>
        <v>-7</v>
      </c>
      <c r="Z57" s="17">
        <f>+IFERROR(PRODUCTOS[[#This Row],[CANT. COMPRADA]]/PRODUCTOS[[#This Row],[PPTO FALTANTE]],"")</f>
        <v>-1</v>
      </c>
      <c r="AA57" s="3">
        <f>+IFERROR(PRODUCTOS[[#This Row],[PROYECCION COMPRA]]-(PRODUCTOS[[#This Row],[PPTO FALTANTE]]*PRODUCTOS[[#This Row],[PPTO]]),"")</f>
        <v>-0.12499899999966146</v>
      </c>
      <c r="AB57" s="3">
        <f>+_xlfn.XLOOKUP(PRODUCTOS[[#This Row],[CODIGO]],DETALLE_GD_1[CODIGO],DETALLE_GD_1[VALOR PPTO],"",0)</f>
        <v>8164.9821000000002</v>
      </c>
      <c r="AC57" s="3">
        <f>+AB57-PRODUCTOS[[#This Row],[PPTO_ACTUALIZADO]]</f>
        <v>8164.9821000000002</v>
      </c>
    </row>
    <row r="58" spans="1:29" x14ac:dyDescent="0.25">
      <c r="A58">
        <v>412592</v>
      </c>
      <c r="B58" t="s">
        <v>237</v>
      </c>
      <c r="C58">
        <v>0</v>
      </c>
      <c r="D58" t="s">
        <v>355</v>
      </c>
      <c r="E58" t="s">
        <v>355</v>
      </c>
      <c r="F58" s="2">
        <v>3152.283293</v>
      </c>
      <c r="G58" s="6" t="s">
        <v>355</v>
      </c>
      <c r="H58" s="2">
        <v>0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>
        <f>+_xlfn.XLOOKUP(PRODUCTOS[[#This Row],[CODIGO]],BD_MODULO[Artículo],BD_MODULO[CUB_ACTUALIZADA],"",0)</f>
        <v>0</v>
      </c>
      <c r="M58" s="2">
        <f>+IFERROR(PRODUCTOS[[#This Row],[PPTO]]*PRODUCTOS[[#This Row],[CANT X MODULO]],"")</f>
        <v>0</v>
      </c>
      <c r="N58" s="2">
        <f>+IFERROR(PRODUCTOS[[#This Row],[PPTO X MODULO]]*32,"")</f>
        <v>0</v>
      </c>
      <c r="O58" s="2">
        <f>+IFERROR(PRODUCTOS[[#This Row],[PPTO X TORRE]]*22,"")</f>
        <v>0</v>
      </c>
      <c r="P58" s="3">
        <f>+IFERROR(PRODUCTOS[[#This Row],[CANT X MODULO]]*702,"")</f>
        <v>0</v>
      </c>
      <c r="Q58" s="3">
        <f>+SUMIFS(DETALLE_GD_1[CANTIDAD SOLICITADA],DETALLE_GD_1[CODIGO],PRODUCTOS[[#This Row],[CODIGO]])</f>
        <v>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6305</v>
      </c>
      <c r="V58" s="3">
        <f>+IFERROR(PRODUCTOS[[#This Row],[PRECIO DE COMPRA]]/PRODUCTOS[[#This Row],[CANT. COMPRADA]],"")</f>
        <v>3152.5</v>
      </c>
      <c r="W58" s="3">
        <f>+IFERROR(PRODUCTOS[[#This Row],[PRECIO COMPRA UNITARIO]]*PRODUCTOS[[#This Row],[PPTO FALTANTE]],"")</f>
        <v>-6305</v>
      </c>
      <c r="X58" s="7" t="str">
        <f>+IFERROR(PRODUCTOS[[#This Row],[PROYECCION COMPRA]]/PRODUCTOS[[#This Row],[PPTO TOTAL]]-1,"")</f>
        <v/>
      </c>
      <c r="Y58" s="3">
        <f>+IFERROR((PRODUCTOS[[#This Row],[CANT X MODULO]]*704)-PRODUCTOS[[#This Row],[CANT. COMPRADA]],"")</f>
        <v>-2</v>
      </c>
      <c r="Z58" s="17">
        <f>+IFERROR(PRODUCTOS[[#This Row],[CANT. COMPRADA]]/PRODUCTOS[[#This Row],[PPTO FALTANTE]],"")</f>
        <v>-1</v>
      </c>
      <c r="AA58" s="3">
        <f>+IFERROR(PRODUCTOS[[#This Row],[PROYECCION COMPRA]]-(PRODUCTOS[[#This Row],[PPTO FALTANTE]]*PRODUCTOS[[#This Row],[PPTO]]),"")</f>
        <v>-0.43341400000008434</v>
      </c>
      <c r="AB58" s="3">
        <f>+_xlfn.XLOOKUP(PRODUCTOS[[#This Row],[CODIGO]],DETALLE_GD_1[CODIGO],DETALLE_GD_1[VALOR PPTO],"",0)</f>
        <v>3152.2833000000001</v>
      </c>
      <c r="AC58" s="3">
        <f>+AB58-PRODUCTOS[[#This Row],[PPTO_ACTUALIZADO]]</f>
        <v>3152.2833000000001</v>
      </c>
    </row>
    <row r="59" spans="1:29" x14ac:dyDescent="0.25">
      <c r="A59" t="s">
        <v>242</v>
      </c>
      <c r="B59" t="s">
        <v>243</v>
      </c>
      <c r="C59">
        <v>0</v>
      </c>
      <c r="D59" t="s">
        <v>244</v>
      </c>
      <c r="E59" t="s">
        <v>409</v>
      </c>
      <c r="F59" s="2">
        <v>6762.9578080000001</v>
      </c>
      <c r="G59" s="6" t="s">
        <v>355</v>
      </c>
      <c r="H59" s="2">
        <v>0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0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0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0</v>
      </c>
      <c r="V59" s="3" t="str">
        <f>+IFERROR(PRODUCTOS[[#This Row],[PRECIO DE COMPRA]]/PRODUCTOS[[#This Row],[CANT. COMPRADA]],"")</f>
        <v/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 t="str">
        <f>+_xlfn.XLOOKUP(PRODUCTOS[[#This Row],[CODIGO]],DETALLE_GD_1[CODIGO],DETALLE_GD_1[VALOR PPTO],"",0)</f>
        <v/>
      </c>
      <c r="AC59" s="3" t="e">
        <f>+AB59-PRODUCTOS[[#This Row],[PPTO_ACTUALIZADO]]</f>
        <v>#VALUE!</v>
      </c>
    </row>
    <row r="60" spans="1:29" x14ac:dyDescent="0.25">
      <c r="A60">
        <v>1103090</v>
      </c>
      <c r="B60" t="s">
        <v>290</v>
      </c>
      <c r="C60">
        <v>0</v>
      </c>
      <c r="D60" t="s">
        <v>240</v>
      </c>
      <c r="E60" t="s">
        <v>411</v>
      </c>
      <c r="F60" s="2">
        <v>11800</v>
      </c>
      <c r="G60" s="6" t="s">
        <v>355</v>
      </c>
      <c r="H60" s="2">
        <v>0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0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0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0</v>
      </c>
      <c r="V60" s="3" t="str">
        <f>+IFERROR(PRODUCTOS[[#This Row],[PRECIO DE COMPRA]]/PRODUCTOS[[#This Row],[CANT. COMPRADA]],"")</f>
        <v/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 t="str">
        <f>+_xlfn.XLOOKUP(PRODUCTOS[[#This Row],[CODIGO]],DETALLE_GD_1[CODIGO],DETALLE_GD_1[VALOR PPTO],"",0)</f>
        <v/>
      </c>
      <c r="AC60" s="3" t="e">
        <f>+AB60-PRODUCTOS[[#This Row],[PPTO_ACTUALIZADO]]</f>
        <v>#VALUE!</v>
      </c>
    </row>
    <row r="61" spans="1:29" x14ac:dyDescent="0.25">
      <c r="A61">
        <v>1103091</v>
      </c>
      <c r="B61" t="s">
        <v>291</v>
      </c>
      <c r="C61">
        <v>0</v>
      </c>
      <c r="D61" t="s">
        <v>240</v>
      </c>
      <c r="E61" t="s">
        <v>411</v>
      </c>
      <c r="F61" s="2">
        <v>8850</v>
      </c>
      <c r="G61" s="6" t="s">
        <v>355</v>
      </c>
      <c r="H61" s="2">
        <v>0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0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0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0</v>
      </c>
      <c r="V61" s="3" t="str">
        <f>+IFERROR(PRODUCTOS[[#This Row],[PRECIO DE COMPRA]]/PRODUCTOS[[#This Row],[CANT. COMPRADA]],"")</f>
        <v/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 t="str">
        <f>+_xlfn.XLOOKUP(PRODUCTOS[[#This Row],[CODIGO]],DETALLE_GD_1[CODIGO],DETALLE_GD_1[VALOR PPTO],"",0)</f>
        <v/>
      </c>
      <c r="AC61" s="3" t="e">
        <f>+AB61-PRODUCTOS[[#This Row],[PPTO_ACTUALIZADO]]</f>
        <v>#VALUE!</v>
      </c>
    </row>
    <row r="62" spans="1:29" x14ac:dyDescent="0.25">
      <c r="A62" t="s">
        <v>294</v>
      </c>
      <c r="B62" t="s">
        <v>295</v>
      </c>
      <c r="C62">
        <v>0</v>
      </c>
      <c r="D62" t="s">
        <v>244</v>
      </c>
      <c r="E62" t="s">
        <v>124</v>
      </c>
      <c r="F62" s="2">
        <v>1</v>
      </c>
      <c r="G62" s="6" t="s">
        <v>355</v>
      </c>
      <c r="H62" s="2">
        <v>0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0</v>
      </c>
      <c r="V62" s="3" t="str">
        <f>+IFERROR(PRODUCTOS[[#This Row],[PRECIO DE COMPRA]]/PRODUCTOS[[#This Row],[CANT. COMPRADA]],"")</f>
        <v/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 t="str">
        <f>+_xlfn.XLOOKUP(PRODUCTOS[[#This Row],[CODIGO]],DETALLE_GD_1[CODIGO],DETALLE_GD_1[VALOR PPTO],"",0)</f>
        <v/>
      </c>
      <c r="AC62" s="3" t="e">
        <f>+AB62-PRODUCTOS[[#This Row],[PPTO_ACTUALIZADO]]</f>
        <v>#VALUE!</v>
      </c>
    </row>
    <row r="63" spans="1:29" x14ac:dyDescent="0.25">
      <c r="A63" t="s">
        <v>292</v>
      </c>
      <c r="B63" t="s">
        <v>293</v>
      </c>
      <c r="C63">
        <v>0</v>
      </c>
      <c r="D63" t="s">
        <v>244</v>
      </c>
      <c r="E63" t="s">
        <v>407</v>
      </c>
      <c r="F63" s="2">
        <v>1</v>
      </c>
      <c r="G63" s="6" t="s">
        <v>68</v>
      </c>
      <c r="H63" s="2">
        <v>0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0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0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0</v>
      </c>
      <c r="V63" s="3" t="str">
        <f>+IFERROR(PRODUCTOS[[#This Row],[PRECIO DE COMPRA]]/PRODUCTOS[[#This Row],[CANT. COMPRADA]],"")</f>
        <v/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 t="str">
        <f>+_xlfn.XLOOKUP(PRODUCTOS[[#This Row],[CODIGO]],DETALLE_GD_1[CODIGO],DETALLE_GD_1[VALOR PPTO],"",0)</f>
        <v/>
      </c>
      <c r="AC63" s="3" t="e">
        <f>+AB63-PRODUCTOS[[#This Row],[PPTO_ACTUALIZADO]]</f>
        <v>#VALUE!</v>
      </c>
    </row>
    <row r="64" spans="1:29" x14ac:dyDescent="0.25">
      <c r="A64" t="s">
        <v>358</v>
      </c>
      <c r="B64" t="s">
        <v>362</v>
      </c>
      <c r="C64">
        <v>0</v>
      </c>
      <c r="D64">
        <v>0</v>
      </c>
      <c r="E64">
        <v>0</v>
      </c>
      <c r="F64" s="2">
        <v>102900</v>
      </c>
      <c r="G64" s="6" t="s">
        <v>355</v>
      </c>
      <c r="H64" s="2">
        <v>0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0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0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0</v>
      </c>
      <c r="V64" s="3" t="str">
        <f>+IFERROR(PRODUCTOS[[#This Row],[PRECIO DE COMPRA]]/PRODUCTOS[[#This Row],[CANT. COMPRADA]],"")</f>
        <v/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 t="str">
        <f>+_xlfn.XLOOKUP(PRODUCTOS[[#This Row],[CODIGO]],DETALLE_GD_1[CODIGO],DETALLE_GD_1[VALOR PPTO],"",0)</f>
        <v/>
      </c>
      <c r="AC64" s="3" t="e">
        <f>+AB64-PRODUCTOS[[#This Row],[PPTO_ACTUALIZADO]]</f>
        <v>#VALUE!</v>
      </c>
    </row>
    <row r="65" spans="1:29" x14ac:dyDescent="0.25">
      <c r="A65" t="s">
        <v>299</v>
      </c>
      <c r="B65" t="s">
        <v>300</v>
      </c>
      <c r="C65">
        <v>0</v>
      </c>
      <c r="D65">
        <v>0</v>
      </c>
      <c r="E65">
        <v>0</v>
      </c>
      <c r="F65" s="2">
        <v>29779</v>
      </c>
      <c r="G65" s="6" t="s">
        <v>355</v>
      </c>
      <c r="H65" s="2">
        <v>0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0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0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0</v>
      </c>
      <c r="V65" s="3" t="str">
        <f>+IFERROR(PRODUCTOS[[#This Row],[PRECIO DE COMPRA]]/PRODUCTOS[[#This Row],[CANT. COMPRADA]],"")</f>
        <v/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 t="str">
        <f>+_xlfn.XLOOKUP(PRODUCTOS[[#This Row],[CODIGO]],DETALLE_GD_1[CODIGO],DETALLE_GD_1[VALOR PPTO],"",0)</f>
        <v/>
      </c>
      <c r="AC65" s="3" t="e">
        <f>+AB65-PRODUCTOS[[#This Row],[PPTO_ACTUALIZADO]]</f>
        <v>#VALUE!</v>
      </c>
    </row>
    <row r="66" spans="1:29" x14ac:dyDescent="0.25">
      <c r="A66" t="s">
        <v>301</v>
      </c>
      <c r="B66" t="s">
        <v>302</v>
      </c>
      <c r="C66" t="s">
        <v>636</v>
      </c>
      <c r="D66" t="s">
        <v>240</v>
      </c>
      <c r="E66" t="s">
        <v>404</v>
      </c>
      <c r="F66" s="2">
        <v>651.5</v>
      </c>
      <c r="G66" s="6" t="s">
        <v>355</v>
      </c>
      <c r="H66" s="2">
        <v>0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0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0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0</v>
      </c>
      <c r="V66" s="3" t="str">
        <f>+IFERROR(PRODUCTOS[[#This Row],[PRECIO DE COMPRA]]/PRODUCTOS[[#This Row],[CANT. COMPRADA]],"")</f>
        <v/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 t="str">
        <f>+_xlfn.XLOOKUP(PRODUCTOS[[#This Row],[CODIGO]],DETALLE_GD_1[CODIGO],DETALLE_GD_1[VALOR PPTO],"",0)</f>
        <v/>
      </c>
      <c r="AC66" s="3" t="e">
        <f>+AB66-PRODUCTOS[[#This Row],[PPTO_ACTUALIZADO]]</f>
        <v>#VALUE!</v>
      </c>
    </row>
    <row r="67" spans="1:29" x14ac:dyDescent="0.25">
      <c r="A67">
        <v>403024</v>
      </c>
      <c r="B67" t="s">
        <v>324</v>
      </c>
      <c r="C67" t="s">
        <v>672</v>
      </c>
      <c r="D67" t="s">
        <v>240</v>
      </c>
      <c r="E67" t="s">
        <v>399</v>
      </c>
      <c r="F67" s="2">
        <v>0</v>
      </c>
      <c r="G67" s="6" t="s">
        <v>31</v>
      </c>
      <c r="H67" s="2">
        <v>0</v>
      </c>
      <c r="I67" t="b">
        <v>1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0</v>
      </c>
      <c r="V67" s="3" t="str">
        <f>+IFERROR(PRODUCTOS[[#This Row],[PRECIO DE COMPRA]]/PRODUCTOS[[#This Row],[CANT. COMPRADA]],"")</f>
        <v/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 t="str">
        <f>+_xlfn.XLOOKUP(PRODUCTOS[[#This Row],[CODIGO]],DETALLE_GD_1[CODIGO],DETALLE_GD_1[VALOR PPTO],"",0)</f>
        <v/>
      </c>
      <c r="AC67" s="3" t="e">
        <f>+AB67-PRODUCTOS[[#This Row],[PPTO_ACTUALIZADO]]</f>
        <v>#VALUE!</v>
      </c>
    </row>
    <row r="68" spans="1:29" x14ac:dyDescent="0.25">
      <c r="A68">
        <v>304012</v>
      </c>
      <c r="B68" t="s">
        <v>717</v>
      </c>
      <c r="C68" t="s">
        <v>355</v>
      </c>
      <c r="D68" t="s">
        <v>355</v>
      </c>
      <c r="E68" t="s">
        <v>355</v>
      </c>
      <c r="F68" s="2">
        <v>6004.4515780000002</v>
      </c>
      <c r="G68" s="6" t="s">
        <v>355</v>
      </c>
      <c r="I68"/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49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49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296772</v>
      </c>
      <c r="V68" s="3">
        <f>+IFERROR(PRODUCTOS[[#This Row],[PRECIO DE COMPRA]]/PRODUCTOS[[#This Row],[CANT. COMPRADA]],"")</f>
        <v>6056.5714285714284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0</v>
      </c>
      <c r="AC68" s="3">
        <f>+AB68-PRODUCTOS[[#This Row],[PPTO_ACTUALIZADO]]</f>
        <v>0</v>
      </c>
    </row>
    <row r="69" spans="1:29" x14ac:dyDescent="0.25">
      <c r="A69">
        <v>404745</v>
      </c>
      <c r="B69" t="s">
        <v>442</v>
      </c>
      <c r="C69" t="s">
        <v>355</v>
      </c>
      <c r="D69" t="s">
        <v>355</v>
      </c>
      <c r="E69" t="s">
        <v>355</v>
      </c>
      <c r="G69" s="6" t="s">
        <v>355</v>
      </c>
      <c r="I69"/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79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79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697254</v>
      </c>
      <c r="V69" s="3">
        <f>+IFERROR(PRODUCTOS[[#This Row],[PRECIO DE COMPRA]]/PRODUCTOS[[#This Row],[CANT. COMPRADA]],"")</f>
        <v>8826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0</v>
      </c>
      <c r="AC69" s="3">
        <f>+AB69-PRODUCTOS[[#This Row],[PPTO_ACTUALIZADO]]</f>
        <v>0</v>
      </c>
    </row>
    <row r="70" spans="1:29" x14ac:dyDescent="0.25">
      <c r="A70">
        <v>408017</v>
      </c>
      <c r="B70" t="s">
        <v>718</v>
      </c>
      <c r="C70" t="s">
        <v>355</v>
      </c>
      <c r="D70" t="s">
        <v>355</v>
      </c>
      <c r="E70" t="s">
        <v>355</v>
      </c>
      <c r="G70" s="6" t="s">
        <v>36</v>
      </c>
      <c r="I70"/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10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10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173000</v>
      </c>
      <c r="V70" s="3">
        <f>+IFERROR(PRODUCTOS[[#This Row],[PRECIO DE COMPRA]]/PRODUCTOS[[#This Row],[CANT. COMPRADA]],"")</f>
        <v>17300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0</v>
      </c>
      <c r="AC70" s="3">
        <f>+AB70-PRODUCTOS[[#This Row],[PPTO_ACTUALIZADO]]</f>
        <v>0</v>
      </c>
    </row>
    <row r="71" spans="1:29" x14ac:dyDescent="0.25">
      <c r="A71">
        <v>412016</v>
      </c>
      <c r="B71" t="s">
        <v>719</v>
      </c>
      <c r="C71" t="s">
        <v>355</v>
      </c>
      <c r="D71" t="s">
        <v>355</v>
      </c>
      <c r="E71" t="s">
        <v>355</v>
      </c>
      <c r="G71" s="6" t="s">
        <v>355</v>
      </c>
      <c r="I71"/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48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48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202095</v>
      </c>
      <c r="V71" s="3">
        <f>+IFERROR(PRODUCTOS[[#This Row],[PRECIO DE COMPRA]]/PRODUCTOS[[#This Row],[CANT. COMPRADA]],"")</f>
        <v>4210.3125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0</v>
      </c>
      <c r="AC71" s="3">
        <f>+AB71-PRODUCTOS[[#This Row],[PPTO_ACTUALIZADO]]</f>
        <v>0</v>
      </c>
    </row>
    <row r="72" spans="1:29" x14ac:dyDescent="0.25">
      <c r="A72">
        <v>412132</v>
      </c>
      <c r="B72" t="s">
        <v>720</v>
      </c>
      <c r="C72" t="s">
        <v>355</v>
      </c>
      <c r="D72" t="s">
        <v>355</v>
      </c>
      <c r="E72" t="s">
        <v>355</v>
      </c>
      <c r="F72" s="2">
        <v>1037.486099</v>
      </c>
      <c r="G72" s="6" t="s">
        <v>355</v>
      </c>
      <c r="I72"/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40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40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41499</v>
      </c>
      <c r="V72" s="3">
        <f>+IFERROR(PRODUCTOS[[#This Row],[PRECIO DE COMPRA]]/PRODUCTOS[[#This Row],[CANT. COMPRADA]],"")</f>
        <v>1037.4749999999999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0</v>
      </c>
      <c r="AC72" s="3">
        <f>+AB72-PRODUCTOS[[#This Row],[PPTO_ACTUALIZADO]]</f>
        <v>0</v>
      </c>
    </row>
    <row r="73" spans="1:29" x14ac:dyDescent="0.25">
      <c r="A73">
        <v>707023</v>
      </c>
      <c r="B73" t="s">
        <v>724</v>
      </c>
      <c r="C73" t="s">
        <v>355</v>
      </c>
      <c r="D73" t="s">
        <v>355</v>
      </c>
      <c r="E73" t="s">
        <v>355</v>
      </c>
      <c r="F73" s="2">
        <v>16708</v>
      </c>
      <c r="G73" s="6" t="s">
        <v>31</v>
      </c>
      <c r="I73"/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2359557</v>
      </c>
      <c r="V73" s="3">
        <f>+IFERROR(PRODUCTOS[[#This Row],[PRECIO DE COMPRA]]/PRODUCTOS[[#This Row],[CANT. COMPRADA]],"")</f>
        <v>16734.446808510638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0</v>
      </c>
      <c r="AC73" s="3">
        <f>+AB73-PRODUCTOS[[#This Row],[PPTO_ACTUALIZADO]]</f>
        <v>0</v>
      </c>
    </row>
    <row r="74" spans="1:29" x14ac:dyDescent="0.25">
      <c r="A74">
        <v>1701154</v>
      </c>
      <c r="B74" t="s">
        <v>727</v>
      </c>
      <c r="C74" t="s">
        <v>355</v>
      </c>
      <c r="D74" t="s">
        <v>355</v>
      </c>
      <c r="E74" t="s">
        <v>355</v>
      </c>
      <c r="G74" s="6" t="s">
        <v>355</v>
      </c>
      <c r="I74"/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31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31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38120</v>
      </c>
      <c r="V74" s="3">
        <f>+IFERROR(PRODUCTOS[[#This Row],[PRECIO DE COMPRA]]/PRODUCTOS[[#This Row],[CANT. COMPRADA]],"")</f>
        <v>1229.6774193548388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1230</v>
      </c>
      <c r="AC74" s="3">
        <f>+AB74-PRODUCTOS[[#This Row],[PPTO_ACTUALIZADO]]</f>
        <v>1230</v>
      </c>
    </row>
    <row r="75" spans="1:29" x14ac:dyDescent="0.25">
      <c r="A75">
        <v>1803044</v>
      </c>
      <c r="B75" t="s">
        <v>336</v>
      </c>
      <c r="C75" t="s">
        <v>355</v>
      </c>
      <c r="D75" t="s">
        <v>355</v>
      </c>
      <c r="E75" t="s">
        <v>355</v>
      </c>
      <c r="F75" s="2">
        <v>52920</v>
      </c>
      <c r="G75" s="6" t="s">
        <v>90</v>
      </c>
      <c r="I75"/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91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91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4720849</v>
      </c>
      <c r="V75" s="3">
        <f>+IFERROR(PRODUCTOS[[#This Row],[PRECIO DE COMPRA]]/PRODUCTOS[[#This Row],[CANT. COMPRADA]],"")</f>
        <v>51877.461538461539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52920</v>
      </c>
      <c r="AC75" s="3">
        <f>+AB75-PRODUCTOS[[#This Row],[PPTO_ACTUALIZADO]]</f>
        <v>52920</v>
      </c>
    </row>
    <row r="76" spans="1:29" x14ac:dyDescent="0.25">
      <c r="A76">
        <v>2302044</v>
      </c>
      <c r="B76" t="s">
        <v>439</v>
      </c>
      <c r="C76" t="s">
        <v>355</v>
      </c>
      <c r="D76" t="s">
        <v>355</v>
      </c>
      <c r="E76" t="s">
        <v>355</v>
      </c>
      <c r="F76" s="2">
        <v>13091.967213</v>
      </c>
      <c r="G76" s="6" t="s">
        <v>355</v>
      </c>
      <c r="I76"/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26184</v>
      </c>
      <c r="V76" s="3">
        <f>+IFERROR(PRODUCTOS[[#This Row],[PRECIO DE COMPRA]]/PRODUCTOS[[#This Row],[CANT. COMPRADA]],"")</f>
        <v>13092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0</v>
      </c>
      <c r="AC76" s="3">
        <f>+AB76-PRODUCTOS[[#This Row],[PPTO_ACTUALIZADO]]</f>
        <v>0</v>
      </c>
    </row>
    <row r="77" spans="1:29" x14ac:dyDescent="0.25">
      <c r="A77">
        <v>2302045</v>
      </c>
      <c r="B77" t="s">
        <v>441</v>
      </c>
      <c r="C77" t="s">
        <v>355</v>
      </c>
      <c r="D77" t="s">
        <v>355</v>
      </c>
      <c r="E77" t="s">
        <v>355</v>
      </c>
      <c r="F77" s="2">
        <v>25156.025641</v>
      </c>
      <c r="G77" s="6" t="s">
        <v>355</v>
      </c>
      <c r="I77"/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50312</v>
      </c>
      <c r="V77" s="3">
        <f>+IFERROR(PRODUCTOS[[#This Row],[PRECIO DE COMPRA]]/PRODUCTOS[[#This Row],[CANT. COMPRADA]],"")</f>
        <v>25156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0</v>
      </c>
      <c r="AC77" s="3">
        <f>+AB77-PRODUCTOS[[#This Row],[PPTO_ACTUALIZADO]]</f>
        <v>0</v>
      </c>
    </row>
    <row r="78" spans="1:29" x14ac:dyDescent="0.25">
      <c r="A78">
        <v>2304008</v>
      </c>
      <c r="B78" t="s">
        <v>730</v>
      </c>
      <c r="C78" t="s">
        <v>355</v>
      </c>
      <c r="D78" t="s">
        <v>355</v>
      </c>
      <c r="E78" t="s">
        <v>355</v>
      </c>
      <c r="G78" s="6" t="s">
        <v>355</v>
      </c>
      <c r="I78"/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232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232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562426</v>
      </c>
      <c r="V78" s="3">
        <f>+IFERROR(PRODUCTOS[[#This Row],[PRECIO DE COMPRA]]/PRODUCTOS[[#This Row],[CANT. COMPRADA]],"")</f>
        <v>2424.25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0</v>
      </c>
      <c r="AC78" s="3">
        <f>+AB78-PRODUCTOS[[#This Row],[PPTO_ACTUALIZADO]]</f>
        <v>0</v>
      </c>
    </row>
    <row r="79" spans="1:29" x14ac:dyDescent="0.25">
      <c r="A79">
        <v>2304056</v>
      </c>
      <c r="B79" t="s">
        <v>417</v>
      </c>
      <c r="C79" t="s">
        <v>355</v>
      </c>
      <c r="D79" t="s">
        <v>355</v>
      </c>
      <c r="E79" t="s">
        <v>355</v>
      </c>
      <c r="F79" s="2">
        <v>2979.25</v>
      </c>
      <c r="G79" s="6" t="s">
        <v>355</v>
      </c>
      <c r="I79"/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386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386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1219681</v>
      </c>
      <c r="V79" s="3">
        <f>+IFERROR(PRODUCTOS[[#This Row],[PRECIO DE COMPRA]]/PRODUCTOS[[#This Row],[CANT. COMPRADA]],"")</f>
        <v>3159.7953367875648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2979</v>
      </c>
      <c r="AC79" s="3">
        <f>+AB79-PRODUCTOS[[#This Row],[PPTO_ACTUALIZADO]]</f>
        <v>2979</v>
      </c>
    </row>
    <row r="80" spans="1:29" x14ac:dyDescent="0.25">
      <c r="A80">
        <v>2505426</v>
      </c>
      <c r="B80" t="s">
        <v>474</v>
      </c>
      <c r="C80" t="s">
        <v>355</v>
      </c>
      <c r="D80" t="s">
        <v>355</v>
      </c>
      <c r="E80" t="s">
        <v>355</v>
      </c>
      <c r="F80" s="2">
        <v>1683.8602149999999</v>
      </c>
      <c r="G80" s="6" t="s">
        <v>355</v>
      </c>
      <c r="I80"/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>
        <f>+_xlfn.XLOOKUP(PRODUCTOS[[#This Row],[CODIGO]],BD_MODULO[Artículo],BD_MODULO[CUB_ACTUALIZADA],"",0)</f>
        <v>0</v>
      </c>
      <c r="M80" s="2">
        <f>+IFERROR(PRODUCTOS[[#This Row],[PPTO]]*PRODUCTOS[[#This Row],[CANT X MODULO]],"")</f>
        <v>0</v>
      </c>
      <c r="N80" s="2">
        <f>+IFERROR(PRODUCTOS[[#This Row],[PPTO X MODULO]]*32,"")</f>
        <v>0</v>
      </c>
      <c r="O80" s="2">
        <f>+IFERROR(PRODUCTOS[[#This Row],[PPTO X TORRE]]*22,"")</f>
        <v>0</v>
      </c>
      <c r="P80" s="3">
        <f>+IFERROR(PRODUCTOS[[#This Row],[CANT X MODULO]]*702,"")</f>
        <v>0</v>
      </c>
      <c r="Q80" s="3">
        <f>+SUMIFS(DETALLE_GD_1[CANTIDAD SOLICITADA],DETALLE_GD_1[CODIGO],PRODUCTOS[[#This Row],[CODIGO]])</f>
        <v>34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34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59190</v>
      </c>
      <c r="V80" s="3">
        <f>+IFERROR(PRODUCTOS[[#This Row],[PRECIO DE COMPRA]]/PRODUCTOS[[#This Row],[CANT. COMPRADA]],"")</f>
        <v>1740.8823529411766</v>
      </c>
      <c r="W80" s="3">
        <f>+IFERROR(PRODUCTOS[[#This Row],[PRECIO COMPRA UNITARIO]]*PRODUCTOS[[#This Row],[PPTO FALTANTE]],"")</f>
        <v>-59190</v>
      </c>
      <c r="X80" s="7" t="str">
        <f>+IFERROR(PRODUCTOS[[#This Row],[PROYECCION COMPRA]]/PRODUCTOS[[#This Row],[PPTO TOTAL]]-1,"")</f>
        <v/>
      </c>
      <c r="Y80" s="3">
        <f>+IFERROR((PRODUCTOS[[#This Row],[CANT X MODULO]]*704)-PRODUCTOS[[#This Row],[CANT. COMPRADA]],"")</f>
        <v>-34</v>
      </c>
      <c r="Z80" s="17">
        <f>+IFERROR(PRODUCTOS[[#This Row],[CANT. COMPRADA]]/PRODUCTOS[[#This Row],[PPTO FALTANTE]],"")</f>
        <v>-1</v>
      </c>
      <c r="AA80" s="3">
        <f>+IFERROR(PRODUCTOS[[#This Row],[PROYECCION COMPRA]]-(PRODUCTOS[[#This Row],[PPTO FALTANTE]]*PRODUCTOS[[#This Row],[PPTO]]),"")</f>
        <v>-1938.7526900000012</v>
      </c>
      <c r="AB80" s="3">
        <f>+_xlfn.XLOOKUP(PRODUCTOS[[#This Row],[CODIGO]],DETALLE_GD_1[CODIGO],DETALLE_GD_1[VALOR PPTO],"",0)</f>
        <v>1684</v>
      </c>
      <c r="AC80" s="3">
        <f>+AB80-PRODUCTOS[[#This Row],[PPTO_ACTUALIZADO]]</f>
        <v>1684</v>
      </c>
    </row>
    <row r="81" spans="1:29" x14ac:dyDescent="0.25">
      <c r="A81">
        <v>2508986</v>
      </c>
      <c r="B81" t="s">
        <v>706</v>
      </c>
      <c r="C81" t="s">
        <v>355</v>
      </c>
      <c r="D81" t="s">
        <v>355</v>
      </c>
      <c r="E81" t="s">
        <v>355</v>
      </c>
      <c r="G81" s="6" t="s">
        <v>90</v>
      </c>
      <c r="I81"/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5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5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513110</v>
      </c>
      <c r="V81" s="3">
        <f>+IFERROR(PRODUCTOS[[#This Row],[PRECIO DE COMPRA]]/PRODUCTOS[[#This Row],[CANT. COMPRADA]],"")</f>
        <v>102622</v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>
        <f>+_xlfn.XLOOKUP(PRODUCTOS[[#This Row],[CODIGO]],DETALLE_GD_1[CODIGO],DETALLE_GD_1[VALOR PPTO],"",0)</f>
        <v>0</v>
      </c>
      <c r="AC81" s="3">
        <f>+AB81-PRODUCTOS[[#This Row],[PPTO_ACTUALIZADO]]</f>
        <v>0</v>
      </c>
    </row>
    <row r="82" spans="1:29" x14ac:dyDescent="0.25">
      <c r="A82">
        <v>2508988</v>
      </c>
      <c r="B82" t="s">
        <v>467</v>
      </c>
      <c r="C82" t="s">
        <v>355</v>
      </c>
      <c r="D82" t="s">
        <v>355</v>
      </c>
      <c r="E82" t="s">
        <v>355</v>
      </c>
      <c r="G82" s="6" t="s">
        <v>90</v>
      </c>
      <c r="I82"/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22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22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3145208</v>
      </c>
      <c r="V82" s="3">
        <f>+IFERROR(PRODUCTOS[[#This Row],[PRECIO DE COMPRA]]/PRODUCTOS[[#This Row],[CANT. COMPRADA]],"")</f>
        <v>142964</v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>
        <f>+_xlfn.XLOOKUP(PRODUCTOS[[#This Row],[CODIGO]],DETALLE_GD_1[CODIGO],DETALLE_GD_1[VALOR PPTO],"",0)</f>
        <v>0</v>
      </c>
      <c r="AC82" s="3">
        <f>+AB82-PRODUCTOS[[#This Row],[PPTO_ACTUALIZADO]]</f>
        <v>0</v>
      </c>
    </row>
    <row r="83" spans="1:29" x14ac:dyDescent="0.25">
      <c r="A83">
        <v>5316508</v>
      </c>
      <c r="B83" t="s">
        <v>468</v>
      </c>
      <c r="C83" t="s">
        <v>355</v>
      </c>
      <c r="D83" t="s">
        <v>355</v>
      </c>
      <c r="E83" t="s">
        <v>355</v>
      </c>
      <c r="G83" s="6" t="s">
        <v>31</v>
      </c>
      <c r="I83"/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18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18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262755</v>
      </c>
      <c r="V83" s="3">
        <f>+IFERROR(PRODUCTOS[[#This Row],[PRECIO DE COMPRA]]/PRODUCTOS[[#This Row],[CANT. COMPRADA]],"")</f>
        <v>14597.5</v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>
        <f>+_xlfn.XLOOKUP(PRODUCTOS[[#This Row],[CODIGO]],DETALLE_GD_1[CODIGO],DETALLE_GD_1[VALOR PPTO],"",0)</f>
        <v>0</v>
      </c>
      <c r="AC83" s="3">
        <f>+AB83-PRODUCTOS[[#This Row],[PPTO_ACTUALIZADO]]</f>
        <v>0</v>
      </c>
    </row>
    <row r="84" spans="1:29" x14ac:dyDescent="0.25">
      <c r="A84" t="s">
        <v>559</v>
      </c>
      <c r="B84" t="s">
        <v>726</v>
      </c>
      <c r="C84" t="s">
        <v>355</v>
      </c>
      <c r="D84" t="s">
        <v>355</v>
      </c>
      <c r="E84" t="s">
        <v>355</v>
      </c>
      <c r="G84" s="6" t="s">
        <v>355</v>
      </c>
      <c r="I84"/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450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450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147720</v>
      </c>
      <c r="V84" s="3">
        <f>+IFERROR(PRODUCTOS[[#This Row],[PRECIO DE COMPRA]]/PRODUCTOS[[#This Row],[CANT. COMPRADA]],"")</f>
        <v>328.26666666666665</v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>
        <f>+_xlfn.XLOOKUP(PRODUCTOS[[#This Row],[CODIGO]],DETALLE_GD_1[CODIGO],DETALLE_GD_1[VALOR PPTO],"",0)</f>
        <v>0</v>
      </c>
      <c r="AC84" s="3">
        <f>+AB84-PRODUCTOS[[#This Row],[PPTO_ACTUALIZADO]]</f>
        <v>0</v>
      </c>
    </row>
    <row r="85" spans="1:29" x14ac:dyDescent="0.25">
      <c r="A85">
        <v>407423</v>
      </c>
      <c r="B85" t="s">
        <v>106</v>
      </c>
      <c r="C85" t="s">
        <v>608</v>
      </c>
      <c r="D85" t="s">
        <v>240</v>
      </c>
      <c r="E85" t="s">
        <v>399</v>
      </c>
      <c r="F85" s="2">
        <v>3.388029</v>
      </c>
      <c r="G85" s="6" t="s">
        <v>31</v>
      </c>
      <c r="H85" s="2">
        <v>106.64050198378378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>
        <f>+_xlfn.XLOOKUP(PRODUCTOS[[#This Row],[CODIGO]],BD_MODULO[Artículo],BD_MODULO[CUB_ACTUALIZADA],"",0)</f>
        <v>24.28125</v>
      </c>
      <c r="M85" s="2">
        <f>+IFERROR(PRODUCTOS[[#This Row],[PPTO]]*PRODUCTOS[[#This Row],[CANT X MODULO]],"")</f>
        <v>82.265579156249999</v>
      </c>
      <c r="N85" s="2">
        <f>+IFERROR(PRODUCTOS[[#This Row],[PPTO X MODULO]]*32,"")</f>
        <v>2632.498533</v>
      </c>
      <c r="O85" s="2">
        <f>+IFERROR(PRODUCTOS[[#This Row],[PPTO X TORRE]]*22,"")</f>
        <v>57914.967726000003</v>
      </c>
      <c r="P85" s="3">
        <f>+IFERROR(PRODUCTOS[[#This Row],[CANT X MODULO]]*702,"")</f>
        <v>17045.4375</v>
      </c>
      <c r="Q85" s="3">
        <f>+SUMIFS(DETALLE_GD_1[CANTIDAD SOLICITADA],DETALLE_GD_1[CODIGO],PRODUCTOS[[#This Row],[CODIGO]])</f>
        <v>254658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254658</v>
      </c>
      <c r="T85" s="3">
        <f>+IFERROR(PRODUCTOS[[#This Row],[CANTIDAD RECIBIDA]]/PRODUCTOS[[#This Row],[CANT X MODULO]],"")</f>
        <v>10487.84555984556</v>
      </c>
      <c r="U85" s="3">
        <f>+SUMIFS(DETALLE_GD_1[VALOR TOTAL POR ITEM GD],DETALLE_GD_1[CODIGO],PRODUCTOS[[#This Row],[CODIGO]])</f>
        <v>872408</v>
      </c>
      <c r="V85" s="3">
        <f>+IFERROR(PRODUCTOS[[#This Row],[PRECIO DE COMPRA]]/PRODUCTOS[[#This Row],[CANT. COMPRADA]],"")</f>
        <v>3.4258024487744345</v>
      </c>
      <c r="W85" s="3">
        <f>+IFERROR(PRODUCTOS[[#This Row],[PRECIO COMPRA UNITARIO]]*PRODUCTOS[[#This Row],[PPTO FALTANTE]],"")</f>
        <v>-813847.33294064971</v>
      </c>
      <c r="X85" s="7">
        <f>+IFERROR(PRODUCTOS[[#This Row],[PROYECCION COMPRA]]/PRODUCTOS[[#This Row],[PPTO TOTAL]]-1,"")</f>
        <v>-15.052452498825893</v>
      </c>
      <c r="Y85" s="3">
        <f>+IFERROR((PRODUCTOS[[#This Row],[CANT X MODULO]]*704)-PRODUCTOS[[#This Row],[CANT. COMPRADA]],"")</f>
        <v>-237564</v>
      </c>
      <c r="Z85" s="17">
        <f>+IFERROR(PRODUCTOS[[#This Row],[CANT. COMPRADA]]/PRODUCTOS[[#This Row],[PPTO FALTANTE]],"")</f>
        <v>-1.0719553467697125</v>
      </c>
      <c r="AA85" s="3">
        <f>+IFERROR(PRODUCTOS[[#This Row],[PROYECCION COMPRA]]-(PRODUCTOS[[#This Row],[PPTO FALTANTE]]*PRODUCTOS[[#This Row],[PPTO]]),"")</f>
        <v>-8973.6115846497705</v>
      </c>
      <c r="AB85" s="3">
        <f>+_xlfn.XLOOKUP(PRODUCTOS[[#This Row],[CODIGO]],DETALLE_GD_1[CODIGO],DETALLE_GD_1[VALOR PPTO],"",0)</f>
        <v>106.6405</v>
      </c>
      <c r="AC85" s="3">
        <f>+AB85-PRODUCTOS[[#This Row],[PPTO_ACTUALIZADO]]</f>
        <v>-1.9837837754721477E-6</v>
      </c>
    </row>
    <row r="86" spans="1:29" x14ac:dyDescent="0.25">
      <c r="A86" s="27" t="s">
        <v>225</v>
      </c>
      <c r="B86" s="27" t="s">
        <v>226</v>
      </c>
      <c r="C86">
        <v>0</v>
      </c>
      <c r="D86" s="27" t="s">
        <v>240</v>
      </c>
      <c r="E86" s="27" t="s">
        <v>399</v>
      </c>
      <c r="F86" s="28">
        <v>49030.713302999997</v>
      </c>
      <c r="G86" s="32" t="s">
        <v>36</v>
      </c>
      <c r="H86" s="2">
        <v>49030.713302999997</v>
      </c>
      <c r="I86" t="b">
        <v>1</v>
      </c>
      <c r="J86" t="str">
        <f>+_xlfn.XLOOKUP(PRODUCTOS[[#This Row],[CODIGO]],P_CRITICOS[CODIGO],P_CRITICOS[DESC CORTA],"",0)</f>
        <v/>
      </c>
      <c r="K86" s="27" t="str">
        <f>+IFERROR(IF(VLOOKUP(PRODUCTOS[[#This Row],[CODIGO]],P_CRITICOS[],3,0)="*","PRODUCTO CRITICO","NO CRITICO"),"NO CRITICO")</f>
        <v>NO CRITICO</v>
      </c>
      <c r="L86" s="33">
        <f>+_xlfn.XLOOKUP(PRODUCTOS[[#This Row],[CODIGO]],BD_MODULO[Artículo],BD_MODULO[CUB_ACTUALIZADA],"",0)</f>
        <v>1.0500000000000001E-2</v>
      </c>
      <c r="M86" s="28">
        <f>+IFERROR(PRODUCTOS[[#This Row],[PPTO]]*PRODUCTOS[[#This Row],[CANT X MODULO]],"")</f>
        <v>514.82248968149997</v>
      </c>
      <c r="N86" s="28">
        <f>+IFERROR(PRODUCTOS[[#This Row],[PPTO X MODULO]]*32,"")</f>
        <v>16474.319669807999</v>
      </c>
      <c r="O86" s="28">
        <f>+IFERROR(PRODUCTOS[[#This Row],[PPTO X TORRE]]*22,"")</f>
        <v>362435.03273577598</v>
      </c>
      <c r="P86" s="29">
        <f>+IFERROR(PRODUCTOS[[#This Row],[CANT X MODULO]]*702,"")</f>
        <v>7.3710000000000004</v>
      </c>
      <c r="Q86" s="29">
        <f>+SUMIFS(DETALLE_GD_1[CANTIDAD SOLICITADA],DETALLE_GD_1[CODIGO],PRODUCTOS[[#This Row],[CODIGO]])</f>
        <v>17</v>
      </c>
      <c r="R86" s="29">
        <f>+SUMIFS(DETALLE_GD_1[DEVOLUCIÓN],DETALLE_GD_1[CODIGO],PRODUCTOS[[#This Row],[CODIGO]])</f>
        <v>0</v>
      </c>
      <c r="S86" s="29">
        <f>+PRODUCTOS[[#This Row],[CANT. COMPRADA]]-PRODUCTOS[[#This Row],[DEVOLUCIONES]]</f>
        <v>17</v>
      </c>
      <c r="T86" s="29">
        <f>+IFERROR(PRODUCTOS[[#This Row],[CANTIDAD RECIBIDA]]/PRODUCTOS[[#This Row],[CANT X MODULO]],"")</f>
        <v>1619.047619047619</v>
      </c>
      <c r="U86" s="29">
        <f>+SUMIFS(DETALLE_GD_1[VALOR TOTAL POR ITEM GD],DETALLE_GD_1[CODIGO],PRODUCTOS[[#This Row],[CODIGO]])</f>
        <v>833522</v>
      </c>
      <c r="V86" s="29">
        <f>+IFERROR(PRODUCTOS[[#This Row],[PRECIO DE COMPRA]]/PRODUCTOS[[#This Row],[CANT. COMPRADA]],"")</f>
        <v>49030.705882352944</v>
      </c>
      <c r="W86" s="29">
        <f>+IFERROR(PRODUCTOS[[#This Row],[PRECIO COMPRA UNITARIO]]*PRODUCTOS[[#This Row],[PPTO FALTANTE]],"")</f>
        <v>-471087.02211764711</v>
      </c>
      <c r="X86" s="30">
        <f>+IFERROR(PRODUCTOS[[#This Row],[PROYECCION COMPRA]]/PRODUCTOS[[#This Row],[PPTO TOTAL]]-1,"")</f>
        <v>-2.2997833530653233</v>
      </c>
      <c r="Y86" s="29">
        <f>+IFERROR((PRODUCTOS[[#This Row],[CANT X MODULO]]*704)-PRODUCTOS[[#This Row],[CANT. COMPRADA]],"")</f>
        <v>-9.6080000000000005</v>
      </c>
      <c r="Z86" s="31">
        <f>+IFERROR(PRODUCTOS[[#This Row],[CANT. COMPRADA]]/PRODUCTOS[[#This Row],[PPTO FALTANTE]],"")</f>
        <v>-1.7693588676103247</v>
      </c>
      <c r="AA86" s="29">
        <f>+IFERROR(PRODUCTOS[[#This Row],[PROYECCION COMPRA]]-(PRODUCTOS[[#This Row],[PPTO FALTANTE]]*PRODUCTOS[[#This Row],[PPTO]]),"")</f>
        <v>7.1297576883807778E-2</v>
      </c>
      <c r="AB86" s="3">
        <f>+_xlfn.XLOOKUP(PRODUCTOS[[#This Row],[CODIGO]],DETALLE_GD_1[CODIGO],DETALLE_GD_1[VALOR PPTO],"",0)</f>
        <v>49030.713300000003</v>
      </c>
      <c r="AC86" s="3">
        <f>+AB86-PRODUCTOS[[#This Row],[PPTO_ACTUALIZADO]]</f>
        <v>-2.9999937396496534E-6</v>
      </c>
    </row>
    <row r="87" spans="1:29" x14ac:dyDescent="0.25">
      <c r="A87">
        <v>2304002</v>
      </c>
      <c r="B87" t="s">
        <v>212</v>
      </c>
      <c r="C87">
        <v>0</v>
      </c>
      <c r="D87" t="s">
        <v>258</v>
      </c>
      <c r="E87" t="s">
        <v>412</v>
      </c>
      <c r="F87" s="2">
        <v>1376.471724</v>
      </c>
      <c r="G87" s="6" t="s">
        <v>31</v>
      </c>
      <c r="H87" s="2">
        <v>1376.471724</v>
      </c>
      <c r="I87" t="b">
        <v>1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>
        <f>+_xlfn.XLOOKUP(PRODUCTOS[[#This Row],[CODIGO]],BD_MODULO[Artículo],BD_MODULO[CUB_ACTUALIZADA],"",0)</f>
        <v>0.52500000000000002</v>
      </c>
      <c r="M87" s="2">
        <f>+IFERROR(PRODUCTOS[[#This Row],[PPTO]]*PRODUCTOS[[#This Row],[CANT X MODULO]],"")</f>
        <v>722.64765510000007</v>
      </c>
      <c r="N87" s="2">
        <f>+IFERROR(PRODUCTOS[[#This Row],[PPTO X MODULO]]*32,"")</f>
        <v>23124.724963200002</v>
      </c>
      <c r="O87" s="2">
        <f>+IFERROR(PRODUCTOS[[#This Row],[PPTO X TORRE]]*22,"")</f>
        <v>508743.94919040008</v>
      </c>
      <c r="P87" s="3">
        <f>+IFERROR(PRODUCTOS[[#This Row],[CANT X MODULO]]*702,"")</f>
        <v>368.55</v>
      </c>
      <c r="Q87" s="3">
        <f>+SUMIFS(DETALLE_GD_1[CANTIDAD SOLICITADA],DETALLE_GD_1[CODIGO],PRODUCTOS[[#This Row],[CODIGO]])</f>
        <v>531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531</v>
      </c>
      <c r="T87" s="3">
        <f>+IFERROR(PRODUCTOS[[#This Row],[CANTIDAD RECIBIDA]]/PRODUCTOS[[#This Row],[CANT X MODULO]],"")</f>
        <v>1011.4285714285713</v>
      </c>
      <c r="U87" s="3">
        <f>+SUMIFS(DETALLE_GD_1[VALOR TOTAL POR ITEM GD],DETALLE_GD_1[CODIGO],PRODUCTOS[[#This Row],[CODIGO]])</f>
        <v>743693</v>
      </c>
      <c r="V87" s="3">
        <f>+IFERROR(PRODUCTOS[[#This Row],[PRECIO DE COMPRA]]/PRODUCTOS[[#This Row],[CANT. COMPRADA]],"")</f>
        <v>1400.5517890772128</v>
      </c>
      <c r="W87" s="3">
        <f>+IFERROR(PRODUCTOS[[#This Row],[PRECIO COMPRA UNITARIO]]*PRODUCTOS[[#This Row],[PPTO FALTANTE]],"")</f>
        <v>-226049.0587570621</v>
      </c>
      <c r="X87" s="7">
        <f>+IFERROR(PRODUCTOS[[#This Row],[PROYECCION COMPRA]]/PRODUCTOS[[#This Row],[PPTO TOTAL]]-1,"")</f>
        <v>-1.4443277588201093</v>
      </c>
      <c r="Y87" s="3">
        <f>+IFERROR((PRODUCTOS[[#This Row],[CANT X MODULO]]*704)-PRODUCTOS[[#This Row],[CANT. COMPRADA]],"")</f>
        <v>-161.39999999999998</v>
      </c>
      <c r="Z87" s="17">
        <f>+IFERROR(PRODUCTOS[[#This Row],[CANT. COMPRADA]]/PRODUCTOS[[#This Row],[PPTO FALTANTE]],"")</f>
        <v>-3.2899628252788107</v>
      </c>
      <c r="AA87" s="3">
        <f>+IFERROR(PRODUCTOS[[#This Row],[PROYECCION COMPRA]]-(PRODUCTOS[[#This Row],[PPTO FALTANTE]]*PRODUCTOS[[#This Row],[PPTO]]),"")</f>
        <v>-3886.5225034621253</v>
      </c>
      <c r="AB87" s="3">
        <f>+_xlfn.XLOOKUP(PRODUCTOS[[#This Row],[CODIGO]],DETALLE_GD_1[CODIGO],DETALLE_GD_1[VALOR PPTO],"",0)</f>
        <v>1376.4717000000001</v>
      </c>
      <c r="AC87" s="3">
        <f>+AB87-PRODUCTOS[[#This Row],[PPTO_ACTUALIZADO]]</f>
        <v>-2.3999999939405825E-5</v>
      </c>
    </row>
    <row r="88" spans="1:29" x14ac:dyDescent="0.25">
      <c r="A88">
        <v>2304003</v>
      </c>
      <c r="B88" t="s">
        <v>132</v>
      </c>
      <c r="C88" t="s">
        <v>624</v>
      </c>
      <c r="D88">
        <v>0</v>
      </c>
      <c r="E88">
        <v>0</v>
      </c>
      <c r="F88" s="2">
        <v>1297.135262</v>
      </c>
      <c r="G88" s="6" t="s">
        <v>355</v>
      </c>
      <c r="H88" s="2">
        <v>0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>
        <f>+_xlfn.XLOOKUP(PRODUCTOS[[#This Row],[CODIGO]],BD_MODULO[Artículo],BD_MODULO[CUB_ACTUALIZADA],"",0)</f>
        <v>5.6875000000000002E-2</v>
      </c>
      <c r="M88" s="2">
        <f>+IFERROR(PRODUCTOS[[#This Row],[PPTO]]*PRODUCTOS[[#This Row],[CANT X MODULO]],"")</f>
        <v>73.774568026250009</v>
      </c>
      <c r="N88" s="2">
        <f>+IFERROR(PRODUCTOS[[#This Row],[PPTO X MODULO]]*32,"")</f>
        <v>2360.7861768400003</v>
      </c>
      <c r="O88" s="2">
        <f>+IFERROR(PRODUCTOS[[#This Row],[PPTO X TORRE]]*22,"")</f>
        <v>51937.295890480003</v>
      </c>
      <c r="P88" s="3">
        <f>+IFERROR(PRODUCTOS[[#This Row],[CANT X MODULO]]*702,"")</f>
        <v>39.926250000000003</v>
      </c>
      <c r="Q88" s="3">
        <f>+SUMIFS(DETALLE_GD_1[CANTIDAD SOLICITADA],DETALLE_GD_1[CODIGO],PRODUCTOS[[#This Row],[CODIGO]])</f>
        <v>46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46</v>
      </c>
      <c r="T88" s="3">
        <f>+IFERROR(PRODUCTOS[[#This Row],[CANTIDAD RECIBIDA]]/PRODUCTOS[[#This Row],[CANT X MODULO]],"")</f>
        <v>808.79120879120876</v>
      </c>
      <c r="U88" s="3">
        <f>+SUMIFS(DETALLE_GD_1[VALOR TOTAL POR ITEM GD],DETALLE_GD_1[CODIGO],PRODUCTOS[[#This Row],[CODIGO]])</f>
        <v>59716</v>
      </c>
      <c r="V88" s="3">
        <f>+IFERROR(PRODUCTOS[[#This Row],[PRECIO DE COMPRA]]/PRODUCTOS[[#This Row],[CANT. COMPRADA]],"")</f>
        <v>1298.1739130434783</v>
      </c>
      <c r="W88" s="3">
        <f>+IFERROR(PRODUCTOS[[#This Row],[PRECIO COMPRA UNITARIO]]*PRODUCTOS[[#This Row],[PPTO FALTANTE]],"")</f>
        <v>-7737.1165217391317</v>
      </c>
      <c r="X88" s="7">
        <f>+IFERROR(PRODUCTOS[[#This Row],[PROYECCION COMPRA]]/PRODUCTOS[[#This Row],[PPTO TOTAL]]-1,"")</f>
        <v>-1.1489703379639626</v>
      </c>
      <c r="Y88" s="3">
        <f>+IFERROR((PRODUCTOS[[#This Row],[CANT X MODULO]]*704)-PRODUCTOS[[#This Row],[CANT. COMPRADA]],"")</f>
        <v>-5.9600000000000009</v>
      </c>
      <c r="Z88" s="17">
        <f>+IFERROR(PRODUCTOS[[#This Row],[CANT. COMPRADA]]/PRODUCTOS[[#This Row],[PPTO FALTANTE]],"")</f>
        <v>-7.7181208053691268</v>
      </c>
      <c r="AA88" s="3">
        <f>+IFERROR(PRODUCTOS[[#This Row],[PROYECCION COMPRA]]-(PRODUCTOS[[#This Row],[PPTO FALTANTE]]*PRODUCTOS[[#This Row],[PPTO]]),"")</f>
        <v>-6.1903602191305254</v>
      </c>
      <c r="AB88" s="3">
        <f>+_xlfn.XLOOKUP(PRODUCTOS[[#This Row],[CODIGO]],DETALLE_GD_1[CODIGO],DETALLE_GD_1[VALOR PPTO],"",0)</f>
        <v>1297.1352999999999</v>
      </c>
      <c r="AC88" s="3">
        <f>+AB88-PRODUCTOS[[#This Row],[PPTO_ACTUALIZADO]]</f>
        <v>1297.1352999999999</v>
      </c>
    </row>
    <row r="89" spans="1:29" x14ac:dyDescent="0.25">
      <c r="A89">
        <v>2302119</v>
      </c>
      <c r="B89" t="s">
        <v>74</v>
      </c>
      <c r="C89" t="s">
        <v>589</v>
      </c>
      <c r="D89" t="s">
        <v>244</v>
      </c>
      <c r="E89" t="s">
        <v>399</v>
      </c>
      <c r="F89" s="2">
        <v>3670.8750399999999</v>
      </c>
      <c r="G89" s="6" t="s">
        <v>31</v>
      </c>
      <c r="H89" s="2">
        <v>3671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>
        <f>+_xlfn.XLOOKUP(PRODUCTOS[[#This Row],[CODIGO]],BD_MODULO[Artículo],BD_MODULO[CUB_ACTUALIZADA],"",0)</f>
        <v>1.5750000000000002</v>
      </c>
      <c r="M89" s="2">
        <f>+IFERROR(PRODUCTOS[[#This Row],[PPTO]]*PRODUCTOS[[#This Row],[CANT X MODULO]],"")</f>
        <v>5781.6281880000006</v>
      </c>
      <c r="N89" s="2">
        <f>+IFERROR(PRODUCTOS[[#This Row],[PPTO X MODULO]]*32,"")</f>
        <v>185012.10201600002</v>
      </c>
      <c r="O89" s="2">
        <f>+IFERROR(PRODUCTOS[[#This Row],[PPTO X TORRE]]*22,"")</f>
        <v>4070266.2443520003</v>
      </c>
      <c r="P89" s="3">
        <f>+IFERROR(PRODUCTOS[[#This Row],[CANT X MODULO]]*702,"")</f>
        <v>1105.6500000000001</v>
      </c>
      <c r="Q89" s="3">
        <f>+SUMIFS(DETALLE_GD_1[CANTIDAD SOLICITADA],DETALLE_GD_1[CODIGO],PRODUCTOS[[#This Row],[CODIGO]])</f>
        <v>1229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1229</v>
      </c>
      <c r="T89" s="3">
        <f>+IFERROR(PRODUCTOS[[#This Row],[CANTIDAD RECIBIDA]]/PRODUCTOS[[#This Row],[CANT X MODULO]],"")</f>
        <v>780.31746031746025</v>
      </c>
      <c r="U89" s="3">
        <f>+SUMIFS(DETALLE_GD_1[VALOR TOTAL POR ITEM GD],DETALLE_GD_1[CODIGO],PRODUCTOS[[#This Row],[CODIGO]])</f>
        <v>4527150</v>
      </c>
      <c r="V89" s="3">
        <f>+IFERROR(PRODUCTOS[[#This Row],[PRECIO DE COMPRA]]/PRODUCTOS[[#This Row],[CANT. COMPRADA]],"")</f>
        <v>3683.6045565500408</v>
      </c>
      <c r="W89" s="3">
        <f>+IFERROR(PRODUCTOS[[#This Row],[PRECIO COMPRA UNITARIO]]*PRODUCTOS[[#This Row],[PPTO FALTANTE]],"")</f>
        <v>-442769.26769731421</v>
      </c>
      <c r="X89" s="7">
        <f>+IFERROR(PRODUCTOS[[#This Row],[PROYECCION COMPRA]]/PRODUCTOS[[#This Row],[PPTO TOTAL]]-1,"")</f>
        <v>-1.1087814017846405</v>
      </c>
      <c r="Y89" s="3">
        <f>+IFERROR((PRODUCTOS[[#This Row],[CANT X MODULO]]*704)-PRODUCTOS[[#This Row],[CANT. COMPRADA]],"")</f>
        <v>-120.19999999999982</v>
      </c>
      <c r="Z89" s="17">
        <f>+IFERROR(PRODUCTOS[[#This Row],[CANT. COMPRADA]]/PRODUCTOS[[#This Row],[PPTO FALTANTE]],"")</f>
        <v>-10.224625623960081</v>
      </c>
      <c r="AA89" s="3">
        <f>+IFERROR(PRODUCTOS[[#This Row],[PROYECCION COMPRA]]-(PRODUCTOS[[#This Row],[PPTO FALTANTE]]*PRODUCTOS[[#This Row],[PPTO]]),"")</f>
        <v>-1530.087889314862</v>
      </c>
      <c r="AB89" s="3">
        <f>+_xlfn.XLOOKUP(PRODUCTOS[[#This Row],[CODIGO]],DETALLE_GD_1[CODIGO],DETALLE_GD_1[VALOR PPTO],"",0)</f>
        <v>3671</v>
      </c>
      <c r="AC89" s="3">
        <f>+AB89-PRODUCTOS[[#This Row],[PPTO_ACTUALIZADO]]</f>
        <v>0</v>
      </c>
    </row>
    <row r="90" spans="1:29" x14ac:dyDescent="0.25">
      <c r="A90">
        <v>302054</v>
      </c>
      <c r="B90" t="s">
        <v>356</v>
      </c>
      <c r="C90">
        <v>0</v>
      </c>
      <c r="D90" t="s">
        <v>240</v>
      </c>
      <c r="E90" t="s">
        <v>403</v>
      </c>
      <c r="F90" s="2">
        <v>5713</v>
      </c>
      <c r="G90" s="6" t="s">
        <v>355</v>
      </c>
      <c r="H90" s="2">
        <v>0</v>
      </c>
      <c r="I90" t="b">
        <v>0</v>
      </c>
      <c r="J90" t="str">
        <f>+_xlfn.XLOOKUP(PRODUCTOS[[#This Row],[CODIGO]],P_CRITICOS[CODIGO],P_CRITICOS[DESC CORTA],"",0)</f>
        <v>PINO 2X4X2,44</v>
      </c>
      <c r="K90" t="str">
        <f>+IFERROR(IF(VLOOKUP(PRODUCTOS[[#This Row],[CODIGO]],P_CRITICOS[],3,0)="*","PRODUCTO CRITICO","NO CRITICO"),"NO CRITICO")</f>
        <v>PRODUCTO CRITICO</v>
      </c>
      <c r="L90" s="15">
        <f>+_xlfn.XLOOKUP(PRODUCTOS[[#This Row],[CODIGO]],BD_MODULO[Artículo],BD_MODULO[CUB_ACTUALIZADA],"",0)</f>
        <v>34.543750000000003</v>
      </c>
      <c r="M90" s="2">
        <f>+IFERROR(PRODUCTOS[[#This Row],[PPTO]]*PRODUCTOS[[#This Row],[CANT X MODULO]],"")</f>
        <v>197348.44375000001</v>
      </c>
      <c r="N90" s="2">
        <f>+IFERROR(PRODUCTOS[[#This Row],[PPTO X MODULO]]*32,"")</f>
        <v>6315150.2000000002</v>
      </c>
      <c r="O90" s="2">
        <f>+IFERROR(PRODUCTOS[[#This Row],[PPTO X TORRE]]*22,"")</f>
        <v>138933304.40000001</v>
      </c>
      <c r="P90" s="3">
        <f>+IFERROR(PRODUCTOS[[#This Row],[CANT X MODULO]]*702,"")</f>
        <v>24249.712500000001</v>
      </c>
      <c r="Q90" s="3">
        <f>+SUMIFS(DETALLE_GD_1[CANTIDAD SOLICITADA],DETALLE_GD_1[CODIGO],PRODUCTOS[[#This Row],[CODIGO]])</f>
        <v>17808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17808</v>
      </c>
      <c r="T90" s="3">
        <f>+IFERROR(PRODUCTOS[[#This Row],[CANTIDAD RECIBIDA]]/PRODUCTOS[[#This Row],[CANT X MODULO]],"")</f>
        <v>515.52017369278087</v>
      </c>
      <c r="U90" s="3">
        <f>+SUMIFS(DETALLE_GD_1[VALOR TOTAL POR ITEM GD],DETALLE_GD_1[CODIGO],PRODUCTOS[[#This Row],[CODIGO]])</f>
        <v>86254216</v>
      </c>
      <c r="V90" s="3">
        <f>+IFERROR(PRODUCTOS[[#This Row],[PRECIO DE COMPRA]]/PRODUCTOS[[#This Row],[CANT. COMPRADA]],"")</f>
        <v>4843.5655884995504</v>
      </c>
      <c r="W90" s="3">
        <f>+IFERROR(PRODUCTOS[[#This Row],[PRECIO COMPRA UNITARIO]]*PRODUCTOS[[#This Row],[PPTO FALTANTE]],"")</f>
        <v>31535486.833602887</v>
      </c>
      <c r="X90" s="7">
        <f>+IFERROR(PRODUCTOS[[#This Row],[PROYECCION COMPRA]]/PRODUCTOS[[#This Row],[PPTO TOTAL]]-1,"")</f>
        <v>-0.77301708204672281</v>
      </c>
      <c r="Y90" s="3">
        <f>+IFERROR((PRODUCTOS[[#This Row],[CANT X MODULO]]*704)-PRODUCTOS[[#This Row],[CANT. COMPRADA]],"")</f>
        <v>6510.8000000000029</v>
      </c>
      <c r="Z90" s="17">
        <f>+IFERROR(PRODUCTOS[[#This Row],[CANT. COMPRADA]]/PRODUCTOS[[#This Row],[PPTO FALTANTE]],"")</f>
        <v>2.7351477545002139</v>
      </c>
      <c r="AA90" s="3">
        <f>+IFERROR(PRODUCTOS[[#This Row],[PROYECCION COMPRA]]-(PRODUCTOS[[#This Row],[PPTO FALTANTE]]*PRODUCTOS[[#This Row],[PPTO]]),"")</f>
        <v>-5660713.5663971268</v>
      </c>
      <c r="AB90" s="3">
        <f>+_xlfn.XLOOKUP(PRODUCTOS[[#This Row],[CODIGO]],DETALLE_GD_1[CODIGO],DETALLE_GD_1[VALOR PPTO],"",0)</f>
        <v>5713</v>
      </c>
      <c r="AC90" s="3">
        <f>+AB90-PRODUCTOS[[#This Row],[PPTO_ACTUALIZADO]]</f>
        <v>5713</v>
      </c>
    </row>
    <row r="91" spans="1:29" x14ac:dyDescent="0.25">
      <c r="A91">
        <v>304014</v>
      </c>
      <c r="B91" t="s">
        <v>23</v>
      </c>
      <c r="C91">
        <v>0</v>
      </c>
      <c r="D91" t="s">
        <v>240</v>
      </c>
      <c r="E91" t="s">
        <v>401</v>
      </c>
      <c r="F91" s="2">
        <v>20894.572284999998</v>
      </c>
      <c r="G91" s="6" t="s">
        <v>18</v>
      </c>
      <c r="H91" s="2">
        <v>20894.572284999998</v>
      </c>
      <c r="I91" t="b">
        <v>1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>
        <f>+_xlfn.XLOOKUP(PRODUCTOS[[#This Row],[CODIGO]],BD_MODULO[Artículo],BD_MODULO[CUB_ACTUALIZADA],"",0)</f>
        <v>1.378125</v>
      </c>
      <c r="M91" s="2">
        <f>+IFERROR(PRODUCTOS[[#This Row],[PPTO]]*PRODUCTOS[[#This Row],[CANT X MODULO]],"")</f>
        <v>28795.332430265622</v>
      </c>
      <c r="N91" s="2">
        <f>+IFERROR(PRODUCTOS[[#This Row],[PPTO X MODULO]]*32,"")</f>
        <v>921450.6377684999</v>
      </c>
      <c r="O91" s="2">
        <f>+IFERROR(PRODUCTOS[[#This Row],[PPTO X TORRE]]*22,"")</f>
        <v>20271914.030906998</v>
      </c>
      <c r="P91" s="3">
        <f>+IFERROR(PRODUCTOS[[#This Row],[CANT X MODULO]]*702,"")</f>
        <v>967.44375000000002</v>
      </c>
      <c r="Q91" s="3">
        <f>+SUMIFS(DETALLE_GD_1[CANTIDAD SOLICITADA],DETALLE_GD_1[CODIGO],PRODUCTOS[[#This Row],[CODIGO]])</f>
        <v>710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710</v>
      </c>
      <c r="T91" s="3">
        <f>+IFERROR(PRODUCTOS[[#This Row],[CANTIDAD RECIBIDA]]/PRODUCTOS[[#This Row],[CANT X MODULO]],"")</f>
        <v>515.19274376417229</v>
      </c>
      <c r="U91" s="3">
        <f>+SUMIFS(DETALLE_GD_1[VALOR TOTAL POR ITEM GD],DETALLE_GD_1[CODIGO],PRODUCTOS[[#This Row],[CODIGO]])</f>
        <v>14806727</v>
      </c>
      <c r="V91" s="3">
        <f>+IFERROR(PRODUCTOS[[#This Row],[PRECIO DE COMPRA]]/PRODUCTOS[[#This Row],[CANT. COMPRADA]],"")</f>
        <v>20854.545070422537</v>
      </c>
      <c r="W91" s="3">
        <f>+IFERROR(PRODUCTOS[[#This Row],[PRECIO COMPRA UNITARIO]]*PRODUCTOS[[#This Row],[PPTO FALTANTE]],"")</f>
        <v>5426352.6273239451</v>
      </c>
      <c r="X91" s="7">
        <f>+IFERROR(PRODUCTOS[[#This Row],[PROYECCION COMPRA]]/PRODUCTOS[[#This Row],[PPTO TOTAL]]-1,"")</f>
        <v>-0.73232164367652652</v>
      </c>
      <c r="Y91" s="3">
        <f>+IFERROR((PRODUCTOS[[#This Row],[CANT X MODULO]]*704)-PRODUCTOS[[#This Row],[CANT. COMPRADA]],"")</f>
        <v>260.20000000000005</v>
      </c>
      <c r="Z91" s="17">
        <f>+IFERROR(PRODUCTOS[[#This Row],[CANT. COMPRADA]]/PRODUCTOS[[#This Row],[PPTO FALTANTE]],"")</f>
        <v>2.7286702536510372</v>
      </c>
      <c r="AA91" s="3">
        <f>+IFERROR(PRODUCTOS[[#This Row],[PROYECCION COMPRA]]-(PRODUCTOS[[#This Row],[PPTO FALTANTE]]*PRODUCTOS[[#This Row],[PPTO]]),"")</f>
        <v>-10415.081233055331</v>
      </c>
      <c r="AB91" s="3">
        <f>+_xlfn.XLOOKUP(PRODUCTOS[[#This Row],[CODIGO]],DETALLE_GD_1[CODIGO],DETALLE_GD_1[VALOR PPTO],"",0)</f>
        <v>20894.5723</v>
      </c>
      <c r="AC91" s="3">
        <f>+AB91-PRODUCTOS[[#This Row],[PPTO_ACTUALIZADO]]</f>
        <v>1.5000001440057531E-5</v>
      </c>
    </row>
    <row r="92" spans="1:29" x14ac:dyDescent="0.25">
      <c r="A92">
        <v>2304053</v>
      </c>
      <c r="B92" t="s">
        <v>213</v>
      </c>
      <c r="C92">
        <v>0</v>
      </c>
      <c r="D92" t="s">
        <v>244</v>
      </c>
      <c r="E92" t="s">
        <v>399</v>
      </c>
      <c r="F92" s="2">
        <v>866.41015300000004</v>
      </c>
      <c r="G92" s="6" t="s">
        <v>31</v>
      </c>
      <c r="H92" s="2">
        <v>862.00000000000011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>
        <f>+_xlfn.XLOOKUP(PRODUCTOS[[#This Row],[CODIGO]],BD_MODULO[Artículo],BD_MODULO[CUB_ACTUALIZADA],"",0)</f>
        <v>2.1</v>
      </c>
      <c r="M92" s="2">
        <f>+IFERROR(PRODUCTOS[[#This Row],[PPTO]]*PRODUCTOS[[#This Row],[CANT X MODULO]],"")</f>
        <v>1819.4613213000002</v>
      </c>
      <c r="N92" s="2">
        <f>+IFERROR(PRODUCTOS[[#This Row],[PPTO X MODULO]]*32,"")</f>
        <v>58222.762281600008</v>
      </c>
      <c r="O92" s="2">
        <f>+IFERROR(PRODUCTOS[[#This Row],[PPTO X TORRE]]*22,"")</f>
        <v>1280900.7701952001</v>
      </c>
      <c r="P92" s="3">
        <f>+IFERROR(PRODUCTOS[[#This Row],[CANT X MODULO]]*702,"")</f>
        <v>1474.2</v>
      </c>
      <c r="Q92" s="3">
        <f>+SUMIFS(DETALLE_GD_1[CANTIDAD SOLICITADA],DETALLE_GD_1[CODIGO],PRODUCTOS[[#This Row],[CODIGO]])</f>
        <v>887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887</v>
      </c>
      <c r="T92" s="3">
        <f>+IFERROR(PRODUCTOS[[#This Row],[CANTIDAD RECIBIDA]]/PRODUCTOS[[#This Row],[CANT X MODULO]],"")</f>
        <v>422.38095238095235</v>
      </c>
      <c r="U92" s="3">
        <f>+SUMIFS(DETALLE_GD_1[VALOR TOTAL POR ITEM GD],DETALLE_GD_1[CODIGO],PRODUCTOS[[#This Row],[CODIGO]])</f>
        <v>894876</v>
      </c>
      <c r="V92" s="3">
        <f>+IFERROR(PRODUCTOS[[#This Row],[PRECIO DE COMPRA]]/PRODUCTOS[[#This Row],[CANT. COMPRADA]],"")</f>
        <v>1008.8793686583991</v>
      </c>
      <c r="W92" s="3">
        <f>+IFERROR(PRODUCTOS[[#This Row],[PRECIO COMPRA UNITARIO]]*PRODUCTOS[[#This Row],[PPTO FALTANTE]],"")</f>
        <v>596651.25862457731</v>
      </c>
      <c r="X92" s="7">
        <f>+IFERROR(PRODUCTOS[[#This Row],[PROYECCION COMPRA]]/PRODUCTOS[[#This Row],[PPTO TOTAL]]-1,"")</f>
        <v>-0.53419400432271424</v>
      </c>
      <c r="Y92" s="3">
        <f>+IFERROR((PRODUCTOS[[#This Row],[CANT X MODULO]]*704)-PRODUCTOS[[#This Row],[CANT. COMPRADA]],"")</f>
        <v>591.40000000000009</v>
      </c>
      <c r="Z92" s="17">
        <f>+IFERROR(PRODUCTOS[[#This Row],[CANT. COMPRADA]]/PRODUCTOS[[#This Row],[PPTO FALTANTE]],"")</f>
        <v>1.4998309097057827</v>
      </c>
      <c r="AA92" s="3">
        <f>+IFERROR(PRODUCTOS[[#This Row],[PROYECCION COMPRA]]-(PRODUCTOS[[#This Row],[PPTO FALTANTE]]*PRODUCTOS[[#This Row],[PPTO]]),"")</f>
        <v>84256.294140377198</v>
      </c>
      <c r="AB92" s="3">
        <f>+_xlfn.XLOOKUP(PRODUCTOS[[#This Row],[CODIGO]],DETALLE_GD_1[CODIGO],DETALLE_GD_1[VALOR PPTO],"",0)</f>
        <v>862</v>
      </c>
      <c r="AC92" s="3">
        <f>+AB92-PRODUCTOS[[#This Row],[PPTO_ACTUALIZADO]]</f>
        <v>0</v>
      </c>
    </row>
    <row r="93" spans="1:29" x14ac:dyDescent="0.25">
      <c r="A93">
        <v>1901505</v>
      </c>
      <c r="B93" t="s">
        <v>27</v>
      </c>
      <c r="C93" t="s">
        <v>562</v>
      </c>
      <c r="D93" t="s">
        <v>355</v>
      </c>
      <c r="E93" t="s">
        <v>355</v>
      </c>
      <c r="F93" s="2">
        <v>1895</v>
      </c>
      <c r="G93" s="6" t="s">
        <v>355</v>
      </c>
      <c r="H93" s="2">
        <v>1895</v>
      </c>
      <c r="I93" t="b">
        <v>1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>
        <f>+_xlfn.XLOOKUP(PRODUCTOS[[#This Row],[CODIGO]],BD_MODULO[Artículo],BD_MODULO[CUB_ACTUALIZADA],"",0)</f>
        <v>1.2368067885117493</v>
      </c>
      <c r="M93" s="2">
        <f>+IFERROR(PRODUCTOS[[#This Row],[PPTO]]*PRODUCTOS[[#This Row],[CANT X MODULO]],"")</f>
        <v>2343.7488642297649</v>
      </c>
      <c r="N93" s="2">
        <f>+IFERROR(PRODUCTOS[[#This Row],[PPTO X MODULO]]*32,"")</f>
        <v>74999.963655352476</v>
      </c>
      <c r="O93" s="2">
        <f>+IFERROR(PRODUCTOS[[#This Row],[PPTO X TORRE]]*22,"")</f>
        <v>1649999.2004177545</v>
      </c>
      <c r="P93" s="3">
        <f>+IFERROR(PRODUCTOS[[#This Row],[CANT X MODULO]]*702,"")</f>
        <v>868.23836553524802</v>
      </c>
      <c r="Q93" s="3">
        <f>+SUMIFS(DETALLE_GD_1[CANTIDAD SOLICITADA],DETALLE_GD_1[CODIGO],PRODUCTOS[[#This Row],[CODIGO]])</f>
        <v>512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512</v>
      </c>
      <c r="T93" s="3">
        <f>+IFERROR(PRODUCTOS[[#This Row],[CANTIDAD RECIBIDA]]/PRODUCTOS[[#This Row],[CANT X MODULO]],"")</f>
        <v>413.96926727422806</v>
      </c>
      <c r="U93" s="3">
        <f>+SUMIFS(DETALLE_GD_1[VALOR TOTAL POR ITEM GD],DETALLE_GD_1[CODIGO],PRODUCTOS[[#This Row],[CODIGO]])</f>
        <v>970240</v>
      </c>
      <c r="V93" s="3">
        <f>+IFERROR(PRODUCTOS[[#This Row],[PRECIO DE COMPRA]]/PRODUCTOS[[#This Row],[CANT. COMPRADA]],"")</f>
        <v>1895</v>
      </c>
      <c r="W93" s="3">
        <f>+IFERROR(PRODUCTOS[[#This Row],[PRECIO COMPRA UNITARIO]]*PRODUCTOS[[#This Row],[PPTO FALTANTE]],"")</f>
        <v>679759.20041775447</v>
      </c>
      <c r="X93" s="7">
        <f>+IFERROR(PRODUCTOS[[#This Row],[PROYECCION COMPRA]]/PRODUCTOS[[#This Row],[PPTO TOTAL]]-1,"")</f>
        <v>-0.5880245273781648</v>
      </c>
      <c r="Y93" s="3">
        <f>+IFERROR((PRODUCTOS[[#This Row],[CANT X MODULO]]*704)-PRODUCTOS[[#This Row],[CANT. COMPRADA]],"")</f>
        <v>358.71197911227148</v>
      </c>
      <c r="Z93" s="17">
        <f>+IFERROR(PRODUCTOS[[#This Row],[CANT. COMPRADA]]/PRODUCTOS[[#This Row],[PPTO FALTANTE]],"")</f>
        <v>1.4273289709116508</v>
      </c>
      <c r="AA93" s="3">
        <f>+IFERROR(PRODUCTOS[[#This Row],[PROYECCION COMPRA]]-(PRODUCTOS[[#This Row],[PPTO FALTANTE]]*PRODUCTOS[[#This Row],[PPTO]]),"")</f>
        <v>0</v>
      </c>
      <c r="AB93" s="3">
        <f>+_xlfn.XLOOKUP(PRODUCTOS[[#This Row],[CODIGO]],DETALLE_GD_1[CODIGO],DETALLE_GD_1[VALOR PPTO],"",0)</f>
        <v>1895</v>
      </c>
      <c r="AC93" s="3">
        <f>+AB93-PRODUCTOS[[#This Row],[PPTO_ACTUALIZADO]]</f>
        <v>0</v>
      </c>
    </row>
    <row r="94" spans="1:29" x14ac:dyDescent="0.25">
      <c r="A94">
        <v>408034</v>
      </c>
      <c r="B94" t="s">
        <v>250</v>
      </c>
      <c r="C94">
        <v>0</v>
      </c>
      <c r="D94">
        <v>0</v>
      </c>
      <c r="E94">
        <v>0</v>
      </c>
      <c r="F94" s="2">
        <v>1866.9503549999999</v>
      </c>
      <c r="G94" s="6" t="s">
        <v>36</v>
      </c>
      <c r="H94" s="2">
        <v>1866.9503550000009</v>
      </c>
      <c r="I94" t="b">
        <v>1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7.1400000000000005E-2</v>
      </c>
      <c r="M94" s="2">
        <f>+IFERROR(PRODUCTOS[[#This Row],[PPTO]]*PRODUCTOS[[#This Row],[CANT X MODULO]],"")</f>
        <v>133.30025534700002</v>
      </c>
      <c r="N94" s="2">
        <f>+IFERROR(PRODUCTOS[[#This Row],[PPTO X MODULO]]*32,"")</f>
        <v>4265.6081711040006</v>
      </c>
      <c r="O94" s="2">
        <f>+IFERROR(PRODUCTOS[[#This Row],[PPTO X TORRE]]*22,"")</f>
        <v>93843.379764288009</v>
      </c>
      <c r="P94" s="3">
        <f>+IFERROR(PRODUCTOS[[#This Row],[CANT X MODULO]]*702,"")</f>
        <v>50.122800000000005</v>
      </c>
      <c r="Q94" s="3">
        <f>+SUMIFS(DETALLE_GD_1[CANTIDAD SOLICITADA],DETALLE_GD_1[CODIGO],PRODUCTOS[[#This Row],[CODIGO]])</f>
        <v>26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26</v>
      </c>
      <c r="T94" s="3">
        <f>+IFERROR(PRODUCTOS[[#This Row],[CANTIDAD RECIBIDA]]/PRODUCTOS[[#This Row],[CANT X MODULO]],"")</f>
        <v>364.14565826330528</v>
      </c>
      <c r="U94" s="3">
        <f>+SUMIFS(DETALLE_GD_1[VALOR TOTAL POR ITEM GD],DETALLE_GD_1[CODIGO],PRODUCTOS[[#This Row],[CODIGO]])</f>
        <v>48542</v>
      </c>
      <c r="V94" s="3">
        <f>+IFERROR(PRODUCTOS[[#This Row],[PRECIO DE COMPRA]]/PRODUCTOS[[#This Row],[CANT. COMPRADA]],"")</f>
        <v>1867</v>
      </c>
      <c r="W94" s="3">
        <f>+IFERROR(PRODUCTOS[[#This Row],[PRECIO COMPRA UNITARIO]]*PRODUCTOS[[#This Row],[PPTO FALTANTE]],"")</f>
        <v>45303.875200000009</v>
      </c>
      <c r="X94" s="7">
        <f>+IFERROR(PRODUCTOS[[#This Row],[PROYECCION COMPRA]]/PRODUCTOS[[#This Row],[PPTO TOTAL]]-1,"")</f>
        <v>-0.51723951850634065</v>
      </c>
      <c r="Y94" s="3">
        <f>+IFERROR((PRODUCTOS[[#This Row],[CANT X MODULO]]*704)-PRODUCTOS[[#This Row],[CANT. COMPRADA]],"")</f>
        <v>24.265600000000006</v>
      </c>
      <c r="Z94" s="17">
        <f>+IFERROR(PRODUCTOS[[#This Row],[CANT. COMPRADA]]/PRODUCTOS[[#This Row],[PPTO FALTANTE]],"")</f>
        <v>1.071475669260187</v>
      </c>
      <c r="AA94" s="3">
        <f>+IFERROR(PRODUCTOS[[#This Row],[PROYECCION COMPRA]]-(PRODUCTOS[[#This Row],[PPTO FALTANTE]]*PRODUCTOS[[#This Row],[PPTO]]),"")</f>
        <v>1.2046657120008604</v>
      </c>
      <c r="AB94" s="3">
        <f>+_xlfn.XLOOKUP(PRODUCTOS[[#This Row],[CODIGO]],DETALLE_GD_1[CODIGO],DETALLE_GD_1[VALOR PPTO],"",0)</f>
        <v>1866.9503999999999</v>
      </c>
      <c r="AC94" s="3">
        <f>+AB94-PRODUCTOS[[#This Row],[PPTO_ACTUALIZADO]]</f>
        <v>4.4999999090578058E-5</v>
      </c>
    </row>
    <row r="95" spans="1:29" x14ac:dyDescent="0.25">
      <c r="A95">
        <v>1801230</v>
      </c>
      <c r="B95" t="s">
        <v>51</v>
      </c>
      <c r="C95" t="s">
        <v>571</v>
      </c>
      <c r="D95" t="s">
        <v>244</v>
      </c>
      <c r="E95" t="s">
        <v>406</v>
      </c>
      <c r="F95" s="2">
        <v>9309.8461540000008</v>
      </c>
      <c r="G95" s="6" t="s">
        <v>31</v>
      </c>
      <c r="H95" s="2">
        <v>9309.8461540000008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0.52500000000000002</v>
      </c>
      <c r="M95" s="2">
        <f>+IFERROR(PRODUCTOS[[#This Row],[PPTO]]*PRODUCTOS[[#This Row],[CANT X MODULO]],"")</f>
        <v>4887.6692308500005</v>
      </c>
      <c r="N95" s="2">
        <f>+IFERROR(PRODUCTOS[[#This Row],[PPTO X MODULO]]*32,"")</f>
        <v>156405.41538720002</v>
      </c>
      <c r="O95" s="2">
        <f>+IFERROR(PRODUCTOS[[#This Row],[PPTO X TORRE]]*22,"")</f>
        <v>3440919.1385184005</v>
      </c>
      <c r="P95" s="3">
        <f>+IFERROR(PRODUCTOS[[#This Row],[CANT X MODULO]]*702,"")</f>
        <v>368.55</v>
      </c>
      <c r="Q95" s="3">
        <f>+SUMIFS(DETALLE_GD_1[CANTIDAD SOLICITADA],DETALLE_GD_1[CODIGO],PRODUCTOS[[#This Row],[CODIGO]])</f>
        <v>179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179</v>
      </c>
      <c r="T95" s="3">
        <f>+IFERROR(PRODUCTOS[[#This Row],[CANTIDAD RECIBIDA]]/PRODUCTOS[[#This Row],[CANT X MODULO]],"")</f>
        <v>340.95238095238096</v>
      </c>
      <c r="U95" s="3">
        <f>+SUMIFS(DETALLE_GD_1[VALOR TOTAL POR ITEM GD],DETALLE_GD_1[CODIGO],PRODUCTOS[[#This Row],[CODIGO]])</f>
        <v>664439</v>
      </c>
      <c r="V95" s="3">
        <f>+IFERROR(PRODUCTOS[[#This Row],[PRECIO DE COMPRA]]/PRODUCTOS[[#This Row],[CANT. COMPRADA]],"")</f>
        <v>3711.9497206703909</v>
      </c>
      <c r="W95" s="3">
        <f>+IFERROR(PRODUCTOS[[#This Row],[PRECIO COMPRA UNITARIO]]*PRODUCTOS[[#This Row],[PPTO FALTANTE]],"")</f>
        <v>707497.6167597766</v>
      </c>
      <c r="X95" s="7">
        <f>+IFERROR(PRODUCTOS[[#This Row],[PROYECCION COMPRA]]/PRODUCTOS[[#This Row],[PPTO TOTAL]]-1,"")</f>
        <v>-0.79438702617568258</v>
      </c>
      <c r="Y95" s="3">
        <f>+IFERROR((PRODUCTOS[[#This Row],[CANT X MODULO]]*704)-PRODUCTOS[[#This Row],[CANT. COMPRADA]],"")</f>
        <v>190.60000000000002</v>
      </c>
      <c r="Z95" s="17">
        <f>+IFERROR(PRODUCTOS[[#This Row],[CANT. COMPRADA]]/PRODUCTOS[[#This Row],[PPTO FALTANTE]],"")</f>
        <v>0.93913955928646364</v>
      </c>
      <c r="AA95" s="3">
        <f>+IFERROR(PRODUCTOS[[#This Row],[PROYECCION COMPRA]]-(PRODUCTOS[[#This Row],[PPTO FALTANTE]]*PRODUCTOS[[#This Row],[PPTO]]),"")</f>
        <v>-1066959.0601926236</v>
      </c>
      <c r="AB95" s="3">
        <f>+_xlfn.XLOOKUP(PRODUCTOS[[#This Row],[CODIGO]],DETALLE_GD_1[CODIGO],DETALLE_GD_1[VALOR PPTO],"",0)</f>
        <v>9309.8462</v>
      </c>
      <c r="AC95" s="3">
        <f>+AB95-PRODUCTOS[[#This Row],[PPTO_ACTUALIZADO]]</f>
        <v>4.5999999201740138E-5</v>
      </c>
    </row>
    <row r="96" spans="1:29" x14ac:dyDescent="0.25">
      <c r="A96">
        <v>1103076</v>
      </c>
      <c r="B96" t="s">
        <v>311</v>
      </c>
      <c r="C96" t="s">
        <v>663</v>
      </c>
      <c r="D96" t="s">
        <v>240</v>
      </c>
      <c r="E96">
        <v>0</v>
      </c>
      <c r="F96" s="2">
        <v>3191</v>
      </c>
      <c r="G96" s="6" t="s">
        <v>31</v>
      </c>
      <c r="H96" s="2">
        <v>3191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1.05</v>
      </c>
      <c r="M96" s="2">
        <f>+IFERROR(PRODUCTOS[[#This Row],[PPTO]]*PRODUCTOS[[#This Row],[CANT X MODULO]],"")</f>
        <v>3350.55</v>
      </c>
      <c r="N96" s="2">
        <f>+IFERROR(PRODUCTOS[[#This Row],[PPTO X MODULO]]*32,"")</f>
        <v>107217.60000000001</v>
      </c>
      <c r="O96" s="2">
        <f>+IFERROR(PRODUCTOS[[#This Row],[PPTO X TORRE]]*22,"")</f>
        <v>2358787.2000000002</v>
      </c>
      <c r="P96" s="3">
        <f>+IFERROR(PRODUCTOS[[#This Row],[CANT X MODULO]]*702,"")</f>
        <v>737.1</v>
      </c>
      <c r="Q96" s="3">
        <f>+SUMIFS(DETALLE_GD_1[CANTIDAD SOLICITADA],DETALLE_GD_1[CODIGO],PRODUCTOS[[#This Row],[CODIGO]])</f>
        <v>358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358</v>
      </c>
      <c r="T96" s="3">
        <f>+IFERROR(PRODUCTOS[[#This Row],[CANTIDAD RECIBIDA]]/PRODUCTOS[[#This Row],[CANT X MODULO]],"")</f>
        <v>340.95238095238096</v>
      </c>
      <c r="U96" s="3">
        <f>+SUMIFS(DETALLE_GD_1[VALOR TOTAL POR ITEM GD],DETALLE_GD_1[CODIGO],PRODUCTOS[[#This Row],[CODIGO]])</f>
        <v>980210</v>
      </c>
      <c r="V96" s="3">
        <f>+IFERROR(PRODUCTOS[[#This Row],[PRECIO DE COMPRA]]/PRODUCTOS[[#This Row],[CANT. COMPRADA]],"")</f>
        <v>2738.0167597765362</v>
      </c>
      <c r="W96" s="3">
        <f>+IFERROR(PRODUCTOS[[#This Row],[PRECIO COMPRA UNITARIO]]*PRODUCTOS[[#This Row],[PPTO FALTANTE]],"")</f>
        <v>1043731.9888268157</v>
      </c>
      <c r="X96" s="7">
        <f>+IFERROR(PRODUCTOS[[#This Row],[PROYECCION COMPRA]]/PRODUCTOS[[#This Row],[PPTO TOTAL]]-1,"")</f>
        <v>-0.55751328952996881</v>
      </c>
      <c r="Y96" s="3">
        <f>+IFERROR((PRODUCTOS[[#This Row],[CANT X MODULO]]*704)-PRODUCTOS[[#This Row],[CANT. COMPRADA]],"")</f>
        <v>381.20000000000005</v>
      </c>
      <c r="Z96" s="17">
        <f>+IFERROR(PRODUCTOS[[#This Row],[CANT. COMPRADA]]/PRODUCTOS[[#This Row],[PPTO FALTANTE]],"")</f>
        <v>0.93913955928646364</v>
      </c>
      <c r="AA96" s="3">
        <f>+IFERROR(PRODUCTOS[[#This Row],[PROYECCION COMPRA]]-(PRODUCTOS[[#This Row],[PPTO FALTANTE]]*PRODUCTOS[[#This Row],[PPTO]]),"")</f>
        <v>-172677.21117318445</v>
      </c>
      <c r="AB96" s="3">
        <f>+_xlfn.XLOOKUP(PRODUCTOS[[#This Row],[CODIGO]],DETALLE_GD_1[CODIGO],DETALLE_GD_1[VALOR PPTO],"",0)</f>
        <v>3191</v>
      </c>
      <c r="AC96" s="3">
        <f>+AB96-PRODUCTOS[[#This Row],[PPTO_ACTUALIZADO]]</f>
        <v>0</v>
      </c>
    </row>
    <row r="97" spans="1:29" x14ac:dyDescent="0.25">
      <c r="A97">
        <v>704079</v>
      </c>
      <c r="B97" t="s">
        <v>209</v>
      </c>
      <c r="C97">
        <v>0</v>
      </c>
      <c r="D97" t="s">
        <v>355</v>
      </c>
      <c r="E97" t="s">
        <v>355</v>
      </c>
      <c r="F97" s="2">
        <v>755.704882</v>
      </c>
      <c r="G97" s="6" t="s">
        <v>355</v>
      </c>
      <c r="H97" s="2">
        <v>0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0.44843749999999999</v>
      </c>
      <c r="M97" s="2">
        <f>+IFERROR(PRODUCTOS[[#This Row],[PPTO]]*PRODUCTOS[[#This Row],[CANT X MODULO]],"")</f>
        <v>338.88640802187501</v>
      </c>
      <c r="N97" s="2">
        <f>+IFERROR(PRODUCTOS[[#This Row],[PPTO X MODULO]]*32,"")</f>
        <v>10844.3650567</v>
      </c>
      <c r="O97" s="2">
        <f>+IFERROR(PRODUCTOS[[#This Row],[PPTO X TORRE]]*22,"")</f>
        <v>238576.03124740001</v>
      </c>
      <c r="P97" s="3">
        <f>+IFERROR(PRODUCTOS[[#This Row],[CANT X MODULO]]*702,"")</f>
        <v>314.80312499999997</v>
      </c>
      <c r="Q97" s="3">
        <f>+SUMIFS(DETALLE_GD_1[CANTIDAD SOLICITADA],DETALLE_GD_1[CODIGO],PRODUCTOS[[#This Row],[CODIGO]])</f>
        <v>141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141</v>
      </c>
      <c r="T97" s="3">
        <f>+IFERROR(PRODUCTOS[[#This Row],[CANTIDAD RECIBIDA]]/PRODUCTOS[[#This Row],[CANT X MODULO]],"")</f>
        <v>314.42508710801394</v>
      </c>
      <c r="U97" s="3">
        <f>+SUMIFS(DETALLE_GD_1[VALOR TOTAL POR ITEM GD],DETALLE_GD_1[CODIGO],PRODUCTOS[[#This Row],[CODIGO]])</f>
        <v>101122</v>
      </c>
      <c r="V97" s="3">
        <f>+IFERROR(PRODUCTOS[[#This Row],[PRECIO DE COMPRA]]/PRODUCTOS[[#This Row],[CANT. COMPRADA]],"")</f>
        <v>717.17730496453896</v>
      </c>
      <c r="W97" s="3">
        <f>+IFERROR(PRODUCTOS[[#This Row],[PRECIO COMPRA UNITARIO]]*PRODUCTOS[[#This Row],[PPTO FALTANTE]],"")</f>
        <v>125290.87517730494</v>
      </c>
      <c r="X97" s="7">
        <f>+IFERROR(PRODUCTOS[[#This Row],[PROYECCION COMPRA]]/PRODUCTOS[[#This Row],[PPTO TOTAL]]-1,"")</f>
        <v>-0.47483879867470824</v>
      </c>
      <c r="Y97" s="3">
        <f>+IFERROR((PRODUCTOS[[#This Row],[CANT X MODULO]]*704)-PRODUCTOS[[#This Row],[CANT. COMPRADA]],"")</f>
        <v>174.7</v>
      </c>
      <c r="Z97" s="17">
        <f>+IFERROR(PRODUCTOS[[#This Row],[CANT. COMPRADA]]/PRODUCTOS[[#This Row],[PPTO FALTANTE]],"")</f>
        <v>0.80709788208357192</v>
      </c>
      <c r="AA97" s="3">
        <f>+IFERROR(PRODUCTOS[[#This Row],[PROYECCION COMPRA]]-(PRODUCTOS[[#This Row],[PPTO FALTANTE]]*PRODUCTOS[[#This Row],[PPTO]]),"")</f>
        <v>-6730.767708095038</v>
      </c>
      <c r="AB97" s="3">
        <f>+_xlfn.XLOOKUP(PRODUCTOS[[#This Row],[CODIGO]],DETALLE_GD_1[CODIGO],DETALLE_GD_1[VALOR PPTO],"",0)</f>
        <v>755.70489999999995</v>
      </c>
      <c r="AC97" s="3">
        <f>+AB97-PRODUCTOS[[#This Row],[PPTO_ACTUALIZADO]]</f>
        <v>755.70489999999995</v>
      </c>
    </row>
    <row r="98" spans="1:29" x14ac:dyDescent="0.25">
      <c r="A98">
        <v>1103074</v>
      </c>
      <c r="B98" t="s">
        <v>310</v>
      </c>
      <c r="C98" t="s">
        <v>662</v>
      </c>
      <c r="D98" t="s">
        <v>240</v>
      </c>
      <c r="E98">
        <v>0</v>
      </c>
      <c r="F98" s="2">
        <v>2427</v>
      </c>
      <c r="G98" s="6" t="s">
        <v>31</v>
      </c>
      <c r="H98" s="2">
        <v>2427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1.05</v>
      </c>
      <c r="M98" s="2">
        <f>+IFERROR(PRODUCTOS[[#This Row],[PPTO]]*PRODUCTOS[[#This Row],[CANT X MODULO]],"")</f>
        <v>2548.35</v>
      </c>
      <c r="N98" s="2">
        <f>+IFERROR(PRODUCTOS[[#This Row],[PPTO X MODULO]]*32,"")</f>
        <v>81547.199999999997</v>
      </c>
      <c r="O98" s="2">
        <f>+IFERROR(PRODUCTOS[[#This Row],[PPTO X TORRE]]*22,"")</f>
        <v>1794038.4</v>
      </c>
      <c r="P98" s="3">
        <f>+IFERROR(PRODUCTOS[[#This Row],[CANT X MODULO]]*702,"")</f>
        <v>737.1</v>
      </c>
      <c r="Q98" s="3">
        <f>+SUMIFS(DETALLE_GD_1[CANTIDAD SOLICITADA],DETALLE_GD_1[CODIGO],PRODUCTOS[[#This Row],[CODIGO]])</f>
        <v>330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330</v>
      </c>
      <c r="T98" s="3">
        <f>+IFERROR(PRODUCTOS[[#This Row],[CANTIDAD RECIBIDA]]/PRODUCTOS[[#This Row],[CANT X MODULO]],"")</f>
        <v>314.28571428571428</v>
      </c>
      <c r="U98" s="3">
        <f>+SUMIFS(DETALLE_GD_1[VALOR TOTAL POR ITEM GD],DETALLE_GD_1[CODIGO],PRODUCTOS[[#This Row],[CODIGO]])</f>
        <v>680304</v>
      </c>
      <c r="V98" s="3">
        <f>+IFERROR(PRODUCTOS[[#This Row],[PRECIO DE COMPRA]]/PRODUCTOS[[#This Row],[CANT. COMPRADA]],"")</f>
        <v>2061.5272727272727</v>
      </c>
      <c r="W98" s="3">
        <f>+IFERROR(PRODUCTOS[[#This Row],[PRECIO COMPRA UNITARIO]]*PRODUCTOS[[#This Row],[PPTO FALTANTE]],"")</f>
        <v>843576.96000000008</v>
      </c>
      <c r="X98" s="7">
        <f>+IFERROR(PRODUCTOS[[#This Row],[PROYECCION COMPRA]]/PRODUCTOS[[#This Row],[PPTO TOTAL]]-1,"")</f>
        <v>-0.52978879381846</v>
      </c>
      <c r="Y98" s="3">
        <f>+IFERROR((PRODUCTOS[[#This Row],[CANT X MODULO]]*704)-PRODUCTOS[[#This Row],[CANT. COMPRADA]],"")</f>
        <v>409.20000000000005</v>
      </c>
      <c r="Z98" s="17">
        <f>+IFERROR(PRODUCTOS[[#This Row],[CANT. COMPRADA]]/PRODUCTOS[[#This Row],[PPTO FALTANTE]],"")</f>
        <v>0.80645161290322576</v>
      </c>
      <c r="AA98" s="3">
        <f>+IFERROR(PRODUCTOS[[#This Row],[PROYECCION COMPRA]]-(PRODUCTOS[[#This Row],[PPTO FALTANTE]]*PRODUCTOS[[#This Row],[PPTO]]),"")</f>
        <v>-149551.44000000006</v>
      </c>
      <c r="AB98" s="3">
        <f>+_xlfn.XLOOKUP(PRODUCTOS[[#This Row],[CODIGO]],DETALLE_GD_1[CODIGO],DETALLE_GD_1[VALOR PPTO],"",0)</f>
        <v>2427</v>
      </c>
      <c r="AC98" s="3">
        <f>+AB98-PRODUCTOS[[#This Row],[PPTO_ACTUALIZADO]]</f>
        <v>0</v>
      </c>
    </row>
    <row r="99" spans="1:29" x14ac:dyDescent="0.25">
      <c r="A99">
        <v>1405040</v>
      </c>
      <c r="B99" t="s">
        <v>303</v>
      </c>
      <c r="C99" t="s">
        <v>638</v>
      </c>
      <c r="D99" t="s">
        <v>244</v>
      </c>
      <c r="E99" t="s">
        <v>406</v>
      </c>
      <c r="F99" s="2">
        <v>7568</v>
      </c>
      <c r="G99" s="6" t="s">
        <v>31</v>
      </c>
      <c r="H99" s="2">
        <v>7568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0.52500000000000002</v>
      </c>
      <c r="M99" s="2">
        <f>+IFERROR(PRODUCTOS[[#This Row],[PPTO]]*PRODUCTOS[[#This Row],[CANT X MODULO]],"")</f>
        <v>3973.2000000000003</v>
      </c>
      <c r="N99" s="2">
        <f>+IFERROR(PRODUCTOS[[#This Row],[PPTO X MODULO]]*32,"")</f>
        <v>127142.40000000001</v>
      </c>
      <c r="O99" s="2">
        <f>+IFERROR(PRODUCTOS[[#This Row],[PPTO X TORRE]]*22,"")</f>
        <v>2797132.8000000003</v>
      </c>
      <c r="P99" s="3">
        <f>+IFERROR(PRODUCTOS[[#This Row],[CANT X MODULO]]*702,"")</f>
        <v>368.55</v>
      </c>
      <c r="Q99" s="3">
        <f>+SUMIFS(DETALLE_GD_1[CANTIDAD SOLICITADA],DETALLE_GD_1[CODIGO],PRODUCTOS[[#This Row],[CODIGO]])</f>
        <v>140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140</v>
      </c>
      <c r="T99" s="3">
        <f>+IFERROR(PRODUCTOS[[#This Row],[CANTIDAD RECIBIDA]]/PRODUCTOS[[#This Row],[CANT X MODULO]],"")</f>
        <v>266.66666666666663</v>
      </c>
      <c r="U99" s="3">
        <f>+SUMIFS(DETALLE_GD_1[VALOR TOTAL POR ITEM GD],DETALLE_GD_1[CODIGO],PRODUCTOS[[#This Row],[CODIGO]])</f>
        <v>1060341</v>
      </c>
      <c r="V99" s="3">
        <f>+IFERROR(PRODUCTOS[[#This Row],[PRECIO DE COMPRA]]/PRODUCTOS[[#This Row],[CANT. COMPRADA]],"")</f>
        <v>7573.8642857142859</v>
      </c>
      <c r="W99" s="3">
        <f>+IFERROR(PRODUCTOS[[#This Row],[PRECIO COMPRA UNITARIO]]*PRODUCTOS[[#This Row],[PPTO FALTANTE]],"")</f>
        <v>1738959.2400000002</v>
      </c>
      <c r="X99" s="7">
        <f>+IFERROR(PRODUCTOS[[#This Row],[PROYECCION COMPRA]]/PRODUCTOS[[#This Row],[PPTO TOTAL]]-1,"")</f>
        <v>-0.37830651444221741</v>
      </c>
      <c r="Y99" s="3">
        <f>+IFERROR((PRODUCTOS[[#This Row],[CANT X MODULO]]*704)-PRODUCTOS[[#This Row],[CANT. COMPRADA]],"")</f>
        <v>229.60000000000002</v>
      </c>
      <c r="Z99" s="17">
        <f>+IFERROR(PRODUCTOS[[#This Row],[CANT. COMPRADA]]/PRODUCTOS[[#This Row],[PPTO FALTANTE]],"")</f>
        <v>0.6097560975609756</v>
      </c>
      <c r="AA99" s="3">
        <f>+IFERROR(PRODUCTOS[[#This Row],[PROYECCION COMPRA]]-(PRODUCTOS[[#This Row],[PPTO FALTANTE]]*PRODUCTOS[[#This Row],[PPTO]]),"")</f>
        <v>1346.4399999999441</v>
      </c>
      <c r="AB99" s="3">
        <f>+_xlfn.XLOOKUP(PRODUCTOS[[#This Row],[CODIGO]],DETALLE_GD_1[CODIGO],DETALLE_GD_1[VALOR PPTO],"",0)</f>
        <v>7568</v>
      </c>
      <c r="AC99" s="3">
        <f>+AB99-PRODUCTOS[[#This Row],[PPTO_ACTUALIZADO]]</f>
        <v>0</v>
      </c>
    </row>
    <row r="100" spans="1:29" x14ac:dyDescent="0.25">
      <c r="A100">
        <v>701040</v>
      </c>
      <c r="B100" t="s">
        <v>19</v>
      </c>
      <c r="C100" t="s">
        <v>560</v>
      </c>
      <c r="D100" t="s">
        <v>240</v>
      </c>
      <c r="E100" t="s">
        <v>402</v>
      </c>
      <c r="F100" s="2">
        <v>7835.7259539999995</v>
      </c>
      <c r="G100" s="6" t="s">
        <v>18</v>
      </c>
      <c r="H100" s="2">
        <v>7835.7259539999986</v>
      </c>
      <c r="I100" t="b">
        <v>1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4.2840000000000007</v>
      </c>
      <c r="M100" s="2">
        <f>+IFERROR(PRODUCTOS[[#This Row],[PPTO]]*PRODUCTOS[[#This Row],[CANT X MODULO]],"")</f>
        <v>33568.249986936004</v>
      </c>
      <c r="N100" s="2">
        <f>+IFERROR(PRODUCTOS[[#This Row],[PPTO X MODULO]]*32,"")</f>
        <v>1074183.9995819521</v>
      </c>
      <c r="O100" s="2">
        <f>+IFERROR(PRODUCTOS[[#This Row],[PPTO X TORRE]]*22,"")</f>
        <v>23632047.990802947</v>
      </c>
      <c r="P100" s="3">
        <f>+IFERROR(PRODUCTOS[[#This Row],[CANT X MODULO]]*702,"")</f>
        <v>3007.3680000000004</v>
      </c>
      <c r="Q100" s="3">
        <f>+SUMIFS(DETALLE_GD_1[CANTIDAD SOLICITADA],DETALLE_GD_1[CODIGO],PRODUCTOS[[#This Row],[CODIGO]])</f>
        <v>1135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1135</v>
      </c>
      <c r="T100" s="3">
        <f>+IFERROR(PRODUCTOS[[#This Row],[CANTIDAD RECIBIDA]]/PRODUCTOS[[#This Row],[CANT X MODULO]],"")</f>
        <v>264.93930905695606</v>
      </c>
      <c r="U100" s="3">
        <f>+SUMIFS(DETALLE_GD_1[VALOR TOTAL POR ITEM GD],DETALLE_GD_1[CODIGO],PRODUCTOS[[#This Row],[CODIGO]])</f>
        <v>8657669</v>
      </c>
      <c r="V100" s="3">
        <f>+IFERROR(PRODUCTOS[[#This Row],[PRECIO DE COMPRA]]/PRODUCTOS[[#This Row],[CANT. COMPRADA]],"")</f>
        <v>7627.9022026431721</v>
      </c>
      <c r="W100" s="3">
        <f>+IFERROR(PRODUCTOS[[#This Row],[PRECIO COMPRA UNITARIO]]*PRODUCTOS[[#This Row],[PPTO FALTANTE]],"")</f>
        <v>14347595.857430842</v>
      </c>
      <c r="X100" s="7">
        <f>+IFERROR(PRODUCTOS[[#This Row],[PROYECCION COMPRA]]/PRODUCTOS[[#This Row],[PPTO TOTAL]]-1,"")</f>
        <v>-0.39287547727498695</v>
      </c>
      <c r="Y100" s="3">
        <f>+IFERROR((PRODUCTOS[[#This Row],[CANT X MODULO]]*704)-PRODUCTOS[[#This Row],[CANT. COMPRADA]],"")</f>
        <v>1880.9360000000006</v>
      </c>
      <c r="Z100" s="17">
        <f>+IFERROR(PRODUCTOS[[#This Row],[CANT. COMPRADA]]/PRODUCTOS[[#This Row],[PPTO FALTANTE]],"")</f>
        <v>0.6034229766456698</v>
      </c>
      <c r="AA100" s="3">
        <f>+IFERROR(PRODUCTOS[[#This Row],[PROYECCION COMPRA]]-(PRODUCTOS[[#This Row],[PPTO FALTANTE]]*PRODUCTOS[[#This Row],[PPTO]]),"")</f>
        <v>-390903.17558210529</v>
      </c>
      <c r="AB100" s="3">
        <f>+_xlfn.XLOOKUP(PRODUCTOS[[#This Row],[CODIGO]],DETALLE_GD_1[CODIGO],DETALLE_GD_1[VALOR PPTO],"",0)</f>
        <v>7835.7259999999997</v>
      </c>
      <c r="AC100" s="3">
        <f>+AB100-PRODUCTOS[[#This Row],[PPTO_ACTUALIZADO]]</f>
        <v>4.6000001020729542E-5</v>
      </c>
    </row>
    <row r="101" spans="1:29" x14ac:dyDescent="0.25">
      <c r="A101">
        <v>1902003</v>
      </c>
      <c r="B101" t="s">
        <v>155</v>
      </c>
      <c r="C101">
        <v>0</v>
      </c>
      <c r="D101" t="s">
        <v>240</v>
      </c>
      <c r="E101" t="s">
        <v>404</v>
      </c>
      <c r="F101" s="2">
        <v>150703.97545999999</v>
      </c>
      <c r="G101" s="6" t="s">
        <v>47</v>
      </c>
      <c r="H101" s="2">
        <v>150703.97545999996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0.41466600000000009</v>
      </c>
      <c r="M101" s="2">
        <f>+IFERROR(PRODUCTOS[[#This Row],[PPTO]]*PRODUCTOS[[#This Row],[CANT X MODULO]],"")</f>
        <v>62491.814688096369</v>
      </c>
      <c r="N101" s="2">
        <f>+IFERROR(PRODUCTOS[[#This Row],[PPTO X MODULO]]*32,"")</f>
        <v>1999738.0700190838</v>
      </c>
      <c r="O101" s="2">
        <f>+IFERROR(PRODUCTOS[[#This Row],[PPTO X TORRE]]*22,"")</f>
        <v>43994237.540419847</v>
      </c>
      <c r="P101" s="3">
        <f>+IFERROR(PRODUCTOS[[#This Row],[CANT X MODULO]]*702,"")</f>
        <v>291.09553200000005</v>
      </c>
      <c r="Q101" s="3">
        <f>+SUMIFS(DETALLE_GD_1[CANTIDAD SOLICITADA],DETALLE_GD_1[CODIGO],PRODUCTOS[[#This Row],[CODIGO]])</f>
        <v>109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109</v>
      </c>
      <c r="T101" s="3">
        <f>+IFERROR(PRODUCTOS[[#This Row],[CANTIDAD RECIBIDA]]/PRODUCTOS[[#This Row],[CANT X MODULO]],"")</f>
        <v>262.86215894237768</v>
      </c>
      <c r="U101" s="3">
        <f>+SUMIFS(DETALLE_GD_1[VALOR TOTAL POR ITEM GD],DETALLE_GD_1[CODIGO],PRODUCTOS[[#This Row],[CODIGO]])</f>
        <v>16432663</v>
      </c>
      <c r="V101" s="3">
        <f>+IFERROR(PRODUCTOS[[#This Row],[PRECIO DE COMPRA]]/PRODUCTOS[[#This Row],[CANT. COMPRADA]],"")</f>
        <v>150758.376146789</v>
      </c>
      <c r="W101" s="3">
        <f>+IFERROR(PRODUCTOS[[#This Row],[PRECIO COMPRA UNITARIO]]*PRODUCTOS[[#This Row],[PPTO FALTANTE]],"")</f>
        <v>27577455.453512233</v>
      </c>
      <c r="X101" s="7">
        <f>+IFERROR(PRODUCTOS[[#This Row],[PROYECCION COMPRA]]/PRODUCTOS[[#This Row],[PPTO TOTAL]]-1,"")</f>
        <v>-0.37315755436890208</v>
      </c>
      <c r="Y101" s="3">
        <f>+IFERROR((PRODUCTOS[[#This Row],[CANT X MODULO]]*704)-PRODUCTOS[[#This Row],[CANT. COMPRADA]],"")</f>
        <v>182.92486400000007</v>
      </c>
      <c r="Z101" s="17">
        <f>+IFERROR(PRODUCTOS[[#This Row],[CANT. COMPRADA]]/PRODUCTOS[[#This Row],[PPTO FALTANTE]],"")</f>
        <v>0.59587306840911447</v>
      </c>
      <c r="AA101" s="3">
        <f>+IFERROR(PRODUCTOS[[#This Row],[PROYECCION COMPRA]]-(PRODUCTOS[[#This Row],[PPTO FALTANTE]]*PRODUCTOS[[#This Row],[PPTO]]),"")</f>
        <v>9951.2382323853672</v>
      </c>
      <c r="AB101" s="3">
        <f>+_xlfn.XLOOKUP(PRODUCTOS[[#This Row],[CODIGO]],DETALLE_GD_1[CODIGO],DETALLE_GD_1[VALOR PPTO],"",0)</f>
        <v>150703.9755</v>
      </c>
      <c r="AC101" s="3">
        <f>+AB101-PRODUCTOS[[#This Row],[PPTO_ACTUALIZADO]]</f>
        <v>4.0000042645260692E-5</v>
      </c>
    </row>
    <row r="102" spans="1:29" x14ac:dyDescent="0.25">
      <c r="A102">
        <v>704024</v>
      </c>
      <c r="B102" t="s">
        <v>332</v>
      </c>
      <c r="C102" t="s">
        <v>670</v>
      </c>
      <c r="D102" t="s">
        <v>240</v>
      </c>
      <c r="E102" t="s">
        <v>402</v>
      </c>
      <c r="F102" s="2">
        <v>363</v>
      </c>
      <c r="G102" s="6" t="s">
        <v>31</v>
      </c>
      <c r="H102" s="2">
        <v>363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4.2</v>
      </c>
      <c r="M102" s="2">
        <f>+IFERROR(PRODUCTOS[[#This Row],[PPTO]]*PRODUCTOS[[#This Row],[CANT X MODULO]],"")</f>
        <v>1524.6000000000001</v>
      </c>
      <c r="N102" s="2">
        <f>+IFERROR(PRODUCTOS[[#This Row],[PPTO X MODULO]]*32,"")</f>
        <v>48787.200000000004</v>
      </c>
      <c r="O102" s="2">
        <f>+IFERROR(PRODUCTOS[[#This Row],[PPTO X TORRE]]*22,"")</f>
        <v>1073318.4000000001</v>
      </c>
      <c r="P102" s="3">
        <f>+IFERROR(PRODUCTOS[[#This Row],[CANT X MODULO]]*702,"")</f>
        <v>2948.4</v>
      </c>
      <c r="Q102" s="3">
        <f>+SUMIFS(DETALLE_GD_1[CANTIDAD SOLICITADA],DETALLE_GD_1[CODIGO],PRODUCTOS[[#This Row],[CODIGO]])</f>
        <v>1096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1096</v>
      </c>
      <c r="T102" s="3">
        <f>+IFERROR(PRODUCTOS[[#This Row],[CANTIDAD RECIBIDA]]/PRODUCTOS[[#This Row],[CANT X MODULO]],"")</f>
        <v>260.95238095238096</v>
      </c>
      <c r="U102" s="3">
        <f>+SUMIFS(DETALLE_GD_1[VALOR TOTAL POR ITEM GD],DETALLE_GD_1[CODIGO],PRODUCTOS[[#This Row],[CODIGO]])</f>
        <v>348453</v>
      </c>
      <c r="V102" s="3">
        <f>+IFERROR(PRODUCTOS[[#This Row],[PRECIO DE COMPRA]]/PRODUCTOS[[#This Row],[CANT. COMPRADA]],"")</f>
        <v>317.93156934306569</v>
      </c>
      <c r="W102" s="3">
        <f>+IFERROR(PRODUCTOS[[#This Row],[PRECIO COMPRA UNITARIO]]*PRODUCTOS[[#This Row],[PPTO FALTANTE]],"")</f>
        <v>591607.06423357665</v>
      </c>
      <c r="X102" s="7">
        <f>+IFERROR(PRODUCTOS[[#This Row],[PROYECCION COMPRA]]/PRODUCTOS[[#This Row],[PPTO TOTAL]]-1,"")</f>
        <v>-0.4488056254010212</v>
      </c>
      <c r="Y102" s="3">
        <f>+IFERROR((PRODUCTOS[[#This Row],[CANT X MODULO]]*704)-PRODUCTOS[[#This Row],[CANT. COMPRADA]],"")</f>
        <v>1860.8000000000002</v>
      </c>
      <c r="Z102" s="17">
        <f>+IFERROR(PRODUCTOS[[#This Row],[CANT. COMPRADA]]/PRODUCTOS[[#This Row],[PPTO FALTANTE]],"")</f>
        <v>0.58899398108340495</v>
      </c>
      <c r="AA102" s="3">
        <f>+IFERROR(PRODUCTOS[[#This Row],[PROYECCION COMPRA]]-(PRODUCTOS[[#This Row],[PPTO FALTANTE]]*PRODUCTOS[[#This Row],[PPTO]]),"")</f>
        <v>-83863.335766423377</v>
      </c>
      <c r="AB102" s="3">
        <f>+_xlfn.XLOOKUP(PRODUCTOS[[#This Row],[CODIGO]],DETALLE_GD_1[CODIGO],DETALLE_GD_1[VALOR PPTO],"",0)</f>
        <v>363</v>
      </c>
      <c r="AC102" s="3">
        <f>+AB102-PRODUCTOS[[#This Row],[PPTO_ACTUALIZADO]]</f>
        <v>0</v>
      </c>
    </row>
    <row r="103" spans="1:29" x14ac:dyDescent="0.25">
      <c r="A103">
        <v>1610023</v>
      </c>
      <c r="B103" t="s">
        <v>351</v>
      </c>
      <c r="C103" t="s">
        <v>59</v>
      </c>
      <c r="D103">
        <v>0</v>
      </c>
      <c r="E103">
        <v>0</v>
      </c>
      <c r="F103" s="2">
        <v>2109.0585420000002</v>
      </c>
      <c r="G103" s="6" t="s">
        <v>28</v>
      </c>
      <c r="H103" s="2">
        <v>0</v>
      </c>
      <c r="I103" t="b">
        <v>0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0.52500000000000002</v>
      </c>
      <c r="M103" s="2">
        <f>+IFERROR(PRODUCTOS[[#This Row],[PPTO]]*PRODUCTOS[[#This Row],[CANT X MODULO]],"")</f>
        <v>1107.2557345500002</v>
      </c>
      <c r="N103" s="2">
        <f>+IFERROR(PRODUCTOS[[#This Row],[PPTO X MODULO]]*32,"")</f>
        <v>35432.183505600005</v>
      </c>
      <c r="O103" s="2">
        <f>+IFERROR(PRODUCTOS[[#This Row],[PPTO X TORRE]]*22,"")</f>
        <v>779508.03712320013</v>
      </c>
      <c r="P103" s="3">
        <f>+IFERROR(PRODUCTOS[[#This Row],[CANT X MODULO]]*702,"")</f>
        <v>368.55</v>
      </c>
      <c r="Q103" s="3">
        <f>+SUMIFS(DETALLE_GD_1[CANTIDAD SOLICITADA],DETALLE_GD_1[CODIGO],PRODUCTOS[[#This Row],[CODIGO]])</f>
        <v>134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134</v>
      </c>
      <c r="T103" s="3">
        <f>+IFERROR(PRODUCTOS[[#This Row],[CANTIDAD RECIBIDA]]/PRODUCTOS[[#This Row],[CANT X MODULO]],"")</f>
        <v>255.23809523809524</v>
      </c>
      <c r="U103" s="3">
        <f>+SUMIFS(DETALLE_GD_1[VALOR TOTAL POR ITEM GD],DETALLE_GD_1[CODIGO],PRODUCTOS[[#This Row],[CODIGO]])</f>
        <v>302351</v>
      </c>
      <c r="V103" s="3">
        <f>+IFERROR(PRODUCTOS[[#This Row],[PRECIO DE COMPRA]]/PRODUCTOS[[#This Row],[CANT. COMPRADA]],"")</f>
        <v>2256.3507462686566</v>
      </c>
      <c r="W103" s="3">
        <f>+IFERROR(PRODUCTOS[[#This Row],[PRECIO COMPRA UNITARIO]]*PRODUCTOS[[#This Row],[PPTO FALTANTE]],"")</f>
        <v>531596.23582089553</v>
      </c>
      <c r="X103" s="7">
        <f>+IFERROR(PRODUCTOS[[#This Row],[PROYECCION COMPRA]]/PRODUCTOS[[#This Row],[PPTO TOTAL]]-1,"")</f>
        <v>-0.31803623503002121</v>
      </c>
      <c r="Y103" s="3">
        <f>+IFERROR((PRODUCTOS[[#This Row],[CANT X MODULO]]*704)-PRODUCTOS[[#This Row],[CANT. COMPRADA]],"")</f>
        <v>235.60000000000002</v>
      </c>
      <c r="Z103" s="17">
        <f>+IFERROR(PRODUCTOS[[#This Row],[CANT. COMPRADA]]/PRODUCTOS[[#This Row],[PPTO FALTANTE]],"")</f>
        <v>0.56876061120543286</v>
      </c>
      <c r="AA103" s="3">
        <f>+IFERROR(PRODUCTOS[[#This Row],[PROYECCION COMPRA]]-(PRODUCTOS[[#This Row],[PPTO FALTANTE]]*PRODUCTOS[[#This Row],[PPTO]]),"")</f>
        <v>34702.043325695442</v>
      </c>
      <c r="AB103" s="3">
        <f>+_xlfn.XLOOKUP(PRODUCTOS[[#This Row],[CODIGO]],DETALLE_GD_1[CODIGO],DETALLE_GD_1[VALOR PPTO],"",0)</f>
        <v>2109.0585000000001</v>
      </c>
      <c r="AC103" s="3">
        <f>+AB103-PRODUCTOS[[#This Row],[PPTO_ACTUALIZADO]]</f>
        <v>2109.0585000000001</v>
      </c>
    </row>
    <row r="104" spans="1:29" x14ac:dyDescent="0.25">
      <c r="A104">
        <v>410045</v>
      </c>
      <c r="B104" t="s">
        <v>110</v>
      </c>
      <c r="C104" t="s">
        <v>612</v>
      </c>
      <c r="D104" t="s">
        <v>240</v>
      </c>
      <c r="E104" t="s">
        <v>399</v>
      </c>
      <c r="F104" s="2">
        <v>368.00136099999997</v>
      </c>
      <c r="G104" s="6" t="s">
        <v>31</v>
      </c>
      <c r="H104" s="2">
        <v>368.00136099999992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16.800000000000004</v>
      </c>
      <c r="M104" s="2">
        <f>+IFERROR(PRODUCTOS[[#This Row],[PPTO]]*PRODUCTOS[[#This Row],[CANT X MODULO]],"")</f>
        <v>6182.4228648000008</v>
      </c>
      <c r="N104" s="2">
        <f>+IFERROR(PRODUCTOS[[#This Row],[PPTO X MODULO]]*32,"")</f>
        <v>197837.53167360002</v>
      </c>
      <c r="O104" s="2">
        <f>+IFERROR(PRODUCTOS[[#This Row],[PPTO X TORRE]]*22,"")</f>
        <v>4352425.6968192002</v>
      </c>
      <c r="P104" s="3">
        <f>+IFERROR(PRODUCTOS[[#This Row],[CANT X MODULO]]*702,"")</f>
        <v>11793.600000000002</v>
      </c>
      <c r="Q104" s="3">
        <f>+SUMIFS(DETALLE_GD_1[CANTIDAD SOLICITADA],DETALLE_GD_1[CODIGO],PRODUCTOS[[#This Row],[CODIGO]])</f>
        <v>4045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4045</v>
      </c>
      <c r="T104" s="3">
        <f>+IFERROR(PRODUCTOS[[#This Row],[CANTIDAD RECIBIDA]]/PRODUCTOS[[#This Row],[CANT X MODULO]],"")</f>
        <v>240.77380952380946</v>
      </c>
      <c r="U104" s="3">
        <f>+SUMIFS(DETALLE_GD_1[VALOR TOTAL POR ITEM GD],DETALLE_GD_1[CODIGO],PRODUCTOS[[#This Row],[CODIGO]])</f>
        <v>1404842</v>
      </c>
      <c r="V104" s="3">
        <f>+IFERROR(PRODUCTOS[[#This Row],[PRECIO DE COMPRA]]/PRODUCTOS[[#This Row],[CANT. COMPRADA]],"")</f>
        <v>347.30333745364646</v>
      </c>
      <c r="W104" s="3">
        <f>+IFERROR(PRODUCTOS[[#This Row],[PRECIO COMPRA UNITARIO]]*PRODUCTOS[[#This Row],[PPTO FALTANTE]],"")</f>
        <v>2702784.0327317682</v>
      </c>
      <c r="X104" s="7">
        <f>+IFERROR(PRODUCTOS[[#This Row],[PROYECCION COMPRA]]/PRODUCTOS[[#This Row],[PPTO TOTAL]]-1,"")</f>
        <v>-0.379016617168906</v>
      </c>
      <c r="Y104" s="3">
        <f>+IFERROR((PRODUCTOS[[#This Row],[CANT X MODULO]]*704)-PRODUCTOS[[#This Row],[CANT. COMPRADA]],"")</f>
        <v>7782.2000000000025</v>
      </c>
      <c r="Z104" s="17">
        <f>+IFERROR(PRODUCTOS[[#This Row],[CANT. COMPRADA]]/PRODUCTOS[[#This Row],[PPTO FALTANTE]],"")</f>
        <v>0.51977589884608444</v>
      </c>
      <c r="AA104" s="3">
        <f>+IFERROR(PRODUCTOS[[#This Row],[PROYECCION COMPRA]]-(PRODUCTOS[[#This Row],[PPTO FALTANTE]]*PRODUCTOS[[#This Row],[PPTO]]),"")</f>
        <v>-161076.15884243231</v>
      </c>
      <c r="AB104" s="3">
        <f>+_xlfn.XLOOKUP(PRODUCTOS[[#This Row],[CODIGO]],DETALLE_GD_1[CODIGO],DETALLE_GD_1[VALOR PPTO],"",0)</f>
        <v>368.00139999999999</v>
      </c>
      <c r="AC104" s="3">
        <f>+AB104-PRODUCTOS[[#This Row],[PPTO_ACTUALIZADO]]</f>
        <v>3.9000000072064722E-5</v>
      </c>
    </row>
    <row r="105" spans="1:29" x14ac:dyDescent="0.25">
      <c r="A105">
        <v>1103088</v>
      </c>
      <c r="B105" t="s">
        <v>489</v>
      </c>
      <c r="C105" t="s">
        <v>683</v>
      </c>
      <c r="D105" t="s">
        <v>355</v>
      </c>
      <c r="E105" t="s">
        <v>355</v>
      </c>
      <c r="G105" s="6" t="s">
        <v>355</v>
      </c>
      <c r="H105" s="2">
        <v>3134</v>
      </c>
      <c r="I105" t="b">
        <v>0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1.05</v>
      </c>
      <c r="M105" s="2">
        <f>+IFERROR(PRODUCTOS[[#This Row],[PPTO]]*PRODUCTOS[[#This Row],[CANT X MODULO]],"")</f>
        <v>0</v>
      </c>
      <c r="N105" s="2">
        <f>+IFERROR(PRODUCTOS[[#This Row],[PPTO X MODULO]]*32,"")</f>
        <v>0</v>
      </c>
      <c r="O105" s="2">
        <f>+IFERROR(PRODUCTOS[[#This Row],[PPTO X TORRE]]*22,"")</f>
        <v>0</v>
      </c>
      <c r="P105" s="3">
        <f>+IFERROR(PRODUCTOS[[#This Row],[CANT X MODULO]]*702,"")</f>
        <v>737.1</v>
      </c>
      <c r="Q105" s="3">
        <f>+SUMIFS(DETALLE_GD_1[CANTIDAD SOLICITADA],DETALLE_GD_1[CODIGO],PRODUCTOS[[#This Row],[CODIGO]])</f>
        <v>250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250</v>
      </c>
      <c r="T105" s="3">
        <f>+IFERROR(PRODUCTOS[[#This Row],[CANTIDAD RECIBIDA]]/PRODUCTOS[[#This Row],[CANT X MODULO]],"")</f>
        <v>238.09523809523807</v>
      </c>
      <c r="U105" s="3">
        <f>+SUMIFS(DETALLE_GD_1[VALOR TOTAL POR ITEM GD],DETALLE_GD_1[CODIGO],PRODUCTOS[[#This Row],[CODIGO]])</f>
        <v>783500</v>
      </c>
      <c r="V105" s="3">
        <f>+IFERROR(PRODUCTOS[[#This Row],[PRECIO DE COMPRA]]/PRODUCTOS[[#This Row],[CANT. COMPRADA]],"")</f>
        <v>3134</v>
      </c>
      <c r="W105" s="3">
        <f>+IFERROR(PRODUCTOS[[#This Row],[PRECIO COMPRA UNITARIO]]*PRODUCTOS[[#This Row],[PPTO FALTANTE]],"")</f>
        <v>1533152.8</v>
      </c>
      <c r="X105" s="7" t="str">
        <f>+IFERROR(PRODUCTOS[[#This Row],[PROYECCION COMPRA]]/PRODUCTOS[[#This Row],[PPTO TOTAL]]-1,"")</f>
        <v/>
      </c>
      <c r="Y105" s="3">
        <f>+IFERROR((PRODUCTOS[[#This Row],[CANT X MODULO]]*704)-PRODUCTOS[[#This Row],[CANT. COMPRADA]],"")</f>
        <v>489.20000000000005</v>
      </c>
      <c r="Z105" s="17">
        <f>+IFERROR(PRODUCTOS[[#This Row],[CANT. COMPRADA]]/PRODUCTOS[[#This Row],[PPTO FALTANTE]],"")</f>
        <v>0.51103843008994276</v>
      </c>
      <c r="AA105" s="3">
        <f>+IFERROR(PRODUCTOS[[#This Row],[PROYECCION COMPRA]]-(PRODUCTOS[[#This Row],[PPTO FALTANTE]]*PRODUCTOS[[#This Row],[PPTO]]),"")</f>
        <v>1533152.8</v>
      </c>
      <c r="AB105" s="3">
        <f>+_xlfn.XLOOKUP(PRODUCTOS[[#This Row],[CODIGO]],DETALLE_GD_1[CODIGO],DETALLE_GD_1[VALOR PPTO],"",0)</f>
        <v>3134</v>
      </c>
      <c r="AC105" s="3">
        <f>+AB105-PRODUCTOS[[#This Row],[PPTO_ACTUALIZADO]]</f>
        <v>0</v>
      </c>
    </row>
    <row r="106" spans="1:29" x14ac:dyDescent="0.25">
      <c r="A106" t="s">
        <v>348</v>
      </c>
      <c r="B106" t="s">
        <v>363</v>
      </c>
      <c r="C106">
        <v>0</v>
      </c>
      <c r="D106" t="s">
        <v>240</v>
      </c>
      <c r="E106" t="s">
        <v>404</v>
      </c>
      <c r="F106" s="2">
        <v>52900</v>
      </c>
      <c r="G106" s="6" t="s">
        <v>47</v>
      </c>
      <c r="H106" s="2">
        <v>58899.999999999993</v>
      </c>
      <c r="I106" t="b">
        <v>0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8.9250000000000006E-3</v>
      </c>
      <c r="M106" s="2">
        <f>+IFERROR(PRODUCTOS[[#This Row],[PPTO]]*PRODUCTOS[[#This Row],[CANT X MODULO]],"")</f>
        <v>472.13250000000005</v>
      </c>
      <c r="N106" s="2">
        <f>+IFERROR(PRODUCTOS[[#This Row],[PPTO X MODULO]]*32,"")</f>
        <v>15108.240000000002</v>
      </c>
      <c r="O106" s="2">
        <f>+IFERROR(PRODUCTOS[[#This Row],[PPTO X TORRE]]*22,"")</f>
        <v>332381.28000000003</v>
      </c>
      <c r="P106" s="3">
        <f>+IFERROR(PRODUCTOS[[#This Row],[CANT X MODULO]]*702,"")</f>
        <v>6.2653500000000006</v>
      </c>
      <c r="Q106" s="3">
        <f>+SUMIFS(DETALLE_GD_1[CANTIDAD SOLICITADA],DETALLE_GD_1[CODIGO],PRODUCTOS[[#This Row],[CODIGO]])</f>
        <v>2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</v>
      </c>
      <c r="T106" s="3">
        <f>+IFERROR(PRODUCTOS[[#This Row],[CANTIDAD RECIBIDA]]/PRODUCTOS[[#This Row],[CANT X MODULO]],"")</f>
        <v>224.08963585434171</v>
      </c>
      <c r="U106" s="3">
        <f>+SUMIFS(DETALLE_GD_1[VALOR TOTAL POR ITEM GD],DETALLE_GD_1[CODIGO],PRODUCTOS[[#This Row],[CODIGO]])</f>
        <v>117800</v>
      </c>
      <c r="V106" s="3">
        <f>+IFERROR(PRODUCTOS[[#This Row],[PRECIO DE COMPRA]]/PRODUCTOS[[#This Row],[CANT. COMPRADA]],"")</f>
        <v>58900</v>
      </c>
      <c r="W106" s="3">
        <f>+IFERROR(PRODUCTOS[[#This Row],[PRECIO COMPRA UNITARIO]]*PRODUCTOS[[#This Row],[PPTO FALTANTE]],"")</f>
        <v>252280.48000000004</v>
      </c>
      <c r="X106" s="7">
        <f>+IFERROR(PRODUCTOS[[#This Row],[PROYECCION COMPRA]]/PRODUCTOS[[#This Row],[PPTO TOTAL]]-1,"")</f>
        <v>-0.24099070802062017</v>
      </c>
      <c r="Y106" s="3">
        <f>+IFERROR((PRODUCTOS[[#This Row],[CANT X MODULO]]*704)-PRODUCTOS[[#This Row],[CANT. COMPRADA]],"")</f>
        <v>4.2832000000000008</v>
      </c>
      <c r="Z106" s="17">
        <f>+IFERROR(PRODUCTOS[[#This Row],[CANT. COMPRADA]]/PRODUCTOS[[#This Row],[PPTO FALTANTE]],"")</f>
        <v>0.46694060515502417</v>
      </c>
      <c r="AA106" s="3">
        <f>+IFERROR(PRODUCTOS[[#This Row],[PROYECCION COMPRA]]-(PRODUCTOS[[#This Row],[PPTO FALTANTE]]*PRODUCTOS[[#This Row],[PPTO]]),"")</f>
        <v>25699.200000000012</v>
      </c>
      <c r="AB106" s="3">
        <f>+_xlfn.XLOOKUP(PRODUCTOS[[#This Row],[CODIGO]],DETALLE_GD_1[CODIGO],DETALLE_GD_1[VALOR PPTO],"",0)</f>
        <v>58900</v>
      </c>
      <c r="AC106" s="3">
        <f>+AB106-PRODUCTOS[[#This Row],[PPTO_ACTUALIZADO]]</f>
        <v>0</v>
      </c>
    </row>
    <row r="107" spans="1:29" x14ac:dyDescent="0.25">
      <c r="A107">
        <v>408042</v>
      </c>
      <c r="B107" t="s">
        <v>144</v>
      </c>
      <c r="C107" t="s">
        <v>633</v>
      </c>
      <c r="D107" t="s">
        <v>240</v>
      </c>
      <c r="E107" t="s">
        <v>399</v>
      </c>
      <c r="F107" s="2">
        <v>35000</v>
      </c>
      <c r="G107" s="6" t="s">
        <v>36</v>
      </c>
      <c r="H107" s="2">
        <v>35000.000000000029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0.95825624999999959</v>
      </c>
      <c r="M107" s="2">
        <f>+IFERROR(PRODUCTOS[[#This Row],[PPTO]]*PRODUCTOS[[#This Row],[CANT X MODULO]],"")</f>
        <v>33538.968749999985</v>
      </c>
      <c r="N107" s="2">
        <f>+IFERROR(PRODUCTOS[[#This Row],[PPTO X MODULO]]*32,"")</f>
        <v>1073246.9999999995</v>
      </c>
      <c r="O107" s="2">
        <f>+IFERROR(PRODUCTOS[[#This Row],[PPTO X TORRE]]*22,"")</f>
        <v>23611433.999999989</v>
      </c>
      <c r="P107" s="3">
        <f>+IFERROR(PRODUCTOS[[#This Row],[CANT X MODULO]]*702,"")</f>
        <v>672.69588749999969</v>
      </c>
      <c r="Q107" s="3">
        <f>+SUMIFS(DETALLE_GD_1[CANTIDAD SOLICITADA],DETALLE_GD_1[CODIGO],PRODUCTOS[[#This Row],[CODIGO]])</f>
        <v>200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200</v>
      </c>
      <c r="T107" s="3">
        <f>+IFERROR(PRODUCTOS[[#This Row],[CANTIDAD RECIBIDA]]/PRODUCTOS[[#This Row],[CANT X MODULO]],"")</f>
        <v>208.71243991364531</v>
      </c>
      <c r="U107" s="3">
        <f>+SUMIFS(DETALLE_GD_1[VALOR TOTAL POR ITEM GD],DETALLE_GD_1[CODIGO],PRODUCTOS[[#This Row],[CODIGO]])</f>
        <v>7000000</v>
      </c>
      <c r="V107" s="3">
        <f>+IFERROR(PRODUCTOS[[#This Row],[PRECIO DE COMPRA]]/PRODUCTOS[[#This Row],[CANT. COMPRADA]],"")</f>
        <v>35000</v>
      </c>
      <c r="W107" s="3">
        <f>+IFERROR(PRODUCTOS[[#This Row],[PRECIO COMPRA UNITARIO]]*PRODUCTOS[[#This Row],[PPTO FALTANTE]],"")</f>
        <v>16611433.999999991</v>
      </c>
      <c r="X107" s="7">
        <f>+IFERROR(PRODUCTOS[[#This Row],[PROYECCION COMPRA]]/PRODUCTOS[[#This Row],[PPTO TOTAL]]-1,"")</f>
        <v>-0.29646653396824607</v>
      </c>
      <c r="Y107" s="3">
        <f>+IFERROR((PRODUCTOS[[#This Row],[CANT X MODULO]]*704)-PRODUCTOS[[#This Row],[CANT. COMPRADA]],"")</f>
        <v>474.61239999999975</v>
      </c>
      <c r="Z107" s="17">
        <f>+IFERROR(PRODUCTOS[[#This Row],[CANT. COMPRADA]]/PRODUCTOS[[#This Row],[PPTO FALTANTE]],"")</f>
        <v>0.42139649111569799</v>
      </c>
      <c r="AA107" s="3">
        <f>+IFERROR(PRODUCTOS[[#This Row],[PROYECCION COMPRA]]-(PRODUCTOS[[#This Row],[PPTO FALTANTE]]*PRODUCTOS[[#This Row],[PPTO]]),"")</f>
        <v>0</v>
      </c>
      <c r="AB107" s="3">
        <f>+_xlfn.XLOOKUP(PRODUCTOS[[#This Row],[CODIGO]],DETALLE_GD_1[CODIGO],DETALLE_GD_1[VALOR PPTO],"",0)</f>
        <v>35000</v>
      </c>
      <c r="AC107" s="3">
        <f>+AB107-PRODUCTOS[[#This Row],[PPTO_ACTUALIZADO]]</f>
        <v>0</v>
      </c>
    </row>
    <row r="108" spans="1:29" x14ac:dyDescent="0.25">
      <c r="A108">
        <v>2302098</v>
      </c>
      <c r="B108" t="s">
        <v>24</v>
      </c>
      <c r="C108" t="s">
        <v>561</v>
      </c>
      <c r="D108" t="s">
        <v>244</v>
      </c>
      <c r="E108" t="s">
        <v>399</v>
      </c>
      <c r="F108" s="2">
        <v>21213</v>
      </c>
      <c r="G108" s="6" t="s">
        <v>25</v>
      </c>
      <c r="H108" s="2">
        <v>21212.999999999996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0.52500000000000002</v>
      </c>
      <c r="M108" s="2">
        <f>+IFERROR(PRODUCTOS[[#This Row],[PPTO]]*PRODUCTOS[[#This Row],[CANT X MODULO]],"")</f>
        <v>11136.825000000001</v>
      </c>
      <c r="N108" s="2">
        <f>+IFERROR(PRODUCTOS[[#This Row],[PPTO X MODULO]]*32,"")</f>
        <v>356378.4</v>
      </c>
      <c r="O108" s="2">
        <f>+IFERROR(PRODUCTOS[[#This Row],[PPTO X TORRE]]*22,"")</f>
        <v>7840324.8000000007</v>
      </c>
      <c r="P108" s="3">
        <f>+IFERROR(PRODUCTOS[[#This Row],[CANT X MODULO]]*702,"")</f>
        <v>368.55</v>
      </c>
      <c r="Q108" s="3">
        <f>+SUMIFS(DETALLE_GD_1[CANTIDAD SOLICITADA],DETALLE_GD_1[CODIGO],PRODUCTOS[[#This Row],[CODIGO]])</f>
        <v>105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105</v>
      </c>
      <c r="T108" s="3">
        <f>+IFERROR(PRODUCTOS[[#This Row],[CANTIDAD RECIBIDA]]/PRODUCTOS[[#This Row],[CANT X MODULO]],"")</f>
        <v>200</v>
      </c>
      <c r="U108" s="3">
        <f>+SUMIFS(DETALLE_GD_1[VALOR TOTAL POR ITEM GD],DETALLE_GD_1[CODIGO],PRODUCTOS[[#This Row],[CODIGO]])</f>
        <v>2227365</v>
      </c>
      <c r="V108" s="3">
        <f>+IFERROR(PRODUCTOS[[#This Row],[PRECIO DE COMPRA]]/PRODUCTOS[[#This Row],[CANT. COMPRADA]],"")</f>
        <v>21213</v>
      </c>
      <c r="W108" s="3">
        <f>+IFERROR(PRODUCTOS[[#This Row],[PRECIO COMPRA UNITARIO]]*PRODUCTOS[[#This Row],[PPTO FALTANTE]],"")</f>
        <v>5612959.8000000007</v>
      </c>
      <c r="X108" s="7">
        <f>+IFERROR(PRODUCTOS[[#This Row],[PROYECCION COMPRA]]/PRODUCTOS[[#This Row],[PPTO TOTAL]]-1,"")</f>
        <v>-0.28409090909090906</v>
      </c>
      <c r="Y108" s="3">
        <f>+IFERROR((PRODUCTOS[[#This Row],[CANT X MODULO]]*704)-PRODUCTOS[[#This Row],[CANT. COMPRADA]],"")</f>
        <v>264.60000000000002</v>
      </c>
      <c r="Z108" s="17">
        <f>+IFERROR(PRODUCTOS[[#This Row],[CANT. COMPRADA]]/PRODUCTOS[[#This Row],[PPTO FALTANTE]],"")</f>
        <v>0.3968253968253968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21213</v>
      </c>
      <c r="AC108" s="3">
        <f>+AB108-PRODUCTOS[[#This Row],[PPTO_ACTUALIZADO]]</f>
        <v>0</v>
      </c>
    </row>
    <row r="109" spans="1:29" x14ac:dyDescent="0.25">
      <c r="A109">
        <v>302248</v>
      </c>
      <c r="B109" t="s">
        <v>281</v>
      </c>
      <c r="C109">
        <v>0</v>
      </c>
      <c r="D109" t="s">
        <v>240</v>
      </c>
      <c r="E109" t="s">
        <v>403</v>
      </c>
      <c r="F109" s="2">
        <v>2342.1751370000002</v>
      </c>
      <c r="G109" s="6" t="s">
        <v>20</v>
      </c>
      <c r="H109" s="2">
        <v>2342.1751370000002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8.9250000000000007</v>
      </c>
      <c r="M109" s="2">
        <f>+IFERROR(PRODUCTOS[[#This Row],[PPTO]]*PRODUCTOS[[#This Row],[CANT X MODULO]],"")</f>
        <v>20903.913097725002</v>
      </c>
      <c r="N109" s="2">
        <f>+IFERROR(PRODUCTOS[[#This Row],[PPTO X MODULO]]*32,"")</f>
        <v>668925.21912720008</v>
      </c>
      <c r="O109" s="2">
        <f>+IFERROR(PRODUCTOS[[#This Row],[PPTO X TORRE]]*22,"")</f>
        <v>14716354.820798401</v>
      </c>
      <c r="P109" s="3">
        <f>+IFERROR(PRODUCTOS[[#This Row],[CANT X MODULO]]*702,"")</f>
        <v>6265.35</v>
      </c>
      <c r="Q109" s="3">
        <f>+SUMIFS(DETALLE_GD_1[CANTIDAD SOLICITADA],DETALLE_GD_1[CODIGO],PRODUCTOS[[#This Row],[CODIGO]])</f>
        <v>1728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1728</v>
      </c>
      <c r="T109" s="3">
        <f>+IFERROR(PRODUCTOS[[#This Row],[CANTIDAD RECIBIDA]]/PRODUCTOS[[#This Row],[CANT X MODULO]],"")</f>
        <v>193.61344537815125</v>
      </c>
      <c r="U109" s="3">
        <f>+SUMIFS(DETALLE_GD_1[VALOR TOTAL POR ITEM GD],DETALLE_GD_1[CODIGO],PRODUCTOS[[#This Row],[CODIGO]])</f>
        <v>4086732</v>
      </c>
      <c r="V109" s="3">
        <f>+IFERROR(PRODUCTOS[[#This Row],[PRECIO DE COMPRA]]/PRODUCTOS[[#This Row],[CANT. COMPRADA]],"")</f>
        <v>2365.0069444444443</v>
      </c>
      <c r="W109" s="3">
        <f>+IFERROR(PRODUCTOS[[#This Row],[PRECIO COMPRA UNITARIO]]*PRODUCTOS[[#This Row],[PPTO FALTANTE]],"")</f>
        <v>10773079.633333335</v>
      </c>
      <c r="X109" s="7">
        <f>+IFERROR(PRODUCTOS[[#This Row],[PROYECCION COMPRA]]/PRODUCTOS[[#This Row],[PPTO TOTAL]]-1,"")</f>
        <v>-0.26795189674905739</v>
      </c>
      <c r="Y109" s="3">
        <f>+IFERROR((PRODUCTOS[[#This Row],[CANT X MODULO]]*704)-PRODUCTOS[[#This Row],[CANT. COMPRADA]],"")</f>
        <v>4555.2000000000007</v>
      </c>
      <c r="Z109" s="17">
        <f>+IFERROR(PRODUCTOS[[#This Row],[CANT. COMPRADA]]/PRODUCTOS[[#This Row],[PPTO FALTANTE]],"")</f>
        <v>0.37934668071654365</v>
      </c>
      <c r="AA109" s="3">
        <f>+IFERROR(PRODUCTOS[[#This Row],[PROYECCION COMPRA]]-(PRODUCTOS[[#This Row],[PPTO FALTANTE]]*PRODUCTOS[[#This Row],[PPTO]]),"")</f>
        <v>104003.449270932</v>
      </c>
      <c r="AB109" s="3">
        <f>+_xlfn.XLOOKUP(PRODUCTOS[[#This Row],[CODIGO]],DETALLE_GD_1[CODIGO],DETALLE_GD_1[VALOR PPTO],"",0)</f>
        <v>2342.1750999999999</v>
      </c>
      <c r="AC109" s="3">
        <f>+AB109-PRODUCTOS[[#This Row],[PPTO_ACTUALIZADO]]</f>
        <v>-3.7000000247644493E-5</v>
      </c>
    </row>
    <row r="110" spans="1:29" x14ac:dyDescent="0.25">
      <c r="A110">
        <v>1801735</v>
      </c>
      <c r="B110" t="s">
        <v>73</v>
      </c>
      <c r="C110" t="s">
        <v>588</v>
      </c>
      <c r="D110" t="s">
        <v>244</v>
      </c>
      <c r="E110">
        <v>0</v>
      </c>
      <c r="F110" s="2">
        <v>3908.4932250000002</v>
      </c>
      <c r="G110" s="6" t="s">
        <v>31</v>
      </c>
      <c r="H110" s="2">
        <v>3495</v>
      </c>
      <c r="I110" t="b">
        <v>0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0.52500000000000002</v>
      </c>
      <c r="M110" s="2">
        <f>+IFERROR(PRODUCTOS[[#This Row],[PPTO]]*PRODUCTOS[[#This Row],[CANT X MODULO]],"")</f>
        <v>2051.9589431250001</v>
      </c>
      <c r="N110" s="2">
        <f>+IFERROR(PRODUCTOS[[#This Row],[PPTO X MODULO]]*32,"")</f>
        <v>65662.686180000004</v>
      </c>
      <c r="O110" s="2">
        <f>+IFERROR(PRODUCTOS[[#This Row],[PPTO X TORRE]]*22,"")</f>
        <v>1444579.0959600001</v>
      </c>
      <c r="P110" s="3">
        <f>+IFERROR(PRODUCTOS[[#This Row],[CANT X MODULO]]*702,"")</f>
        <v>368.55</v>
      </c>
      <c r="Q110" s="3">
        <f>+SUMIFS(DETALLE_GD_1[CANTIDAD SOLICITADA],DETALLE_GD_1[CODIGO],PRODUCTOS[[#This Row],[CODIGO]])</f>
        <v>100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100</v>
      </c>
      <c r="T110" s="3">
        <f>+IFERROR(PRODUCTOS[[#This Row],[CANTIDAD RECIBIDA]]/PRODUCTOS[[#This Row],[CANT X MODULO]],"")</f>
        <v>190.47619047619048</v>
      </c>
      <c r="U110" s="3">
        <f>+SUMIFS(DETALLE_GD_1[VALOR TOTAL POR ITEM GD],DETALLE_GD_1[CODIGO],PRODUCTOS[[#This Row],[CODIGO]])</f>
        <v>381570</v>
      </c>
      <c r="V110" s="3">
        <f>+IFERROR(PRODUCTOS[[#This Row],[PRECIO DE COMPRA]]/PRODUCTOS[[#This Row],[CANT. COMPRADA]],"")</f>
        <v>3815.7</v>
      </c>
      <c r="W110" s="3">
        <f>+IFERROR(PRODUCTOS[[#This Row],[PRECIO COMPRA UNITARIO]]*PRODUCTOS[[#This Row],[PPTO FALTANTE]],"")</f>
        <v>1028712.7200000001</v>
      </c>
      <c r="X110" s="7">
        <f>+IFERROR(PRODUCTOS[[#This Row],[PROYECCION COMPRA]]/PRODUCTOS[[#This Row],[PPTO TOTAL]]-1,"")</f>
        <v>-0.28788065473398983</v>
      </c>
      <c r="Y110" s="3">
        <f>+IFERROR((PRODUCTOS[[#This Row],[CANT X MODULO]]*704)-PRODUCTOS[[#This Row],[CANT. COMPRADA]],"")</f>
        <v>269.60000000000002</v>
      </c>
      <c r="Z110" s="17">
        <f>+IFERROR(PRODUCTOS[[#This Row],[CANT. COMPRADA]]/PRODUCTOS[[#This Row],[PPTO FALTANTE]],"")</f>
        <v>0.37091988130563797</v>
      </c>
      <c r="AA110" s="3">
        <f>+IFERROR(PRODUCTOS[[#This Row],[PROYECCION COMPRA]]-(PRODUCTOS[[#This Row],[PPTO FALTANTE]]*PRODUCTOS[[#This Row],[PPTO]]),"")</f>
        <v>-25017.053459999966</v>
      </c>
      <c r="AB110" s="3">
        <f>+_xlfn.XLOOKUP(PRODUCTOS[[#This Row],[CODIGO]],DETALLE_GD_1[CODIGO],DETALLE_GD_1[VALOR PPTO],"",0)</f>
        <v>3495</v>
      </c>
      <c r="AC110" s="3">
        <f>+AB110-PRODUCTOS[[#This Row],[PPTO_ACTUALIZADO]]</f>
        <v>0</v>
      </c>
    </row>
    <row r="111" spans="1:29" x14ac:dyDescent="0.25">
      <c r="A111">
        <v>1103086</v>
      </c>
      <c r="B111" t="s">
        <v>487</v>
      </c>
      <c r="C111" t="s">
        <v>683</v>
      </c>
      <c r="D111" t="s">
        <v>355</v>
      </c>
      <c r="E111" t="s">
        <v>355</v>
      </c>
      <c r="G111" s="6" t="s">
        <v>137</v>
      </c>
      <c r="H111" s="2">
        <v>10466</v>
      </c>
      <c r="I111" t="b">
        <v>0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0.52500000000000002</v>
      </c>
      <c r="M111" s="2">
        <f>+IFERROR(PRODUCTOS[[#This Row],[PPTO]]*PRODUCTOS[[#This Row],[CANT X MODULO]],"")</f>
        <v>0</v>
      </c>
      <c r="N111" s="2">
        <f>+IFERROR(PRODUCTOS[[#This Row],[PPTO X MODULO]]*32,"")</f>
        <v>0</v>
      </c>
      <c r="O111" s="2">
        <f>+IFERROR(PRODUCTOS[[#This Row],[PPTO X TORRE]]*22,"")</f>
        <v>0</v>
      </c>
      <c r="P111" s="3">
        <f>+IFERROR(PRODUCTOS[[#This Row],[CANT X MODULO]]*702,"")</f>
        <v>368.55</v>
      </c>
      <c r="Q111" s="3">
        <f>+SUMIFS(DETALLE_GD_1[CANTIDAD SOLICITADA],DETALLE_GD_1[CODIGO],PRODUCTOS[[#This Row],[CODIGO]])</f>
        <v>100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100</v>
      </c>
      <c r="T111" s="3">
        <f>+IFERROR(PRODUCTOS[[#This Row],[CANTIDAD RECIBIDA]]/PRODUCTOS[[#This Row],[CANT X MODULO]],"")</f>
        <v>190.47619047619048</v>
      </c>
      <c r="U111" s="3">
        <f>+SUMIFS(DETALLE_GD_1[VALOR TOTAL POR ITEM GD],DETALLE_GD_1[CODIGO],PRODUCTOS[[#This Row],[CODIGO]])</f>
        <v>1046582</v>
      </c>
      <c r="V111" s="3">
        <f>+IFERROR(PRODUCTOS[[#This Row],[PRECIO DE COMPRA]]/PRODUCTOS[[#This Row],[CANT. COMPRADA]],"")</f>
        <v>10465.82</v>
      </c>
      <c r="W111" s="3">
        <f>+IFERROR(PRODUCTOS[[#This Row],[PRECIO COMPRA UNITARIO]]*PRODUCTOS[[#This Row],[PPTO FALTANTE]],"")</f>
        <v>2821585.0720000002</v>
      </c>
      <c r="X111" s="7" t="str">
        <f>+IFERROR(PRODUCTOS[[#This Row],[PROYECCION COMPRA]]/PRODUCTOS[[#This Row],[PPTO TOTAL]]-1,"")</f>
        <v/>
      </c>
      <c r="Y111" s="3">
        <f>+IFERROR((PRODUCTOS[[#This Row],[CANT X MODULO]]*704)-PRODUCTOS[[#This Row],[CANT. COMPRADA]],"")</f>
        <v>269.60000000000002</v>
      </c>
      <c r="Z111" s="17">
        <f>+IFERROR(PRODUCTOS[[#This Row],[CANT. COMPRADA]]/PRODUCTOS[[#This Row],[PPTO FALTANTE]],"")</f>
        <v>0.37091988130563797</v>
      </c>
      <c r="AA111" s="3">
        <f>+IFERROR(PRODUCTOS[[#This Row],[PROYECCION COMPRA]]-(PRODUCTOS[[#This Row],[PPTO FALTANTE]]*PRODUCTOS[[#This Row],[PPTO]]),"")</f>
        <v>2821585.0720000002</v>
      </c>
      <c r="AB111" s="3">
        <f>+_xlfn.XLOOKUP(PRODUCTOS[[#This Row],[CODIGO]],DETALLE_GD_1[CODIGO],DETALLE_GD_1[VALOR PPTO],"",0)</f>
        <v>10466</v>
      </c>
      <c r="AC111" s="3">
        <f>+AB111-PRODUCTOS[[#This Row],[PPTO_ACTUALIZADO]]</f>
        <v>0</v>
      </c>
    </row>
    <row r="112" spans="1:29" x14ac:dyDescent="0.25">
      <c r="A112">
        <v>701084</v>
      </c>
      <c r="B112" t="s">
        <v>38</v>
      </c>
      <c r="C112" t="s">
        <v>564</v>
      </c>
      <c r="D112" t="s">
        <v>240</v>
      </c>
      <c r="E112" t="s">
        <v>402</v>
      </c>
      <c r="F112" s="2">
        <v>38182.916666999998</v>
      </c>
      <c r="G112" s="6" t="s">
        <v>18</v>
      </c>
      <c r="H112" s="2">
        <v>38182.916666999998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0.69825000000000004</v>
      </c>
      <c r="M112" s="2">
        <f>+IFERROR(PRODUCTOS[[#This Row],[PPTO]]*PRODUCTOS[[#This Row],[CANT X MODULO]],"")</f>
        <v>26661.22156273275</v>
      </c>
      <c r="N112" s="2">
        <f>+IFERROR(PRODUCTOS[[#This Row],[PPTO X MODULO]]*32,"")</f>
        <v>853159.09000744799</v>
      </c>
      <c r="O112" s="2">
        <f>+IFERROR(PRODUCTOS[[#This Row],[PPTO X TORRE]]*22,"")</f>
        <v>18769499.980163857</v>
      </c>
      <c r="P112" s="3">
        <f>+IFERROR(PRODUCTOS[[#This Row],[CANT X MODULO]]*702,"")</f>
        <v>490.17150000000004</v>
      </c>
      <c r="Q112" s="3">
        <f>+SUMIFS(DETALLE_GD_1[CANTIDAD SOLICITADA],DETALLE_GD_1[CODIGO],PRODUCTOS[[#This Row],[CODIGO]])</f>
        <v>132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132</v>
      </c>
      <c r="T112" s="3">
        <f>+IFERROR(PRODUCTOS[[#This Row],[CANTIDAD RECIBIDA]]/PRODUCTOS[[#This Row],[CANT X MODULO]],"")</f>
        <v>189.04403866809881</v>
      </c>
      <c r="U112" s="3">
        <f>+SUMIFS(DETALLE_GD_1[VALOR TOTAL POR ITEM GD],DETALLE_GD_1[CODIGO],PRODUCTOS[[#This Row],[CODIGO]])</f>
        <v>5209903</v>
      </c>
      <c r="V112" s="3">
        <f>+IFERROR(PRODUCTOS[[#This Row],[PRECIO DE COMPRA]]/PRODUCTOS[[#This Row],[CANT. COMPRADA]],"")</f>
        <v>39468.96212121212</v>
      </c>
      <c r="W112" s="3">
        <f>+IFERROR(PRODUCTOS[[#This Row],[PRECIO COMPRA UNITARIO]]*PRODUCTOS[[#This Row],[PPTO FALTANTE]],"")</f>
        <v>14191775.772000002</v>
      </c>
      <c r="X112" s="7">
        <f>+IFERROR(PRODUCTOS[[#This Row],[PROYECCION COMPRA]]/PRODUCTOS[[#This Row],[PPTO TOTAL]]-1,"")</f>
        <v>-0.24389164405027974</v>
      </c>
      <c r="Y112" s="3">
        <f>+IFERROR((PRODUCTOS[[#This Row],[CANT X MODULO]]*704)-PRODUCTOS[[#This Row],[CANT. COMPRADA]],"")</f>
        <v>359.56800000000004</v>
      </c>
      <c r="Z112" s="17">
        <f>+IFERROR(PRODUCTOS[[#This Row],[CANT. COMPRADA]]/PRODUCTOS[[#This Row],[PPTO FALTANTE]],"")</f>
        <v>0.36710719530102787</v>
      </c>
      <c r="AA112" s="3">
        <f>+IFERROR(PRODUCTOS[[#This Row],[PROYECCION COMPRA]]-(PRODUCTOS[[#This Row],[PPTO FALTANTE]]*PRODUCTOS[[#This Row],[PPTO]]),"")</f>
        <v>462420.79188014567</v>
      </c>
      <c r="AB112" s="3">
        <f>+_xlfn.XLOOKUP(PRODUCTOS[[#This Row],[CODIGO]],DETALLE_GD_1[CODIGO],DETALLE_GD_1[VALOR PPTO],"",0)</f>
        <v>38182.916700000002</v>
      </c>
      <c r="AC112" s="3">
        <f>+AB112-PRODUCTOS[[#This Row],[PPTO_ACTUALIZADO]]</f>
        <v>3.300000389572233E-5</v>
      </c>
    </row>
    <row r="113" spans="1:29" x14ac:dyDescent="0.25">
      <c r="A113">
        <v>704046</v>
      </c>
      <c r="B113" t="s">
        <v>255</v>
      </c>
      <c r="C113">
        <v>0</v>
      </c>
      <c r="D113" t="s">
        <v>244</v>
      </c>
      <c r="E113" t="s">
        <v>408</v>
      </c>
      <c r="F113" s="2">
        <v>9076.0621969999993</v>
      </c>
      <c r="G113" s="6" t="s">
        <v>47</v>
      </c>
      <c r="H113" s="2">
        <v>9076.0621970000011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0.42</v>
      </c>
      <c r="M113" s="2">
        <f>+IFERROR(PRODUCTOS[[#This Row],[PPTO]]*PRODUCTOS[[#This Row],[CANT X MODULO]],"")</f>
        <v>3811.9461227399997</v>
      </c>
      <c r="N113" s="2">
        <f>+IFERROR(PRODUCTOS[[#This Row],[PPTO X MODULO]]*32,"")</f>
        <v>121982.27592767999</v>
      </c>
      <c r="O113" s="2">
        <f>+IFERROR(PRODUCTOS[[#This Row],[PPTO X TORRE]]*22,"")</f>
        <v>2683610.0704089599</v>
      </c>
      <c r="P113" s="3">
        <f>+IFERROR(PRODUCTOS[[#This Row],[CANT X MODULO]]*702,"")</f>
        <v>294.83999999999997</v>
      </c>
      <c r="Q113" s="3">
        <f>+SUMIFS(DETALLE_GD_1[CANTIDAD SOLICITADA],DETALLE_GD_1[CODIGO],PRODUCTOS[[#This Row],[CODIGO]])</f>
        <v>79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79</v>
      </c>
      <c r="T113" s="3">
        <f>+IFERROR(PRODUCTOS[[#This Row],[CANTIDAD RECIBIDA]]/PRODUCTOS[[#This Row],[CANT X MODULO]],"")</f>
        <v>188.0952380952381</v>
      </c>
      <c r="U113" s="3">
        <f>+SUMIFS(DETALLE_GD_1[VALOR TOTAL POR ITEM GD],DETALLE_GD_1[CODIGO],PRODUCTOS[[#This Row],[CODIGO]])</f>
        <v>715665</v>
      </c>
      <c r="V113" s="3">
        <f>+IFERROR(PRODUCTOS[[#This Row],[PRECIO DE COMPRA]]/PRODUCTOS[[#This Row],[CANT. COMPRADA]],"")</f>
        <v>9059.0506329113923</v>
      </c>
      <c r="W113" s="3">
        <f>+IFERROR(PRODUCTOS[[#This Row],[PRECIO COMPRA UNITARIO]]*PRODUCTOS[[#This Row],[PPTO FALTANTE]],"")</f>
        <v>1962915.0911392407</v>
      </c>
      <c r="X113" s="7">
        <f>+IFERROR(PRODUCTOS[[#This Row],[PROYECCION COMPRA]]/PRODUCTOS[[#This Row],[PPTO TOTAL]]-1,"")</f>
        <v>-0.2685542833575264</v>
      </c>
      <c r="Y113" s="3">
        <f>+IFERROR((PRODUCTOS[[#This Row],[CANT X MODULO]]*704)-PRODUCTOS[[#This Row],[CANT. COMPRADA]],"")</f>
        <v>216.68</v>
      </c>
      <c r="Z113" s="17">
        <f>+IFERROR(PRODUCTOS[[#This Row],[CANT. COMPRADA]]/PRODUCTOS[[#This Row],[PPTO FALTANTE]],"")</f>
        <v>0.36459294812626913</v>
      </c>
      <c r="AA113" s="3">
        <f>+IFERROR(PRODUCTOS[[#This Row],[PROYECCION COMPRA]]-(PRODUCTOS[[#This Row],[PPTO FALTANTE]]*PRODUCTOS[[#This Row],[PPTO]]),"")</f>
        <v>-3686.0657067191787</v>
      </c>
      <c r="AB113" s="3">
        <f>+_xlfn.XLOOKUP(PRODUCTOS[[#This Row],[CODIGO]],DETALLE_GD_1[CODIGO],DETALLE_GD_1[VALOR PPTO],"",0)</f>
        <v>9076.0622000000003</v>
      </c>
      <c r="AC113" s="3">
        <f>+AB113-PRODUCTOS[[#This Row],[PPTO_ACTUALIZADO]]</f>
        <v>2.9999991966178641E-6</v>
      </c>
    </row>
    <row r="114" spans="1:29" x14ac:dyDescent="0.25">
      <c r="A114">
        <v>412301</v>
      </c>
      <c r="B114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3750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3750</v>
      </c>
      <c r="T114" s="3">
        <f>+IFERROR(PRODUCTOS[[#This Row],[CANTIDAD RECIBIDA]]/PRODUCTOS[[#This Row],[CANT X MODULO]],"")</f>
        <v>178.57142857142858</v>
      </c>
      <c r="U114" s="3">
        <f>+SUMIFS(DETALLE_GD_1[VALOR TOTAL POR ITEM GD],DETALLE_GD_1[CODIGO],PRODUCTOS[[#This Row],[CODIGO]])</f>
        <v>1457850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4289577.84</v>
      </c>
      <c r="X114" s="7">
        <f>+IFERROR(PRODUCTOS[[#This Row],[PROYECCION COMPRA]]/PRODUCTOS[[#This Row],[PPTO TOTAL]]-1,"")</f>
        <v>-0.25365215584481327</v>
      </c>
      <c r="Y114" s="3">
        <f>+IFERROR((PRODUCTOS[[#This Row],[CANT X MODULO]]*704)-PRODUCTOS[[#This Row],[CANT. COMPRADA]],"")</f>
        <v>11034</v>
      </c>
      <c r="Z114" s="17">
        <f>+IFERROR(PRODUCTOS[[#This Row],[CANT. COMPRADA]]/PRODUCTOS[[#This Row],[PPTO FALTANTE]],"")</f>
        <v>0.33985861881457313</v>
      </c>
      <c r="AA114" s="3">
        <f>+IFERROR(PRODUCTOS[[#This Row],[PROYECCION COMPRA]]-(PRODUCTOS[[#This Row],[PPTO FALTANTE]]*PRODUCTOS[[#This Row],[PPTO]]),"")</f>
        <v>2.5378200002014637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x14ac:dyDescent="0.25">
      <c r="A115">
        <v>810007</v>
      </c>
      <c r="B115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169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169</v>
      </c>
      <c r="T115" s="3">
        <f>+IFERROR(PRODUCTOS[[#This Row],[CANTIDAD RECIBIDA]]/PRODUCTOS[[#This Row],[CANT X MODULO]],"")</f>
        <v>160.95238095238093</v>
      </c>
      <c r="U115" s="3">
        <f>+SUMIFS(DETALLE_GD_1[VALOR TOTAL POR ITEM GD],DETALLE_GD_1[CODIGO],PRODUCTOS[[#This Row],[CODIGO]])</f>
        <v>566958</v>
      </c>
      <c r="V115" s="3">
        <f>+IFERROR(PRODUCTOS[[#This Row],[PRECIO DE COMPRA]]/PRODUCTOS[[#This Row],[CANT. COMPRADA]],"")</f>
        <v>3354.7810650887573</v>
      </c>
      <c r="W115" s="3">
        <f>+IFERROR(PRODUCTOS[[#This Row],[PRECIO COMPRA UNITARIO]]*PRODUCTOS[[#This Row],[PPTO FALTANTE]],"")</f>
        <v>1912896.1633136095</v>
      </c>
      <c r="X115" s="7">
        <f>+IFERROR(PRODUCTOS[[#This Row],[PROYECCION COMPRA]]/PRODUCTOS[[#This Row],[PPTO TOTAL]]-1,"")</f>
        <v>-0.20976793019593098</v>
      </c>
      <c r="Y115" s="3">
        <f>+IFERROR((PRODUCTOS[[#This Row],[CANT X MODULO]]*704)-PRODUCTOS[[#This Row],[CANT. COMPRADA]],"")</f>
        <v>570.20000000000005</v>
      </c>
      <c r="Z115" s="17">
        <f>+IFERROR(PRODUCTOS[[#This Row],[CANT. COMPRADA]]/PRODUCTOS[[#This Row],[PPTO FALTANTE]],"")</f>
        <v>0.29638723254998245</v>
      </c>
      <c r="AA115" s="3">
        <f>+IFERROR(PRODUCTOS[[#This Row],[PROYECCION COMPRA]]-(PRODUCTOS[[#This Row],[PPTO FALTANTE]]*PRODUCTOS[[#This Row],[PPTO]]),"")</f>
        <v>45648.174726009369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302249</v>
      </c>
      <c r="B116" t="s">
        <v>178</v>
      </c>
      <c r="C116">
        <v>0</v>
      </c>
      <c r="D116" t="s">
        <v>240</v>
      </c>
      <c r="E116" t="s">
        <v>403</v>
      </c>
      <c r="F116" s="2">
        <v>2226.3091479999998</v>
      </c>
      <c r="G116" s="6" t="s">
        <v>20</v>
      </c>
      <c r="H116" s="2">
        <v>2226.3091479999998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6.3000000000000007</v>
      </c>
      <c r="M116" s="2">
        <f>+IFERROR(PRODUCTOS[[#This Row],[PPTO]]*PRODUCTOS[[#This Row],[CANT X MODULO]],"")</f>
        <v>14025.7476324</v>
      </c>
      <c r="N116" s="2">
        <f>+IFERROR(PRODUCTOS[[#This Row],[PPTO X MODULO]]*32,"")</f>
        <v>448823.9242368</v>
      </c>
      <c r="O116" s="2">
        <f>+IFERROR(PRODUCTOS[[#This Row],[PPTO X TORRE]]*22,"")</f>
        <v>9874126.3332096003</v>
      </c>
      <c r="P116" s="3">
        <f>+IFERROR(PRODUCTOS[[#This Row],[CANT X MODULO]]*702,"")</f>
        <v>4422.6000000000004</v>
      </c>
      <c r="Q116" s="3">
        <f>+SUMIFS(DETALLE_GD_1[CANTIDAD SOLICITADA],DETALLE_GD_1[CODIGO],PRODUCTOS[[#This Row],[CODIGO]])</f>
        <v>984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984</v>
      </c>
      <c r="T116" s="3">
        <f>+IFERROR(PRODUCTOS[[#This Row],[CANTIDAD RECIBIDA]]/PRODUCTOS[[#This Row],[CANT X MODULO]],"")</f>
        <v>156.19047619047618</v>
      </c>
      <c r="U116" s="3">
        <f>+SUMIFS(DETALLE_GD_1[VALOR TOTAL POR ITEM GD],DETALLE_GD_1[CODIGO],PRODUCTOS[[#This Row],[CODIGO]])</f>
        <v>2215422</v>
      </c>
      <c r="V116" s="3">
        <f>+IFERROR(PRODUCTOS[[#This Row],[PRECIO DE COMPRA]]/PRODUCTOS[[#This Row],[CANT. COMPRADA]],"")</f>
        <v>2251.4451219512193</v>
      </c>
      <c r="W116" s="3">
        <f>+IFERROR(PRODUCTOS[[#This Row],[PRECIO COMPRA UNITARIO]]*PRODUCTOS[[#This Row],[PPTO FALTANTE]],"")</f>
        <v>7770187.4048780501</v>
      </c>
      <c r="X116" s="7">
        <f>+IFERROR(PRODUCTOS[[#This Row],[PROYECCION COMPRA]]/PRODUCTOS[[#This Row],[PPTO TOTAL]]-1,"")</f>
        <v>-0.21307595804758772</v>
      </c>
      <c r="Y116" s="3">
        <f>+IFERROR((PRODUCTOS[[#This Row],[CANT X MODULO]]*704)-PRODUCTOS[[#This Row],[CANT. COMPRADA]],"")</f>
        <v>3451.2000000000007</v>
      </c>
      <c r="Z116" s="17">
        <f>+IFERROR(PRODUCTOS[[#This Row],[CANT. COMPRADA]]/PRODUCTOS[[#This Row],[PPTO FALTANTE]],"")</f>
        <v>0.28511821974965224</v>
      </c>
      <c r="AA116" s="3">
        <f>+IFERROR(PRODUCTOS[[#This Row],[PROYECCION COMPRA]]-(PRODUCTOS[[#This Row],[PPTO FALTANTE]]*PRODUCTOS[[#This Row],[PPTO]]),"")</f>
        <v>86749.273300449364</v>
      </c>
      <c r="AB116" s="3">
        <f>+_xlfn.XLOOKUP(PRODUCTOS[[#This Row],[CODIGO]],DETALLE_GD_1[CODIGO],DETALLE_GD_1[VALOR PPTO],"",0)</f>
        <v>2226.3090999999999</v>
      </c>
      <c r="AC116" s="3">
        <f>+AB116-PRODUCTOS[[#This Row],[PPTO_ACTUALIZADO]]</f>
        <v>-4.799999987881165E-5</v>
      </c>
    </row>
    <row r="117" spans="1:29" x14ac:dyDescent="0.25">
      <c r="A117">
        <v>701043</v>
      </c>
      <c r="B117" t="s">
        <v>197</v>
      </c>
      <c r="C117" t="s">
        <v>545</v>
      </c>
      <c r="D117" t="s">
        <v>240</v>
      </c>
      <c r="E117" t="s">
        <v>402</v>
      </c>
      <c r="F117" s="2">
        <v>22146.362772</v>
      </c>
      <c r="G117" s="6" t="s">
        <v>18</v>
      </c>
      <c r="H117" s="2">
        <v>22146.362772</v>
      </c>
      <c r="I117" t="b">
        <v>1</v>
      </c>
      <c r="J117" t="str">
        <f>+_xlfn.XLOOKUP(PRODUCTOS[[#This Row],[CODIGO]],P_CRITICOS[CODIGO],P_CRITICOS[DESC CORTA],"",0)</f>
        <v>VOLCANITA EMPAPELADA CIELO</v>
      </c>
      <c r="K117" t="str">
        <f>+IFERROR(IF(VLOOKUP(PRODUCTOS[[#This Row],[CODIGO]],P_CRITICOS[],3,0)="*","PRODUCTO CRITICO","NO CRITICO"),"NO CRITICO")</f>
        <v>PRODUCTO CRITICO</v>
      </c>
      <c r="L117" s="15">
        <f>+_xlfn.XLOOKUP(PRODUCTOS[[#This Row],[CODIGO]],BD_MODULO[Artículo],BD_MODULO[CUB_ACTUALIZADA],"",0)</f>
        <v>7.0875000000000012</v>
      </c>
      <c r="M117" s="2">
        <f>+IFERROR(PRODUCTOS[[#This Row],[PPTO]]*PRODUCTOS[[#This Row],[CANT X MODULO]],"")</f>
        <v>156962.34614655003</v>
      </c>
      <c r="N117" s="2">
        <f>+IFERROR(PRODUCTOS[[#This Row],[PPTO X MODULO]]*32,"")</f>
        <v>5022795.0766896009</v>
      </c>
      <c r="O117" s="2">
        <f>+IFERROR(PRODUCTOS[[#This Row],[PPTO X TORRE]]*22,"")</f>
        <v>110501491.68717122</v>
      </c>
      <c r="P117" s="3">
        <f>+IFERROR(PRODUCTOS[[#This Row],[CANT X MODULO]]*702,"")</f>
        <v>4975.4250000000011</v>
      </c>
      <c r="Q117" s="3">
        <f>+SUMIFS(DETALLE_GD_1[CANTIDAD SOLICITADA],DETALLE_GD_1[CODIGO],PRODUCTOS[[#This Row],[CODIGO]])</f>
        <v>1076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1076</v>
      </c>
      <c r="T117" s="3">
        <f>+IFERROR(PRODUCTOS[[#This Row],[CANTIDAD RECIBIDA]]/PRODUCTOS[[#This Row],[CANT X MODULO]],"")</f>
        <v>151.81657848324511</v>
      </c>
      <c r="U117" s="3">
        <f>+SUMIFS(DETALLE_GD_1[VALOR TOTAL POR ITEM GD],DETALLE_GD_1[CODIGO],PRODUCTOS[[#This Row],[CODIGO]])</f>
        <v>24250403</v>
      </c>
      <c r="V117" s="3">
        <f>+IFERROR(PRODUCTOS[[#This Row],[PRECIO DE COMPRA]]/PRODUCTOS[[#This Row],[CANT. COMPRADA]],"")</f>
        <v>22537.549256505576</v>
      </c>
      <c r="W117" s="3">
        <f>+IFERROR(PRODUCTOS[[#This Row],[PRECIO COMPRA UNITARIO]]*PRODUCTOS[[#This Row],[PPTO FALTANTE]],"")</f>
        <v>88202952.770260245</v>
      </c>
      <c r="X117" s="7">
        <f>+IFERROR(PRODUCTOS[[#This Row],[PROYECCION COMPRA]]/PRODUCTOS[[#This Row],[PPTO TOTAL]]-1,"")</f>
        <v>-0.2017940081753643</v>
      </c>
      <c r="Y117" s="3">
        <f>+IFERROR((PRODUCTOS[[#This Row],[CANT X MODULO]]*704)-PRODUCTOS[[#This Row],[CANT. COMPRADA]],"")</f>
        <v>3913.6000000000013</v>
      </c>
      <c r="Z117" s="17">
        <f>+IFERROR(PRODUCTOS[[#This Row],[CANT. COMPRADA]]/PRODUCTOS[[#This Row],[PPTO FALTANTE]],"")</f>
        <v>0.27493867538838912</v>
      </c>
      <c r="AA117" s="3">
        <f>+IFERROR(PRODUCTOS[[#This Row],[PROYECCION COMPRA]]-(PRODUCTOS[[#This Row],[PPTO FALTANTE]]*PRODUCTOS[[#This Row],[PPTO]]),"")</f>
        <v>1530947.4257610142</v>
      </c>
      <c r="AB117" s="3">
        <f>+_xlfn.XLOOKUP(PRODUCTOS[[#This Row],[CODIGO]],DETALLE_GD_1[CODIGO],DETALLE_GD_1[VALOR PPTO],"",0)</f>
        <v>22146.362799999999</v>
      </c>
      <c r="AC117" s="3">
        <f>+AB117-PRODUCTOS[[#This Row],[PPTO_ACTUALIZADO]]</f>
        <v>2.7999998565064743E-5</v>
      </c>
    </row>
    <row r="118" spans="1:29" x14ac:dyDescent="0.25">
      <c r="A118">
        <v>304002</v>
      </c>
      <c r="B118" t="s">
        <v>37</v>
      </c>
      <c r="C118" t="s">
        <v>542</v>
      </c>
      <c r="D118" t="s">
        <v>240</v>
      </c>
      <c r="E118" t="s">
        <v>402</v>
      </c>
      <c r="F118" s="2">
        <v>21246.507152999999</v>
      </c>
      <c r="G118" s="6" t="s">
        <v>18</v>
      </c>
      <c r="H118" s="2">
        <v>21246.507152999999</v>
      </c>
      <c r="I118" t="b">
        <v>1</v>
      </c>
      <c r="J118" t="str">
        <f>+_xlfn.XLOOKUP(PRODUCTOS[[#This Row],[CODIGO]],P_CRITICOS[CODIGO],P_CRITICOS[DESC CORTA],"",0)</f>
        <v>SMARTPANEL</v>
      </c>
      <c r="K118" t="str">
        <f>+IFERROR(IF(VLOOKUP(PRODUCTOS[[#This Row],[CODIGO]],P_CRITICOS[],3,0)="*","PRODUCTO CRITICO","NO CRITICO"),"NO CRITICO")</f>
        <v>PRODUCTO CRITICO</v>
      </c>
      <c r="L118" s="15">
        <f>+_xlfn.XLOOKUP(PRODUCTOS[[#This Row],[CODIGO]],BD_MODULO[Artículo],BD_MODULO[CUB_ACTUALIZADA],"",0)</f>
        <v>23.296874999999996</v>
      </c>
      <c r="M118" s="2">
        <f>+IFERROR(PRODUCTOS[[#This Row],[PPTO]]*PRODUCTOS[[#This Row],[CANT X MODULO]],"")</f>
        <v>494977.22133004677</v>
      </c>
      <c r="N118" s="2">
        <f>+IFERROR(PRODUCTOS[[#This Row],[PPTO X MODULO]]*32,"")</f>
        <v>15839271.082561497</v>
      </c>
      <c r="O118" s="2">
        <f>+IFERROR(PRODUCTOS[[#This Row],[PPTO X TORRE]]*22,"")</f>
        <v>348463963.8163529</v>
      </c>
      <c r="P118" s="3">
        <f>+IFERROR(PRODUCTOS[[#This Row],[CANT X MODULO]]*702,"")</f>
        <v>16354.406249999998</v>
      </c>
      <c r="Q118" s="3">
        <f>+SUMIFS(DETALLE_GD_1[CANTIDAD SOLICITADA],DETALLE_GD_1[CODIGO],PRODUCTOS[[#This Row],[CODIGO]])</f>
        <v>3503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3503</v>
      </c>
      <c r="T118" s="3">
        <f>+IFERROR(PRODUCTOS[[#This Row],[CANTIDAD RECIBIDA]]/PRODUCTOS[[#This Row],[CANT X MODULO]],"")</f>
        <v>150.36351441985246</v>
      </c>
      <c r="U118" s="3">
        <f>+SUMIFS(DETALLE_GD_1[VALOR TOTAL POR ITEM GD],DETALLE_GD_1[CODIGO],PRODUCTOS[[#This Row],[CODIGO]])</f>
        <v>75681896</v>
      </c>
      <c r="V118" s="3">
        <f>+IFERROR(PRODUCTOS[[#This Row],[PRECIO DE COMPRA]]/PRODUCTOS[[#This Row],[CANT. COMPRADA]],"")</f>
        <v>21604.880388238653</v>
      </c>
      <c r="W118" s="3">
        <f>+IFERROR(PRODUCTOS[[#This Row],[PRECIO COMPRA UNITARIO]]*PRODUCTOS[[#This Row],[PPTO FALTANTE]],"")</f>
        <v>278659747.24750209</v>
      </c>
      <c r="X118" s="7">
        <f>+IFERROR(PRODUCTOS[[#This Row],[PROYECCION COMPRA]]/PRODUCTOS[[#This Row],[PPTO TOTAL]]-1,"")</f>
        <v>-0.20031975703989569</v>
      </c>
      <c r="Y118" s="3">
        <f>+IFERROR((PRODUCTOS[[#This Row],[CANT X MODULO]]*704)-PRODUCTOS[[#This Row],[CANT. COMPRADA]],"")</f>
        <v>12897.999999999996</v>
      </c>
      <c r="Z118" s="17">
        <f>+IFERROR(PRODUCTOS[[#This Row],[CANT. COMPRADA]]/PRODUCTOS[[#This Row],[PPTO FALTANTE]],"")</f>
        <v>0.27159249496045906</v>
      </c>
      <c r="AA118" s="3">
        <f>+IFERROR(PRODUCTOS[[#This Row],[PROYECCION COMPRA]]-(PRODUCTOS[[#This Row],[PPTO FALTANTE]]*PRODUCTOS[[#This Row],[PPTO]]),"")</f>
        <v>4622297.9881081581</v>
      </c>
      <c r="AB118" s="3">
        <f>+_xlfn.XLOOKUP(PRODUCTOS[[#This Row],[CODIGO]],DETALLE_GD_1[CODIGO],DETALLE_GD_1[VALOR PPTO],"",0)</f>
        <v>21246.5072</v>
      </c>
      <c r="AC118" s="3">
        <f>+AB118-PRODUCTOS[[#This Row],[PPTO_ACTUALIZADO]]</f>
        <v>4.7000001359265298E-5</v>
      </c>
    </row>
    <row r="119" spans="1:29" x14ac:dyDescent="0.25">
      <c r="A119">
        <v>407185</v>
      </c>
      <c r="B119" t="s">
        <v>43</v>
      </c>
      <c r="C119">
        <v>0</v>
      </c>
      <c r="D119" t="s">
        <v>240</v>
      </c>
      <c r="E119" t="s">
        <v>399</v>
      </c>
      <c r="F119" s="2">
        <v>6.8783200000000004</v>
      </c>
      <c r="G119" s="6" t="s">
        <v>31</v>
      </c>
      <c r="H119" s="2">
        <v>6.8783200000000004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966</v>
      </c>
      <c r="M119" s="2">
        <f>+IFERROR(PRODUCTOS[[#This Row],[PPTO]]*PRODUCTOS[[#This Row],[CANT X MODULO]],"")</f>
        <v>6644.45712</v>
      </c>
      <c r="N119" s="2">
        <f>+IFERROR(PRODUCTOS[[#This Row],[PPTO X MODULO]]*32,"")</f>
        <v>212622.62784</v>
      </c>
      <c r="O119" s="2">
        <f>+IFERROR(PRODUCTOS[[#This Row],[PPTO X TORRE]]*22,"")</f>
        <v>4677697.8124799998</v>
      </c>
      <c r="P119" s="3">
        <f>+IFERROR(PRODUCTOS[[#This Row],[CANT X MODULO]]*702,"")</f>
        <v>678132</v>
      </c>
      <c r="Q119" s="3">
        <f>+SUMIFS(DETALLE_GD_1[CANTIDAD SOLICITADA],DETALLE_GD_1[CODIGO],PRODUCTOS[[#This Row],[CODIGO]])</f>
        <v>144982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144982</v>
      </c>
      <c r="T119" s="3">
        <f>+IFERROR(PRODUCTOS[[#This Row],[CANTIDAD RECIBIDA]]/PRODUCTOS[[#This Row],[CANT X MODULO]],"")</f>
        <v>150.08488612836439</v>
      </c>
      <c r="U119" s="3">
        <f>+SUMIFS(DETALLE_GD_1[VALOR TOTAL POR ITEM GD],DETALLE_GD_1[CODIGO],PRODUCTOS[[#This Row],[CODIGO]])</f>
        <v>940909</v>
      </c>
      <c r="V119" s="3">
        <f>+IFERROR(PRODUCTOS[[#This Row],[PRECIO DE COMPRA]]/PRODUCTOS[[#This Row],[CANT. COMPRADA]],"")</f>
        <v>6.4898332206756697</v>
      </c>
      <c r="W119" s="3">
        <f>+IFERROR(PRODUCTOS[[#This Row],[PRECIO COMPRA UNITARIO]]*PRODUCTOS[[#This Row],[PPTO FALTANTE]],"")</f>
        <v>3472592.9393855785</v>
      </c>
      <c r="X119" s="7">
        <f>+IFERROR(PRODUCTOS[[#This Row],[PROYECCION COMPRA]]/PRODUCTOS[[#This Row],[PPTO TOTAL]]-1,"")</f>
        <v>-0.25762777361958411</v>
      </c>
      <c r="Y119" s="3">
        <f>+IFERROR((PRODUCTOS[[#This Row],[CANT X MODULO]]*704)-PRODUCTOS[[#This Row],[CANT. COMPRADA]],"")</f>
        <v>535082</v>
      </c>
      <c r="Z119" s="17">
        <f>+IFERROR(PRODUCTOS[[#This Row],[CANT. COMPRADA]]/PRODUCTOS[[#This Row],[PPTO FALTANTE]],"")</f>
        <v>0.27095286329945689</v>
      </c>
      <c r="AA119" s="3">
        <f>+IFERROR(PRODUCTOS[[#This Row],[PROYECCION COMPRA]]-(PRODUCTOS[[#This Row],[PPTO FALTANTE]]*PRODUCTOS[[#This Row],[PPTO]]),"")</f>
        <v>-207872.28285442153</v>
      </c>
      <c r="AB119" s="3">
        <f>+_xlfn.XLOOKUP(PRODUCTOS[[#This Row],[CODIGO]],DETALLE_GD_1[CODIGO],DETALLE_GD_1[VALOR PPTO],"",0)</f>
        <v>6.8783000000000003</v>
      </c>
      <c r="AC119" s="3">
        <f>+AB119-PRODUCTOS[[#This Row],[PPTO_ACTUALIZADO]]</f>
        <v>-2.0000000000131024E-5</v>
      </c>
    </row>
    <row r="120" spans="1:29" x14ac:dyDescent="0.25">
      <c r="A120">
        <v>1405006</v>
      </c>
      <c r="B120" t="s">
        <v>199</v>
      </c>
      <c r="C120">
        <v>0</v>
      </c>
      <c r="D120" t="s">
        <v>244</v>
      </c>
      <c r="E120" t="s">
        <v>409</v>
      </c>
      <c r="F120" s="2">
        <v>35.19746</v>
      </c>
      <c r="G120" s="6" t="s">
        <v>31</v>
      </c>
      <c r="H120" s="2">
        <v>35.197460000000007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30.450000000000003</v>
      </c>
      <c r="M120" s="2">
        <f>+IFERROR(PRODUCTOS[[#This Row],[PPTO]]*PRODUCTOS[[#This Row],[CANT X MODULO]],"")</f>
        <v>1071.762657</v>
      </c>
      <c r="N120" s="2">
        <f>+IFERROR(PRODUCTOS[[#This Row],[PPTO X MODULO]]*32,"")</f>
        <v>34296.405024</v>
      </c>
      <c r="O120" s="2">
        <f>+IFERROR(PRODUCTOS[[#This Row],[PPTO X TORRE]]*22,"")</f>
        <v>754520.91052799998</v>
      </c>
      <c r="P120" s="3">
        <f>+IFERROR(PRODUCTOS[[#This Row],[CANT X MODULO]]*702,"")</f>
        <v>21375.9</v>
      </c>
      <c r="Q120" s="3">
        <f>+SUMIFS(DETALLE_GD_1[CANTIDAD SOLICITADA],DETALLE_GD_1[CODIGO],PRODUCTOS[[#This Row],[CODIGO]])</f>
        <v>4550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4550</v>
      </c>
      <c r="T120" s="3">
        <f>+IFERROR(PRODUCTOS[[#This Row],[CANTIDAD RECIBIDA]]/PRODUCTOS[[#This Row],[CANT X MODULO]],"")</f>
        <v>149.42528735632183</v>
      </c>
      <c r="U120" s="3">
        <f>+SUMIFS(DETALLE_GD_1[VALOR TOTAL POR ITEM GD],DETALLE_GD_1[CODIGO],PRODUCTOS[[#This Row],[CODIGO]])</f>
        <v>160365</v>
      </c>
      <c r="V120" s="3">
        <f>+IFERROR(PRODUCTOS[[#This Row],[PRECIO DE COMPRA]]/PRODUCTOS[[#This Row],[CANT. COMPRADA]],"")</f>
        <v>35.245054945054946</v>
      </c>
      <c r="W120" s="3">
        <f>+IFERROR(PRODUCTOS[[#This Row],[PRECIO COMPRA UNITARIO]]*PRODUCTOS[[#This Row],[PPTO FALTANTE]],"")</f>
        <v>595176.19384615391</v>
      </c>
      <c r="X120" s="7">
        <f>+IFERROR(PRODUCTOS[[#This Row],[PROYECCION COMPRA]]/PRODUCTOS[[#This Row],[PPTO TOTAL]]-1,"")</f>
        <v>-0.21118661452383014</v>
      </c>
      <c r="Y120" s="3">
        <f>+IFERROR((PRODUCTOS[[#This Row],[CANT X MODULO]]*704)-PRODUCTOS[[#This Row],[CANT. COMPRADA]],"")</f>
        <v>16886.800000000003</v>
      </c>
      <c r="Z120" s="17">
        <f>+IFERROR(PRODUCTOS[[#This Row],[CANT. COMPRADA]]/PRODUCTOS[[#This Row],[PPTO FALTANTE]],"")</f>
        <v>0.26944122036146573</v>
      </c>
      <c r="AA120" s="3">
        <f>+IFERROR(PRODUCTOS[[#This Row],[PROYECCION COMPRA]]-(PRODUCTOS[[#This Row],[PPTO FALTANTE]]*PRODUCTOS[[#This Row],[PPTO]]),"")</f>
        <v>803.72631815378554</v>
      </c>
      <c r="AB120" s="3">
        <f>+_xlfn.XLOOKUP(PRODUCTOS[[#This Row],[CODIGO]],DETALLE_GD_1[CODIGO],DETALLE_GD_1[VALOR PPTO],"",0)</f>
        <v>35.197499999999998</v>
      </c>
      <c r="AC120" s="3">
        <f>+AB120-PRODUCTOS[[#This Row],[PPTO_ACTUALIZADO]]</f>
        <v>3.9999999991380264E-5</v>
      </c>
    </row>
    <row r="121" spans="1:29" x14ac:dyDescent="0.25">
      <c r="A121">
        <v>304007</v>
      </c>
      <c r="B121" t="s">
        <v>80</v>
      </c>
      <c r="C121" t="s">
        <v>538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1288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1288</v>
      </c>
      <c r="T121" s="3">
        <f>+IFERROR(PRODUCTOS[[#This Row],[CANTIDAD RECIBIDA]]/PRODUCTOS[[#This Row],[CANT X MODULO]],"")</f>
        <v>148.68686868686865</v>
      </c>
      <c r="U121" s="3">
        <f>+SUMIFS(DETALLE_GD_1[VALOR TOTAL POR ITEM GD],DETALLE_GD_1[CODIGO],PRODUCTOS[[#This Row],[CODIGO]])</f>
        <v>14808508</v>
      </c>
      <c r="V121" s="3">
        <f>+IFERROR(PRODUCTOS[[#This Row],[PRECIO DE COMPRA]]/PRODUCTOS[[#This Row],[CANT. COMPRADA]],"")</f>
        <v>11497.288819875776</v>
      </c>
      <c r="W121" s="3">
        <f>+IFERROR(PRODUCTOS[[#This Row],[PRECIO COMPRA UNITARIO]]*PRODUCTOS[[#This Row],[PPTO FALTANTE]],"")</f>
        <v>55306558.139130451</v>
      </c>
      <c r="X121" s="7">
        <f>+IFERROR(PRODUCTOS[[#This Row],[PROYECCION COMPRA]]/PRODUCTOS[[#This Row],[PPTO TOTAL]]-1,"")</f>
        <v>-0.20755436159817942</v>
      </c>
      <c r="Y121" s="3">
        <f>+IFERROR((PRODUCTOS[[#This Row],[CANT X MODULO]]*704)-PRODUCTOS[[#This Row],[CANT. COMPRADA]],"")</f>
        <v>4810.4000000000015</v>
      </c>
      <c r="Z121" s="17">
        <f>+IFERROR(PRODUCTOS[[#This Row],[CANT. COMPRADA]]/PRODUCTOS[[#This Row],[PPTO FALTANTE]],"")</f>
        <v>0.26775320139697312</v>
      </c>
      <c r="AA121" s="3">
        <f>+IFERROR(PRODUCTOS[[#This Row],[PROYECCION COMPRA]]-(PRODUCTOS[[#This Row],[PPTO FALTANTE]]*PRODUCTOS[[#This Row],[PPTO]]),"")</f>
        <v>254642.36210163683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617057</v>
      </c>
      <c r="B122" t="s">
        <v>134</v>
      </c>
      <c r="C122" t="s">
        <v>626</v>
      </c>
      <c r="D122">
        <v>0</v>
      </c>
      <c r="E122">
        <v>0</v>
      </c>
      <c r="F122" s="2">
        <v>2042.119706</v>
      </c>
      <c r="G122" s="6" t="s">
        <v>31</v>
      </c>
      <c r="H122" s="2">
        <v>0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1.575</v>
      </c>
      <c r="M122" s="2">
        <f>+IFERROR(PRODUCTOS[[#This Row],[PPTO]]*PRODUCTOS[[#This Row],[CANT X MODULO]],"")</f>
        <v>3216.3385369499997</v>
      </c>
      <c r="N122" s="2">
        <f>+IFERROR(PRODUCTOS[[#This Row],[PPTO X MODULO]]*32,"")</f>
        <v>102922.83318239999</v>
      </c>
      <c r="O122" s="2">
        <f>+IFERROR(PRODUCTOS[[#This Row],[PPTO X TORRE]]*22,"")</f>
        <v>2264302.3300127997</v>
      </c>
      <c r="P122" s="3">
        <f>+IFERROR(PRODUCTOS[[#This Row],[CANT X MODULO]]*702,"")</f>
        <v>1105.6499999999999</v>
      </c>
      <c r="Q122" s="3">
        <f>+SUMIFS(DETALLE_GD_1[CANTIDAD SOLICITADA],DETALLE_GD_1[CODIGO],PRODUCTOS[[#This Row],[CODIGO]])</f>
        <v>231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231</v>
      </c>
      <c r="T122" s="3">
        <f>+IFERROR(PRODUCTOS[[#This Row],[CANTIDAD RECIBIDA]]/PRODUCTOS[[#This Row],[CANT X MODULO]],"")</f>
        <v>146.66666666666666</v>
      </c>
      <c r="U122" s="3">
        <f>+SUMIFS(DETALLE_GD_1[VALOR TOTAL POR ITEM GD],DETALLE_GD_1[CODIGO],PRODUCTOS[[#This Row],[CODIGO]])</f>
        <v>424129</v>
      </c>
      <c r="V122" s="3">
        <f>+IFERROR(PRODUCTOS[[#This Row],[PRECIO DE COMPRA]]/PRODUCTOS[[#This Row],[CANT. COMPRADA]],"")</f>
        <v>1836.0562770562772</v>
      </c>
      <c r="W122" s="3">
        <f>+IFERROR(PRODUCTOS[[#This Row],[PRECIO COMPRA UNITARIO]]*PRODUCTOS[[#This Row],[PPTO FALTANTE]],"")</f>
        <v>1611690.2</v>
      </c>
      <c r="X122" s="7">
        <f>+IFERROR(PRODUCTOS[[#This Row],[PROYECCION COMPRA]]/PRODUCTOS[[#This Row],[PPTO TOTAL]]-1,"")</f>
        <v>-0.28821775315185527</v>
      </c>
      <c r="Y122" s="3">
        <f>+IFERROR((PRODUCTOS[[#This Row],[CANT X MODULO]]*704)-PRODUCTOS[[#This Row],[CANT. COMPRADA]],"")</f>
        <v>877.8</v>
      </c>
      <c r="Z122" s="17">
        <f>+IFERROR(PRODUCTOS[[#This Row],[CANT. COMPRADA]]/PRODUCTOS[[#This Row],[PPTO FALTANTE]],"")</f>
        <v>0.26315789473684215</v>
      </c>
      <c r="AA122" s="3">
        <f>+IFERROR(PRODUCTOS[[#This Row],[PROYECCION COMPRA]]-(PRODUCTOS[[#This Row],[PPTO FALTANTE]]*PRODUCTOS[[#This Row],[PPTO]]),"")</f>
        <v>-180882.47792679979</v>
      </c>
      <c r="AB122" s="3">
        <f>+_xlfn.XLOOKUP(PRODUCTOS[[#This Row],[CODIGO]],DETALLE_GD_1[CODIGO],DETALLE_GD_1[VALOR PPTO],"",0)</f>
        <v>2042.1197</v>
      </c>
      <c r="AC122" s="3">
        <f>+AB122-PRODUCTOS[[#This Row],[PPTO_ACTUALIZADO]]</f>
        <v>2042.1197</v>
      </c>
    </row>
    <row r="123" spans="1:29" x14ac:dyDescent="0.25">
      <c r="A123" t="s">
        <v>21</v>
      </c>
      <c r="B123" t="s">
        <v>22</v>
      </c>
      <c r="C123" t="s">
        <v>525</v>
      </c>
      <c r="D123" t="s">
        <v>240</v>
      </c>
      <c r="E123" t="s">
        <v>403</v>
      </c>
      <c r="F123" s="2">
        <v>15359.702784999999</v>
      </c>
      <c r="G123" s="6" t="s">
        <v>20</v>
      </c>
      <c r="H123" s="2">
        <v>15359.702785000003</v>
      </c>
      <c r="I123" t="b">
        <v>1</v>
      </c>
      <c r="J123" t="str">
        <f>+_xlfn.XLOOKUP(PRODUCTOS[[#This Row],[CODIGO]],P_CRITICOS[CODIGO],P_CRITICOS[DESC CORTA],"",0)</f>
        <v>PINO 3X8X320</v>
      </c>
      <c r="K123" t="str">
        <f>+IFERROR(IF(VLOOKUP(PRODUCTOS[[#This Row],[CODIGO]],P_CRITICOS[],3,0)="*","PRODUCTO CRITICO","NO CRITICO"),"NO CRITICO")</f>
        <v>PRODUCTO CRITICO</v>
      </c>
      <c r="L123" s="15">
        <f>+_xlfn.XLOOKUP(PRODUCTOS[[#This Row],[CODIGO]],BD_MODULO[Artículo],BD_MODULO[CUB_ACTUALIZADA],"",0)</f>
        <v>6.3000000000000007</v>
      </c>
      <c r="M123" s="2">
        <f>+IFERROR(PRODUCTOS[[#This Row],[PPTO]]*PRODUCTOS[[#This Row],[CANT X MODULO]],"")</f>
        <v>96766.127545500014</v>
      </c>
      <c r="N123" s="2">
        <f>+IFERROR(PRODUCTOS[[#This Row],[PPTO X MODULO]]*32,"")</f>
        <v>3096516.0814560005</v>
      </c>
      <c r="O123" s="2">
        <f>+IFERROR(PRODUCTOS[[#This Row],[PPTO X TORRE]]*22,"")</f>
        <v>68123353.792032003</v>
      </c>
      <c r="P123" s="3">
        <f>+IFERROR(PRODUCTOS[[#This Row],[CANT X MODULO]]*702,"")</f>
        <v>4422.6000000000004</v>
      </c>
      <c r="Q123" s="3">
        <f>+SUMIFS(DETALLE_GD_1[CANTIDAD SOLICITADA],DETALLE_GD_1[CODIGO],PRODUCTOS[[#This Row],[CODIGO]])</f>
        <v>888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888</v>
      </c>
      <c r="T123" s="3">
        <f>+IFERROR(PRODUCTOS[[#This Row],[CANTIDAD RECIBIDA]]/PRODUCTOS[[#This Row],[CANT X MODULO]],"")</f>
        <v>140.95238095238093</v>
      </c>
      <c r="U123" s="3">
        <f>+SUMIFS(DETALLE_GD_1[VALOR TOTAL POR ITEM GD],DETALLE_GD_1[CODIGO],PRODUCTOS[[#This Row],[CODIGO]])</f>
        <v>13713845</v>
      </c>
      <c r="V123" s="3">
        <f>+IFERROR(PRODUCTOS[[#This Row],[PRECIO DE COMPRA]]/PRODUCTOS[[#This Row],[CANT. COMPRADA]],"")</f>
        <v>15443.519144144144</v>
      </c>
      <c r="W123" s="3">
        <f>+IFERROR(PRODUCTOS[[#This Row],[PRECIO COMPRA UNITARIO]]*PRODUCTOS[[#This Row],[PPTO FALTANTE]],"")</f>
        <v>54781251.108108118</v>
      </c>
      <c r="X123" s="7">
        <f>+IFERROR(PRODUCTOS[[#This Row],[PROYECCION COMPRA]]/PRODUCTOS[[#This Row],[PPTO TOTAL]]-1,"")</f>
        <v>-0.19585211151897863</v>
      </c>
      <c r="Y123" s="3">
        <f>+IFERROR((PRODUCTOS[[#This Row],[CANT X MODULO]]*704)-PRODUCTOS[[#This Row],[CANT. COMPRADA]],"")</f>
        <v>3547.2000000000007</v>
      </c>
      <c r="Z123" s="17">
        <f>+IFERROR(PRODUCTOS[[#This Row],[CANT. COMPRADA]]/PRODUCTOS[[#This Row],[PPTO FALTANTE]],"")</f>
        <v>0.25033829499323407</v>
      </c>
      <c r="AA123" s="3">
        <f>+IFERROR(PRODUCTOS[[#This Row],[PROYECCION COMPRA]]-(PRODUCTOS[[#This Row],[PPTO FALTANTE]]*PRODUCTOS[[#This Row],[PPTO]]),"")</f>
        <v>297313.38915611058</v>
      </c>
      <c r="AB123" s="3">
        <f>+_xlfn.XLOOKUP(PRODUCTOS[[#This Row],[CODIGO]],DETALLE_GD_1[CODIGO],DETALLE_GD_1[VALOR PPTO],"",0)</f>
        <v>15359.702799999999</v>
      </c>
      <c r="AC123" s="3">
        <f>+AB123-PRODUCTOS[[#This Row],[PPTO_ACTUALIZADO]]</f>
        <v>1.499999598308932E-5</v>
      </c>
    </row>
    <row r="124" spans="1:29" x14ac:dyDescent="0.25">
      <c r="A124">
        <v>302046</v>
      </c>
      <c r="B124" t="s">
        <v>115</v>
      </c>
      <c r="C124" t="s">
        <v>544</v>
      </c>
      <c r="D124" t="s">
        <v>240</v>
      </c>
      <c r="E124" t="s">
        <v>403</v>
      </c>
      <c r="F124" s="2">
        <v>10156.598467</v>
      </c>
      <c r="G124" s="6" t="s">
        <v>20</v>
      </c>
      <c r="H124" s="2">
        <v>10156.598467000002</v>
      </c>
      <c r="I124" t="b">
        <v>1</v>
      </c>
      <c r="J124" t="str">
        <f>+_xlfn.XLOOKUP(PRODUCTOS[[#This Row],[CODIGO]],P_CRITICOS[CODIGO],P_CRITICOS[DESC CORTA],"",0)</f>
        <v>PINO 2X6X400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34.65</v>
      </c>
      <c r="M124" s="2">
        <f>+IFERROR(PRODUCTOS[[#This Row],[PPTO]]*PRODUCTOS[[#This Row],[CANT X MODULO]],"")</f>
        <v>351926.13688154996</v>
      </c>
      <c r="N124" s="2">
        <f>+IFERROR(PRODUCTOS[[#This Row],[PPTO X MODULO]]*32,"")</f>
        <v>11261636.380209599</v>
      </c>
      <c r="O124" s="2">
        <f>+IFERROR(PRODUCTOS[[#This Row],[PPTO X TORRE]]*22,"")</f>
        <v>247756000.36461118</v>
      </c>
      <c r="P124" s="3">
        <f>+IFERROR(PRODUCTOS[[#This Row],[CANT X MODULO]]*702,"")</f>
        <v>24324.3</v>
      </c>
      <c r="Q124" s="3">
        <f>+SUMIFS(DETALLE_GD_1[CANTIDAD SOLICITADA],DETALLE_GD_1[CODIGO],PRODUCTOS[[#This Row],[CODIGO]])</f>
        <v>4837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4837</v>
      </c>
      <c r="T124" s="3">
        <f>+IFERROR(PRODUCTOS[[#This Row],[CANTIDAD RECIBIDA]]/PRODUCTOS[[#This Row],[CANT X MODULO]],"")</f>
        <v>139.59595959595961</v>
      </c>
      <c r="U124" s="3">
        <f>+SUMIFS(DETALLE_GD_1[VALOR TOTAL POR ITEM GD],DETALLE_GD_1[CODIGO],PRODUCTOS[[#This Row],[CODIGO]])</f>
        <v>49768122</v>
      </c>
      <c r="V124" s="3">
        <f>+IFERROR(PRODUCTOS[[#This Row],[PRECIO DE COMPRA]]/PRODUCTOS[[#This Row],[CANT. COMPRADA]],"")</f>
        <v>10289.047343394666</v>
      </c>
      <c r="W124" s="3">
        <f>+IFERROR(PRODUCTOS[[#This Row],[PRECIO COMPRA UNITARIO]]*PRODUCTOS[[#This Row],[PPTO FALTANTE]],"")</f>
        <v>201218783.27583212</v>
      </c>
      <c r="X124" s="7">
        <f>+IFERROR(PRODUCTOS[[#This Row],[PROYECCION COMPRA]]/PRODUCTOS[[#This Row],[PPTO TOTAL]]-1,"")</f>
        <v>-0.18783487390938003</v>
      </c>
      <c r="Y124" s="3">
        <f>+IFERROR((PRODUCTOS[[#This Row],[CANT X MODULO]]*704)-PRODUCTOS[[#This Row],[CANT. COMPRADA]],"")</f>
        <v>19556.599999999999</v>
      </c>
      <c r="Z124" s="17">
        <f>+IFERROR(PRODUCTOS[[#This Row],[CANT. COMPRADA]]/PRODUCTOS[[#This Row],[PPTO FALTANTE]],"")</f>
        <v>0.24733338105805713</v>
      </c>
      <c r="AA124" s="3">
        <f>+IFERROR(PRODUCTOS[[#This Row],[PROYECCION COMPRA]]-(PRODUCTOS[[#This Row],[PPTO FALTANTE]]*PRODUCTOS[[#This Row],[PPTO]]),"")</f>
        <v>2590249.696099937</v>
      </c>
      <c r="AB124" s="3">
        <f>+_xlfn.XLOOKUP(PRODUCTOS[[#This Row],[CODIGO]],DETALLE_GD_1[CODIGO],DETALLE_GD_1[VALOR PPTO],"",0)</f>
        <v>10156.5985</v>
      </c>
      <c r="AC124" s="3">
        <f>+AB124-PRODUCTOS[[#This Row],[PPTO_ACTUALIZADO]]</f>
        <v>3.2999998438754119E-5</v>
      </c>
    </row>
    <row r="125" spans="1:29" x14ac:dyDescent="0.25">
      <c r="A125">
        <v>410046</v>
      </c>
      <c r="B125" t="s">
        <v>361</v>
      </c>
      <c r="C125">
        <v>0</v>
      </c>
      <c r="D125" t="s">
        <v>355</v>
      </c>
      <c r="E125" t="s">
        <v>355</v>
      </c>
      <c r="F125" s="2">
        <v>746</v>
      </c>
      <c r="G125" s="6" t="s">
        <v>31</v>
      </c>
      <c r="H125" s="2">
        <v>0</v>
      </c>
      <c r="I125" t="b">
        <v>0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8.4</v>
      </c>
      <c r="M125" s="2">
        <f>+IFERROR(PRODUCTOS[[#This Row],[PPTO]]*PRODUCTOS[[#This Row],[CANT X MODULO]],"")</f>
        <v>6266.4000000000005</v>
      </c>
      <c r="N125" s="2">
        <f>+IFERROR(PRODUCTOS[[#This Row],[PPTO X MODULO]]*32,"")</f>
        <v>200524.80000000002</v>
      </c>
      <c r="O125" s="2">
        <f>+IFERROR(PRODUCTOS[[#This Row],[PPTO X TORRE]]*22,"")</f>
        <v>4411545.6000000006</v>
      </c>
      <c r="P125" s="3">
        <f>+IFERROR(PRODUCTOS[[#This Row],[CANT X MODULO]]*702,"")</f>
        <v>5896.8</v>
      </c>
      <c r="Q125" s="3">
        <f>+SUMIFS(DETALLE_GD_1[CANTIDAD SOLICITADA],DETALLE_GD_1[CODIGO],PRODUCTOS[[#This Row],[CODIGO]])</f>
        <v>1161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1161</v>
      </c>
      <c r="T125" s="3">
        <f>+IFERROR(PRODUCTOS[[#This Row],[CANTIDAD RECIBIDA]]/PRODUCTOS[[#This Row],[CANT X MODULO]],"")</f>
        <v>138.21428571428572</v>
      </c>
      <c r="U125" s="3">
        <f>+SUMIFS(DETALLE_GD_1[VALOR TOTAL POR ITEM GD],DETALLE_GD_1[CODIGO],PRODUCTOS[[#This Row],[CODIGO]])</f>
        <v>866106</v>
      </c>
      <c r="V125" s="3">
        <f>+IFERROR(PRODUCTOS[[#This Row],[PRECIO DE COMPRA]]/PRODUCTOS[[#This Row],[CANT. COMPRADA]],"")</f>
        <v>746</v>
      </c>
      <c r="W125" s="3">
        <f>+IFERROR(PRODUCTOS[[#This Row],[PRECIO COMPRA UNITARIO]]*PRODUCTOS[[#This Row],[PPTO FALTANTE]],"")</f>
        <v>3545439.6</v>
      </c>
      <c r="X125" s="7">
        <f>+IFERROR(PRODUCTOS[[#This Row],[PROYECCION COMPRA]]/PRODUCTOS[[#This Row],[PPTO TOTAL]]-1,"")</f>
        <v>-0.19632711038961048</v>
      </c>
      <c r="Y125" s="3">
        <f>+IFERROR((PRODUCTOS[[#This Row],[CANT X MODULO]]*704)-PRODUCTOS[[#This Row],[CANT. COMPRADA]],"")</f>
        <v>4752.6000000000004</v>
      </c>
      <c r="Z125" s="17">
        <f>+IFERROR(PRODUCTOS[[#This Row],[CANT. COMPRADA]]/PRODUCTOS[[#This Row],[PPTO FALTANTE]],"")</f>
        <v>0.24428733745739173</v>
      </c>
      <c r="AA125" s="3">
        <f>+IFERROR(PRODUCTOS[[#This Row],[PROYECCION COMPRA]]-(PRODUCTOS[[#This Row],[PPTO FALTANTE]]*PRODUCTOS[[#This Row],[PPTO]]),"")</f>
        <v>0</v>
      </c>
      <c r="AB125" s="3">
        <f>+_xlfn.XLOOKUP(PRODUCTOS[[#This Row],[CODIGO]],DETALLE_GD_1[CODIGO],DETALLE_GD_1[VALOR PPTO],"",0)</f>
        <v>746</v>
      </c>
      <c r="AC125" s="3">
        <f>+AB125-PRODUCTOS[[#This Row],[PPTO_ACTUALIZADO]]</f>
        <v>746</v>
      </c>
    </row>
    <row r="126" spans="1:29" x14ac:dyDescent="0.25">
      <c r="A126">
        <v>2302024</v>
      </c>
      <c r="B126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18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18</v>
      </c>
      <c r="T126" s="3">
        <f>+IFERROR(PRODUCTOS[[#This Row],[CANTIDAD RECIBIDA]]/PRODUCTOS[[#This Row],[CANT X MODULO]],"")</f>
        <v>137.14285714285714</v>
      </c>
      <c r="U126" s="3">
        <f>+SUMIFS(DETALLE_GD_1[VALOR TOTAL POR ITEM GD],DETALLE_GD_1[CODIGO],PRODUCTOS[[#This Row],[CODIGO]])</f>
        <v>392207</v>
      </c>
      <c r="V126" s="3">
        <f>+IFERROR(PRODUCTOS[[#This Row],[PRECIO DE COMPRA]]/PRODUCTOS[[#This Row],[CANT. COMPRADA]],"")</f>
        <v>21789.277777777777</v>
      </c>
      <c r="W126" s="3">
        <f>+IFERROR(PRODUCTOS[[#This Row],[PRECIO COMPRA UNITARIO]]*PRODUCTOS[[#This Row],[PPTO FALTANTE]],"")</f>
        <v>1621122.2666666668</v>
      </c>
      <c r="X126" s="7">
        <f>+IFERROR(PRODUCTOS[[#This Row],[PROYECCION COMPRA]]/PRODUCTOS[[#This Row],[PPTO TOTAL]]-1,"")</f>
        <v>-0.19948011250111786</v>
      </c>
      <c r="Y126" s="3">
        <f>+IFERROR((PRODUCTOS[[#This Row],[CANT X MODULO]]*704)-PRODUCTOS[[#This Row],[CANT. COMPRADA]],"")</f>
        <v>74.400000000000006</v>
      </c>
      <c r="Z126" s="17">
        <f>+IFERROR(PRODUCTOS[[#This Row],[CANT. COMPRADA]]/PRODUCTOS[[#This Row],[PPTO FALTANTE]],"")</f>
        <v>0.24193548387096772</v>
      </c>
      <c r="AA126" s="3">
        <f>+IFERROR(PRODUCTOS[[#This Row],[PROYECCION COMPRA]]-(PRODUCTOS[[#This Row],[PPTO FALTANTE]]*PRODUCTOS[[#This Row],[PPTO]]),"")</f>
        <v>-9467.1141717333812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x14ac:dyDescent="0.25">
      <c r="A127">
        <v>1802659</v>
      </c>
      <c r="B127" t="s">
        <v>161</v>
      </c>
      <c r="C127">
        <v>0</v>
      </c>
      <c r="D127" t="s">
        <v>355</v>
      </c>
      <c r="E127" t="s">
        <v>355</v>
      </c>
      <c r="F127" s="2">
        <v>2929.463158</v>
      </c>
      <c r="G127" s="6" t="s">
        <v>355</v>
      </c>
      <c r="H127" s="2">
        <v>0</v>
      </c>
      <c r="I127" t="b">
        <v>0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1537.96815795</v>
      </c>
      <c r="N127" s="2">
        <f>+IFERROR(PRODUCTOS[[#This Row],[PPTO X MODULO]]*32,"")</f>
        <v>49214.981054399999</v>
      </c>
      <c r="O127" s="2">
        <f>+IFERROR(PRODUCTOS[[#This Row],[PPTO X TORRE]]*22,"")</f>
        <v>1082729.5831968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71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71</v>
      </c>
      <c r="T127" s="3">
        <f>+IFERROR(PRODUCTOS[[#This Row],[CANTIDAD RECIBIDA]]/PRODUCTOS[[#This Row],[CANT X MODULO]],"")</f>
        <v>135.23809523809524</v>
      </c>
      <c r="U127" s="3">
        <f>+SUMIFS(DETALLE_GD_1[VALOR TOTAL POR ITEM GD],DETALLE_GD_1[CODIGO],PRODUCTOS[[#This Row],[CODIGO]])</f>
        <v>174195</v>
      </c>
      <c r="V127" s="3">
        <f>+IFERROR(PRODUCTOS[[#This Row],[PRECIO DE COMPRA]]/PRODUCTOS[[#This Row],[CANT. COMPRADA]],"")</f>
        <v>2453.4507042253522</v>
      </c>
      <c r="W127" s="3">
        <f>+IFERROR(PRODUCTOS[[#This Row],[PRECIO COMPRA UNITARIO]]*PRODUCTOS[[#This Row],[PPTO FALTANTE]],"")</f>
        <v>732600.38028169028</v>
      </c>
      <c r="X127" s="7">
        <f>+IFERROR(PRODUCTOS[[#This Row],[PROYECCION COMPRA]]/PRODUCTOS[[#This Row],[PPTO TOTAL]]-1,"")</f>
        <v>-0.3233764075064246</v>
      </c>
      <c r="Y127" s="3">
        <f>+IFERROR((PRODUCTOS[[#This Row],[CANT X MODULO]]*704)-PRODUCTOS[[#This Row],[CANT. COMPRADA]],"")</f>
        <v>298.60000000000002</v>
      </c>
      <c r="Z127" s="17">
        <f>+IFERROR(PRODUCTOS[[#This Row],[CANT. COMPRADA]]/PRODUCTOS[[#This Row],[PPTO FALTANTE]],"")</f>
        <v>0.2377762893503014</v>
      </c>
      <c r="AA127" s="3">
        <f>+IFERROR(PRODUCTOS[[#This Row],[PROYECCION COMPRA]]-(PRODUCTOS[[#This Row],[PPTO FALTANTE]]*PRODUCTOS[[#This Row],[PPTO]]),"")</f>
        <v>-142137.31869710982</v>
      </c>
      <c r="AB127" s="3">
        <f>+_xlfn.XLOOKUP(PRODUCTOS[[#This Row],[CODIGO]],DETALLE_GD_1[CODIGO],DETALLE_GD_1[VALOR PPTO],"",0)</f>
        <v>2929.4632000000001</v>
      </c>
      <c r="AC127" s="3">
        <f>+AB127-PRODUCTOS[[#This Row],[PPTO_ACTUALIZADO]]</f>
        <v>2929.4632000000001</v>
      </c>
    </row>
    <row r="128" spans="1:29" x14ac:dyDescent="0.25">
      <c r="A128">
        <v>5316484</v>
      </c>
      <c r="B128" t="s">
        <v>96</v>
      </c>
      <c r="C128" t="s">
        <v>599</v>
      </c>
      <c r="D128" t="s">
        <v>258</v>
      </c>
      <c r="E128" t="s">
        <v>405</v>
      </c>
      <c r="F128" s="2">
        <v>4372.7272730000004</v>
      </c>
      <c r="G128" s="6" t="s">
        <v>31</v>
      </c>
      <c r="H128" s="2">
        <v>4372.7272730000004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0.52500000000000002</v>
      </c>
      <c r="M128" s="2">
        <f>+IFERROR(PRODUCTOS[[#This Row],[PPTO]]*PRODUCTOS[[#This Row],[CANT X MODULO]],"")</f>
        <v>2295.6818183250002</v>
      </c>
      <c r="N128" s="2">
        <f>+IFERROR(PRODUCTOS[[#This Row],[PPTO X MODULO]]*32,"")</f>
        <v>73461.818186400007</v>
      </c>
      <c r="O128" s="2">
        <f>+IFERROR(PRODUCTOS[[#This Row],[PPTO X TORRE]]*22,"")</f>
        <v>1616160.0001008001</v>
      </c>
      <c r="P128" s="3">
        <f>+IFERROR(PRODUCTOS[[#This Row],[CANT X MODULO]]*702,"")</f>
        <v>368.55</v>
      </c>
      <c r="Q128" s="3">
        <f>+SUMIFS(DETALLE_GD_1[CANTIDAD SOLICITADA],DETALLE_GD_1[CODIGO],PRODUCTOS[[#This Row],[CODIGO]])</f>
        <v>70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70</v>
      </c>
      <c r="T128" s="3">
        <f>+IFERROR(PRODUCTOS[[#This Row],[CANTIDAD RECIBIDA]]/PRODUCTOS[[#This Row],[CANT X MODULO]],"")</f>
        <v>133.33333333333331</v>
      </c>
      <c r="U128" s="3">
        <f>+SUMIFS(DETALLE_GD_1[VALOR TOTAL POR ITEM GD],DETALLE_GD_1[CODIGO],PRODUCTOS[[#This Row],[CODIGO]])</f>
        <v>303105</v>
      </c>
      <c r="V128" s="3">
        <f>+IFERROR(PRODUCTOS[[#This Row],[PRECIO DE COMPRA]]/PRODUCTOS[[#This Row],[CANT. COMPRADA]],"")</f>
        <v>4330.0714285714284</v>
      </c>
      <c r="W128" s="3">
        <f>+IFERROR(PRODUCTOS[[#This Row],[PRECIO COMPRA UNITARIO]]*PRODUCTOS[[#This Row],[PPTO FALTANTE]],"")</f>
        <v>1297289.4000000001</v>
      </c>
      <c r="X128" s="7">
        <f>+IFERROR(PRODUCTOS[[#This Row],[PROYECCION COMPRA]]/PRODUCTOS[[#This Row],[PPTO TOTAL]]-1,"")</f>
        <v>-0.19730138110144535</v>
      </c>
      <c r="Y128" s="3">
        <f>+IFERROR((PRODUCTOS[[#This Row],[CANT X MODULO]]*704)-PRODUCTOS[[#This Row],[CANT. COMPRADA]],"")</f>
        <v>299.60000000000002</v>
      </c>
      <c r="Z128" s="17">
        <f>+IFERROR(PRODUCTOS[[#This Row],[CANT. COMPRADA]]/PRODUCTOS[[#This Row],[PPTO FALTANTE]],"")</f>
        <v>0.23364485981308408</v>
      </c>
      <c r="AA128" s="3">
        <f>+IFERROR(PRODUCTOS[[#This Row],[PROYECCION COMPRA]]-(PRODUCTOS[[#This Row],[PPTO FALTANTE]]*PRODUCTOS[[#This Row],[PPTO]]),"")</f>
        <v>-12779.690990800038</v>
      </c>
      <c r="AB128" s="3">
        <f>+_xlfn.XLOOKUP(PRODUCTOS[[#This Row],[CODIGO]],DETALLE_GD_1[CODIGO],DETALLE_GD_1[VALOR PPTO],"",0)</f>
        <v>4372.7272999999996</v>
      </c>
      <c r="AC128" s="3">
        <f>+AB128-PRODUCTOS[[#This Row],[PPTO_ACTUALIZADO]]</f>
        <v>2.6999999136023689E-5</v>
      </c>
    </row>
    <row r="129" spans="1:29" x14ac:dyDescent="0.25">
      <c r="A129">
        <v>5316483</v>
      </c>
      <c r="B129" t="s">
        <v>97</v>
      </c>
      <c r="C129" t="s">
        <v>600</v>
      </c>
      <c r="D129" t="s">
        <v>258</v>
      </c>
      <c r="E129" t="s">
        <v>405</v>
      </c>
      <c r="F129" s="2">
        <v>3237.6071430000002</v>
      </c>
      <c r="G129" s="6" t="s">
        <v>31</v>
      </c>
      <c r="H129" s="2">
        <v>3237.6071430000002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1699.7437500750002</v>
      </c>
      <c r="N129" s="2">
        <f>+IFERROR(PRODUCTOS[[#This Row],[PPTO X MODULO]]*32,"")</f>
        <v>54391.800002400007</v>
      </c>
      <c r="O129" s="2">
        <f>+IFERROR(PRODUCTOS[[#This Row],[PPTO X TORRE]]*22,"")</f>
        <v>1196619.6000528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69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69</v>
      </c>
      <c r="T129" s="3">
        <f>+IFERROR(PRODUCTOS[[#This Row],[CANTIDAD RECIBIDA]]/PRODUCTOS[[#This Row],[CANT X MODULO]],"")</f>
        <v>131.42857142857142</v>
      </c>
      <c r="U129" s="3">
        <f>+SUMIFS(DETALLE_GD_1[VALOR TOTAL POR ITEM GD],DETALLE_GD_1[CODIGO],PRODUCTOS[[#This Row],[CODIGO]])</f>
        <v>210070</v>
      </c>
      <c r="V129" s="3">
        <f>+IFERROR(PRODUCTOS[[#This Row],[PRECIO DE COMPRA]]/PRODUCTOS[[#This Row],[CANT. COMPRADA]],"")</f>
        <v>3044.4927536231885</v>
      </c>
      <c r="W129" s="3">
        <f>+IFERROR(PRODUCTOS[[#This Row],[PRECIO COMPRA UNITARIO]]*PRODUCTOS[[#This Row],[PPTO FALTANTE]],"")</f>
        <v>915174.52173913049</v>
      </c>
      <c r="X129" s="7">
        <f>+IFERROR(PRODUCTOS[[#This Row],[PROYECCION COMPRA]]/PRODUCTOS[[#This Row],[PPTO TOTAL]]-1,"")</f>
        <v>-0.23520012400035151</v>
      </c>
      <c r="Y129" s="3">
        <f>+IFERROR((PRODUCTOS[[#This Row],[CANT X MODULO]]*704)-PRODUCTOS[[#This Row],[CANT. COMPRADA]],"")</f>
        <v>300.60000000000002</v>
      </c>
      <c r="Z129" s="17">
        <f>+IFERROR(PRODUCTOS[[#This Row],[CANT. COMPRADA]]/PRODUCTOS[[#This Row],[PPTO FALTANTE]],"")</f>
        <v>0.22954091816367264</v>
      </c>
      <c r="AA129" s="3">
        <f>+IFERROR(PRODUCTOS[[#This Row],[PROYECCION COMPRA]]-(PRODUCTOS[[#This Row],[PPTO FALTANTE]]*PRODUCTOS[[#This Row],[PPTO]]),"")</f>
        <v>-58050.18544666958</v>
      </c>
      <c r="AB129" s="3">
        <f>+_xlfn.XLOOKUP(PRODUCTOS[[#This Row],[CODIGO]],DETALLE_GD_1[CODIGO],DETALLE_GD_1[VALOR PPTO],"",0)</f>
        <v>3237.6071000000002</v>
      </c>
      <c r="AC129" s="3">
        <f>+AB129-PRODUCTOS[[#This Row],[PPTO_ACTUALIZADO]]</f>
        <v>-4.3000000005122274E-5</v>
      </c>
    </row>
    <row r="130" spans="1:29" x14ac:dyDescent="0.25">
      <c r="A130">
        <v>408071</v>
      </c>
      <c r="B130" t="s">
        <v>111</v>
      </c>
      <c r="C130" t="s">
        <v>613</v>
      </c>
      <c r="D130" t="s">
        <v>240</v>
      </c>
      <c r="E130" t="s">
        <v>399</v>
      </c>
      <c r="F130" s="2">
        <v>23200.297871999999</v>
      </c>
      <c r="G130" s="6" t="s">
        <v>36</v>
      </c>
      <c r="H130" s="2">
        <v>23200.297871999981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0.20317500000000016</v>
      </c>
      <c r="M130" s="2">
        <f>+IFERROR(PRODUCTOS[[#This Row],[PPTO]]*PRODUCTOS[[#This Row],[CANT X MODULO]],"")</f>
        <v>4713.7205201436036</v>
      </c>
      <c r="N130" s="2">
        <f>+IFERROR(PRODUCTOS[[#This Row],[PPTO X MODULO]]*32,"")</f>
        <v>150839.05664459532</v>
      </c>
      <c r="O130" s="2">
        <f>+IFERROR(PRODUCTOS[[#This Row],[PPTO X TORRE]]*22,"")</f>
        <v>3318459.2461810969</v>
      </c>
      <c r="P130" s="3">
        <f>+IFERROR(PRODUCTOS[[#This Row],[CANT X MODULO]]*702,"")</f>
        <v>142.62885000000011</v>
      </c>
      <c r="Q130" s="3">
        <f>+SUMIFS(DETALLE_GD_1[CANTIDAD SOLICITADA],DETALLE_GD_1[CODIGO],PRODUCTOS[[#This Row],[CODIGO]])</f>
        <v>26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26</v>
      </c>
      <c r="T130" s="3">
        <f>+IFERROR(PRODUCTOS[[#This Row],[CANTIDAD RECIBIDA]]/PRODUCTOS[[#This Row],[CANT X MODULO]],"")</f>
        <v>127.96850006152322</v>
      </c>
      <c r="U130" s="3">
        <f>+SUMIFS(DETALLE_GD_1[VALOR TOTAL POR ITEM GD],DETALLE_GD_1[CODIGO],PRODUCTOS[[#This Row],[CODIGO]])</f>
        <v>603223</v>
      </c>
      <c r="V130" s="3">
        <f>+IFERROR(PRODUCTOS[[#This Row],[PRECIO DE COMPRA]]/PRODUCTOS[[#This Row],[CANT. COMPRADA]],"")</f>
        <v>23200.884615384617</v>
      </c>
      <c r="W130" s="3">
        <f>+IFERROR(PRODUCTOS[[#This Row],[PRECIO COMPRA UNITARIO]]*PRODUCTOS[[#This Row],[PPTO FALTANTE]],"")</f>
        <v>2715320.1711384645</v>
      </c>
      <c r="X130" s="7">
        <f>+IFERROR(PRODUCTOS[[#This Row],[PROYECCION COMPRA]]/PRODUCTOS[[#This Row],[PPTO TOTAL]]-1,"")</f>
        <v>-0.18175274436072364</v>
      </c>
      <c r="Y130" s="3">
        <f>+IFERROR((PRODUCTOS[[#This Row],[CANT X MODULO]]*704)-PRODUCTOS[[#This Row],[CANT. COMPRADA]],"")</f>
        <v>117.03520000000012</v>
      </c>
      <c r="Z130" s="17">
        <f>+IFERROR(PRODUCTOS[[#This Row],[CANT. COMPRADA]]/PRODUCTOS[[#This Row],[PPTO FALTANTE]],"")</f>
        <v>0.2221553857301049</v>
      </c>
      <c r="AA130" s="3">
        <f>+IFERROR(PRODUCTOS[[#This Row],[PROYECCION COMPRA]]-(PRODUCTOS[[#This Row],[PPTO FALTANTE]]*PRODUCTOS[[#This Row],[PPTO]]),"")</f>
        <v>68.669629367534071</v>
      </c>
      <c r="AB130" s="3">
        <f>+_xlfn.XLOOKUP(PRODUCTOS[[#This Row],[CODIGO]],DETALLE_GD_1[CODIGO],DETALLE_GD_1[VALOR PPTO],"",0)</f>
        <v>23200.297900000001</v>
      </c>
      <c r="AC130" s="3">
        <f>+AB130-PRODUCTOS[[#This Row],[PPTO_ACTUALIZADO]]</f>
        <v>2.8000020392937586E-5</v>
      </c>
    </row>
    <row r="131" spans="1:29" x14ac:dyDescent="0.25">
      <c r="A131">
        <v>408088</v>
      </c>
      <c r="B131" t="s">
        <v>109</v>
      </c>
      <c r="C131" t="s">
        <v>611</v>
      </c>
      <c r="D131" t="s">
        <v>240</v>
      </c>
      <c r="E131" t="s">
        <v>399</v>
      </c>
      <c r="F131" s="2">
        <v>17500.092714999999</v>
      </c>
      <c r="G131" s="6" t="s">
        <v>36</v>
      </c>
      <c r="H131" s="2">
        <v>17500.092714999999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0.126</v>
      </c>
      <c r="M131" s="2">
        <f>+IFERROR(PRODUCTOS[[#This Row],[PPTO]]*PRODUCTOS[[#This Row],[CANT X MODULO]],"")</f>
        <v>2205.0116820899998</v>
      </c>
      <c r="N131" s="2">
        <f>+IFERROR(PRODUCTOS[[#This Row],[PPTO X MODULO]]*32,"")</f>
        <v>70560.373826879993</v>
      </c>
      <c r="O131" s="2">
        <f>+IFERROR(PRODUCTOS[[#This Row],[PPTO X TORRE]]*22,"")</f>
        <v>1552328.2241913599</v>
      </c>
      <c r="P131" s="3">
        <f>+IFERROR(PRODUCTOS[[#This Row],[CANT X MODULO]]*702,"")</f>
        <v>88.451999999999998</v>
      </c>
      <c r="Q131" s="3">
        <f>+SUMIFS(DETALLE_GD_1[CANTIDAD SOLICITADA],DETALLE_GD_1[CODIGO],PRODUCTOS[[#This Row],[CODIGO]])</f>
        <v>16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16</v>
      </c>
      <c r="T131" s="3">
        <f>+IFERROR(PRODUCTOS[[#This Row],[CANTIDAD RECIBIDA]]/PRODUCTOS[[#This Row],[CANT X MODULO]],"")</f>
        <v>126.98412698412699</v>
      </c>
      <c r="U131" s="3">
        <f>+SUMIFS(DETALLE_GD_1[VALOR TOTAL POR ITEM GD],DETALLE_GD_1[CODIGO],PRODUCTOS[[#This Row],[CODIGO]])</f>
        <v>280000</v>
      </c>
      <c r="V131" s="3">
        <f>+IFERROR(PRODUCTOS[[#This Row],[PRECIO DE COMPRA]]/PRODUCTOS[[#This Row],[CANT. COMPRADA]],"")</f>
        <v>17500</v>
      </c>
      <c r="W131" s="3">
        <f>+IFERROR(PRODUCTOS[[#This Row],[PRECIO COMPRA UNITARIO]]*PRODUCTOS[[#This Row],[PPTO FALTANTE]],"")</f>
        <v>1272320.0000000002</v>
      </c>
      <c r="X131" s="7">
        <f>+IFERROR(PRODUCTOS[[#This Row],[PROYECCION COMPRA]]/PRODUCTOS[[#This Row],[PPTO TOTAL]]-1,"")</f>
        <v>-0.18037952272446878</v>
      </c>
      <c r="Y131" s="3">
        <f>+IFERROR((PRODUCTOS[[#This Row],[CANT X MODULO]]*704)-PRODUCTOS[[#This Row],[CANT. COMPRADA]],"")</f>
        <v>72.704000000000008</v>
      </c>
      <c r="Z131" s="17">
        <f>+IFERROR(PRODUCTOS[[#This Row],[CANT. COMPRADA]]/PRODUCTOS[[#This Row],[PPTO FALTANTE]],"")</f>
        <v>0.22007042253521125</v>
      </c>
      <c r="AA131" s="3">
        <f>+IFERROR(PRODUCTOS[[#This Row],[PROYECCION COMPRA]]-(PRODUCTOS[[#This Row],[PPTO FALTANTE]]*PRODUCTOS[[#This Row],[PPTO]]),"")</f>
        <v>-6.7407513598445803</v>
      </c>
      <c r="AB131" s="3">
        <f>+_xlfn.XLOOKUP(PRODUCTOS[[#This Row],[CODIGO]],DETALLE_GD_1[CODIGO],DETALLE_GD_1[VALOR PPTO],"",0)</f>
        <v>17500.092700000001</v>
      </c>
      <c r="AC131" s="3">
        <f>+AB131-PRODUCTOS[[#This Row],[PPTO_ACTUALIZADO]]</f>
        <v>-1.4999997802078724E-5</v>
      </c>
    </row>
    <row r="132" spans="1:29" x14ac:dyDescent="0.25">
      <c r="A132">
        <v>704025</v>
      </c>
      <c r="B132" t="s">
        <v>333</v>
      </c>
      <c r="C132" t="s">
        <v>671</v>
      </c>
      <c r="D132" t="s">
        <v>240</v>
      </c>
      <c r="E132" t="s">
        <v>402</v>
      </c>
      <c r="F132" s="2">
        <v>580</v>
      </c>
      <c r="G132" s="6" t="s">
        <v>31</v>
      </c>
      <c r="H132" s="2">
        <v>580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4.2</v>
      </c>
      <c r="M132" s="2">
        <f>+IFERROR(PRODUCTOS[[#This Row],[PPTO]]*PRODUCTOS[[#This Row],[CANT X MODULO]],"")</f>
        <v>2436</v>
      </c>
      <c r="N132" s="2">
        <f>+IFERROR(PRODUCTOS[[#This Row],[PPTO X MODULO]]*32,"")</f>
        <v>77952</v>
      </c>
      <c r="O132" s="2">
        <f>+IFERROR(PRODUCTOS[[#This Row],[PPTO X TORRE]]*22,"")</f>
        <v>1714944</v>
      </c>
      <c r="P132" s="3">
        <f>+IFERROR(PRODUCTOS[[#This Row],[CANT X MODULO]]*702,"")</f>
        <v>2948.4</v>
      </c>
      <c r="Q132" s="3">
        <f>+SUMIFS(DETALLE_GD_1[CANTIDAD SOLICITADA],DETALLE_GD_1[CODIGO],PRODUCTOS[[#This Row],[CODIGO]])</f>
        <v>532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532</v>
      </c>
      <c r="T132" s="3">
        <f>+IFERROR(PRODUCTOS[[#This Row],[CANTIDAD RECIBIDA]]/PRODUCTOS[[#This Row],[CANT X MODULO]],"")</f>
        <v>126.66666666666666</v>
      </c>
      <c r="U132" s="3">
        <f>+SUMIFS(DETALLE_GD_1[VALOR TOTAL POR ITEM GD],DETALLE_GD_1[CODIGO],PRODUCTOS[[#This Row],[CODIGO]])</f>
        <v>308507</v>
      </c>
      <c r="V132" s="3">
        <f>+IFERROR(PRODUCTOS[[#This Row],[PRECIO DE COMPRA]]/PRODUCTOS[[#This Row],[CANT. COMPRADA]],"")</f>
        <v>579.9003759398496</v>
      </c>
      <c r="W132" s="3">
        <f>+IFERROR(PRODUCTOS[[#This Row],[PRECIO COMPRA UNITARIO]]*PRODUCTOS[[#This Row],[PPTO FALTANTE]],"")</f>
        <v>1406142.4315789475</v>
      </c>
      <c r="X132" s="7">
        <f>+IFERROR(PRODUCTOS[[#This Row],[PROYECCION COMPRA]]/PRODUCTOS[[#This Row],[PPTO TOTAL]]-1,"")</f>
        <v>-0.18006510324596747</v>
      </c>
      <c r="Y132" s="3">
        <f>+IFERROR((PRODUCTOS[[#This Row],[CANT X MODULO]]*704)-PRODUCTOS[[#This Row],[CANT. COMPRADA]],"")</f>
        <v>2424.8000000000002</v>
      </c>
      <c r="Z132" s="17">
        <f>+IFERROR(PRODUCTOS[[#This Row],[CANT. COMPRADA]]/PRODUCTOS[[#This Row],[PPTO FALTANTE]],"")</f>
        <v>0.21939953810623555</v>
      </c>
      <c r="AA132" s="3">
        <f>+IFERROR(PRODUCTOS[[#This Row],[PROYECCION COMPRA]]-(PRODUCTOS[[#This Row],[PPTO FALTANTE]]*PRODUCTOS[[#This Row],[PPTO]]),"")</f>
        <v>-241.568421052536</v>
      </c>
      <c r="AB132" s="3">
        <f>+_xlfn.XLOOKUP(PRODUCTOS[[#This Row],[CODIGO]],DETALLE_GD_1[CODIGO],DETALLE_GD_1[VALOR PPTO],"",0)</f>
        <v>580</v>
      </c>
      <c r="AC132" s="3">
        <f>+AB132-PRODUCTOS[[#This Row],[PPTO_ACTUALIZADO]]</f>
        <v>0</v>
      </c>
    </row>
    <row r="133" spans="1:29" x14ac:dyDescent="0.25">
      <c r="A133">
        <v>609008</v>
      </c>
      <c r="B133" t="s">
        <v>57</v>
      </c>
      <c r="C133" t="s">
        <v>577</v>
      </c>
      <c r="D133">
        <v>0</v>
      </c>
      <c r="E133">
        <v>0</v>
      </c>
      <c r="F133" s="2">
        <v>2130.75731</v>
      </c>
      <c r="G133" s="6" t="s">
        <v>58</v>
      </c>
      <c r="H133" s="2">
        <v>0</v>
      </c>
      <c r="I133" t="b">
        <v>0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1.05</v>
      </c>
      <c r="M133" s="2">
        <f>+IFERROR(PRODUCTOS[[#This Row],[PPTO]]*PRODUCTOS[[#This Row],[CANT X MODULO]],"")</f>
        <v>2237.2951754999999</v>
      </c>
      <c r="N133" s="2">
        <f>+IFERROR(PRODUCTOS[[#This Row],[PPTO X MODULO]]*32,"")</f>
        <v>71593.445615999997</v>
      </c>
      <c r="O133" s="2">
        <f>+IFERROR(PRODUCTOS[[#This Row],[PPTO X TORRE]]*22,"")</f>
        <v>1575055.8035519999</v>
      </c>
      <c r="P133" s="3">
        <f>+IFERROR(PRODUCTOS[[#This Row],[CANT X MODULO]]*702,"")</f>
        <v>737.1</v>
      </c>
      <c r="Q133" s="3">
        <f>+SUMIFS(DETALLE_GD_1[CANTIDAD SOLICITADA],DETALLE_GD_1[CODIGO],PRODUCTOS[[#This Row],[CODIGO]])</f>
        <v>129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129</v>
      </c>
      <c r="T133" s="3">
        <f>+IFERROR(PRODUCTOS[[#This Row],[CANTIDAD RECIBIDA]]/PRODUCTOS[[#This Row],[CANT X MODULO]],"")</f>
        <v>122.85714285714285</v>
      </c>
      <c r="U133" s="3">
        <f>+SUMIFS(DETALLE_GD_1[VALOR TOTAL POR ITEM GD],DETALLE_GD_1[CODIGO],PRODUCTOS[[#This Row],[CODIGO]])</f>
        <v>286580</v>
      </c>
      <c r="V133" s="3">
        <f>+IFERROR(PRODUCTOS[[#This Row],[PRECIO DE COMPRA]]/PRODUCTOS[[#This Row],[CANT. COMPRADA]],"")</f>
        <v>2221.5503875968993</v>
      </c>
      <c r="W133" s="3">
        <f>+IFERROR(PRODUCTOS[[#This Row],[PRECIO COMPRA UNITARIO]]*PRODUCTOS[[#This Row],[PPTO FALTANTE]],"")</f>
        <v>1355590.046511628</v>
      </c>
      <c r="X133" s="7">
        <f>+IFERROR(PRODUCTOS[[#This Row],[PROYECCION COMPRA]]/PRODUCTOS[[#This Row],[PPTO TOTAL]]-1,"")</f>
        <v>-0.13933840092867944</v>
      </c>
      <c r="Y133" s="3">
        <f>+IFERROR((PRODUCTOS[[#This Row],[CANT X MODULO]]*704)-PRODUCTOS[[#This Row],[CANT. COMPRADA]],"")</f>
        <v>610.20000000000005</v>
      </c>
      <c r="Z133" s="17">
        <f>+IFERROR(PRODUCTOS[[#This Row],[CANT. COMPRADA]]/PRODUCTOS[[#This Row],[PPTO FALTANTE]],"")</f>
        <v>0.21140609636184857</v>
      </c>
      <c r="AA133" s="3">
        <f>+IFERROR(PRODUCTOS[[#This Row],[PROYECCION COMPRA]]-(PRODUCTOS[[#This Row],[PPTO FALTANTE]]*PRODUCTOS[[#This Row],[PPTO]]),"")</f>
        <v>55401.935949628009</v>
      </c>
      <c r="AB133" s="3">
        <f>+_xlfn.XLOOKUP(PRODUCTOS[[#This Row],[CODIGO]],DETALLE_GD_1[CODIGO],DETALLE_GD_1[VALOR PPTO],"",0)</f>
        <v>2130.7573000000002</v>
      </c>
      <c r="AC133" s="3">
        <f>+AB133-PRODUCTOS[[#This Row],[PPTO_ACTUALIZADO]]</f>
        <v>2130.7573000000002</v>
      </c>
    </row>
    <row r="134" spans="1:29" x14ac:dyDescent="0.25">
      <c r="A134">
        <v>705028</v>
      </c>
      <c r="B134" t="s">
        <v>72</v>
      </c>
      <c r="C134" t="s">
        <v>587</v>
      </c>
      <c r="D134" t="s">
        <v>240</v>
      </c>
      <c r="E134" t="s">
        <v>402</v>
      </c>
      <c r="F134" s="2">
        <v>22927.086207</v>
      </c>
      <c r="G134" s="6" t="s">
        <v>18</v>
      </c>
      <c r="H134" s="2">
        <v>22927.086207</v>
      </c>
      <c r="I134" t="b">
        <v>1</v>
      </c>
      <c r="J134" t="str">
        <f>+_xlfn.XLOOKUP(PRODUCTOS[[#This Row],[CODIGO]],P_CRITICOS[CODIGO],P_CRITICOS[DESC CORTA],"",0)</f>
        <v>SIMPLISIMA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3.6749999999999998</v>
      </c>
      <c r="M134" s="2">
        <f>+IFERROR(PRODUCTOS[[#This Row],[PPTO]]*PRODUCTOS[[#This Row],[CANT X MODULO]],"")</f>
        <v>84257.041810725001</v>
      </c>
      <c r="N134" s="2">
        <f>+IFERROR(PRODUCTOS[[#This Row],[PPTO X MODULO]]*32,"")</f>
        <v>2696225.3379432</v>
      </c>
      <c r="O134" s="2">
        <f>+IFERROR(PRODUCTOS[[#This Row],[PPTO X TORRE]]*22,"")</f>
        <v>59316957.4347504</v>
      </c>
      <c r="P134" s="3">
        <f>+IFERROR(PRODUCTOS[[#This Row],[CANT X MODULO]]*702,"")</f>
        <v>2579.85</v>
      </c>
      <c r="Q134" s="3">
        <f>+SUMIFS(DETALLE_GD_1[CANTIDAD SOLICITADA],DETALLE_GD_1[CODIGO],PRODUCTOS[[#This Row],[CODIGO]])</f>
        <v>449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449</v>
      </c>
      <c r="T134" s="3">
        <f>+IFERROR(PRODUCTOS[[#This Row],[CANTIDAD RECIBIDA]]/PRODUCTOS[[#This Row],[CANT X MODULO]],"")</f>
        <v>122.17687074829932</v>
      </c>
      <c r="U134" s="3">
        <f>+SUMIFS(DETALLE_GD_1[VALOR TOTAL POR ITEM GD],DETALLE_GD_1[CODIGO],PRODUCTOS[[#This Row],[CODIGO]])</f>
        <v>10231413</v>
      </c>
      <c r="V134" s="3">
        <f>+IFERROR(PRODUCTOS[[#This Row],[PRECIO DE COMPRA]]/PRODUCTOS[[#This Row],[CANT. COMPRADA]],"")</f>
        <v>22787.11135857461</v>
      </c>
      <c r="W134" s="3">
        <f>+IFERROR(PRODUCTOS[[#This Row],[PRECIO COMPRA UNITARIO]]*PRODUCTOS[[#This Row],[PPTO FALTANTE]],"")</f>
        <v>48723401.50690423</v>
      </c>
      <c r="X134" s="7">
        <f>+IFERROR(PRODUCTOS[[#This Row],[PROYECCION COMPRA]]/PRODUCTOS[[#This Row],[PPTO TOTAL]]-1,"")</f>
        <v>-0.17859236862408612</v>
      </c>
      <c r="Y134" s="3">
        <f>+IFERROR((PRODUCTOS[[#This Row],[CANT X MODULO]]*704)-PRODUCTOS[[#This Row],[CANT. COMPRADA]],"")</f>
        <v>2138.1999999999998</v>
      </c>
      <c r="Z134" s="17">
        <f>+IFERROR(PRODUCTOS[[#This Row],[CANT. COMPRADA]]/PRODUCTOS[[#This Row],[PPTO FALTANTE]],"")</f>
        <v>0.20998971097184549</v>
      </c>
      <c r="AA134" s="3">
        <f>+IFERROR(PRODUCTOS[[#This Row],[PROYECCION COMPRA]]-(PRODUCTOS[[#This Row],[PPTO FALTANTE]]*PRODUCTOS[[#This Row],[PPTO]]),"")</f>
        <v>-299294.22090316564</v>
      </c>
      <c r="AB134" s="3">
        <f>+_xlfn.XLOOKUP(PRODUCTOS[[#This Row],[CODIGO]],DETALLE_GD_1[CODIGO],DETALLE_GD_1[VALOR PPTO],"",0)</f>
        <v>22927.086200000002</v>
      </c>
      <c r="AC134" s="3">
        <f>+AB134-PRODUCTOS[[#This Row],[PPTO_ACTUALIZADO]]</f>
        <v>-6.999998731771484E-6</v>
      </c>
    </row>
    <row r="135" spans="1:29" x14ac:dyDescent="0.25">
      <c r="A135">
        <v>601047</v>
      </c>
      <c r="B135" t="s">
        <v>129</v>
      </c>
      <c r="C135" t="s">
        <v>621</v>
      </c>
      <c r="D135">
        <v>0</v>
      </c>
      <c r="E135">
        <v>0</v>
      </c>
      <c r="F135" s="2">
        <v>50286.86</v>
      </c>
      <c r="G135" s="6" t="s">
        <v>355</v>
      </c>
      <c r="H135" s="2">
        <v>0</v>
      </c>
      <c r="I135" t="b">
        <v>0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0.1575</v>
      </c>
      <c r="M135" s="2">
        <f>+IFERROR(PRODUCTOS[[#This Row],[PPTO]]*PRODUCTOS[[#This Row],[CANT X MODULO]],"")</f>
        <v>7920.1804499999998</v>
      </c>
      <c r="N135" s="2">
        <f>+IFERROR(PRODUCTOS[[#This Row],[PPTO X MODULO]]*32,"")</f>
        <v>253445.77439999999</v>
      </c>
      <c r="O135" s="2">
        <f>+IFERROR(PRODUCTOS[[#This Row],[PPTO X TORRE]]*22,"")</f>
        <v>5575807.0367999999</v>
      </c>
      <c r="P135" s="3">
        <f>+IFERROR(PRODUCTOS[[#This Row],[CANT X MODULO]]*702,"")</f>
        <v>110.565</v>
      </c>
      <c r="Q135" s="3">
        <f>+SUMIFS(DETALLE_GD_1[CANTIDAD SOLICITADA],DETALLE_GD_1[CODIGO],PRODUCTOS[[#This Row],[CODIGO]])</f>
        <v>19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19</v>
      </c>
      <c r="T135" s="3">
        <f>+IFERROR(PRODUCTOS[[#This Row],[CANTIDAD RECIBIDA]]/PRODUCTOS[[#This Row],[CANT X MODULO]],"")</f>
        <v>120.63492063492063</v>
      </c>
      <c r="U135" s="3">
        <f>+SUMIFS(DETALLE_GD_1[VALOR TOTAL POR ITEM GD],DETALLE_GD_1[CODIGO],PRODUCTOS[[#This Row],[CODIGO]])</f>
        <v>934039</v>
      </c>
      <c r="V135" s="3">
        <f>+IFERROR(PRODUCTOS[[#This Row],[PRECIO DE COMPRA]]/PRODUCTOS[[#This Row],[CANT. COMPRADA]],"")</f>
        <v>49159.947368421053</v>
      </c>
      <c r="W135" s="3">
        <f>+IFERROR(PRODUCTOS[[#This Row],[PRECIO COMPRA UNITARIO]]*PRODUCTOS[[#This Row],[PPTO FALTANTE]],"")</f>
        <v>4516815.9642105261</v>
      </c>
      <c r="X135" s="7">
        <f>+IFERROR(PRODUCTOS[[#This Row],[PROYECCION COMPRA]]/PRODUCTOS[[#This Row],[PPTO TOTAL]]-1,"")</f>
        <v>-0.18992606193151862</v>
      </c>
      <c r="Y135" s="3">
        <f>+IFERROR((PRODUCTOS[[#This Row],[CANT X MODULO]]*704)-PRODUCTOS[[#This Row],[CANT. COMPRADA]],"")</f>
        <v>91.88</v>
      </c>
      <c r="Z135" s="17">
        <f>+IFERROR(PRODUCTOS[[#This Row],[CANT. COMPRADA]]/PRODUCTOS[[#This Row],[PPTO FALTANTE]],"")</f>
        <v>0.20679146713104049</v>
      </c>
      <c r="AA135" s="3">
        <f>+IFERROR(PRODUCTOS[[#This Row],[PROYECCION COMPRA]]-(PRODUCTOS[[#This Row],[PPTO FALTANTE]]*PRODUCTOS[[#This Row],[PPTO]]),"")</f>
        <v>-103540.73258947395</v>
      </c>
      <c r="AB135" s="3">
        <f>+_xlfn.XLOOKUP(PRODUCTOS[[#This Row],[CODIGO]],DETALLE_GD_1[CODIGO],DETALLE_GD_1[VALOR PPTO],"",0)</f>
        <v>50286.86</v>
      </c>
      <c r="AC135" s="3">
        <f>+AB135-PRODUCTOS[[#This Row],[PPTO_ACTUALIZADO]]</f>
        <v>50286.86</v>
      </c>
    </row>
    <row r="136" spans="1:29" x14ac:dyDescent="0.25">
      <c r="A136">
        <v>407115</v>
      </c>
      <c r="B136" t="s">
        <v>282</v>
      </c>
      <c r="C136">
        <v>0</v>
      </c>
      <c r="D136" t="s">
        <v>240</v>
      </c>
      <c r="E136" t="s">
        <v>399</v>
      </c>
      <c r="F136" s="2">
        <v>547.98400000000004</v>
      </c>
      <c r="G136" s="6" t="s">
        <v>31</v>
      </c>
      <c r="H136" s="2">
        <v>567</v>
      </c>
      <c r="I136" t="b">
        <v>0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4.2</v>
      </c>
      <c r="M136" s="2">
        <f>+IFERROR(PRODUCTOS[[#This Row],[PPTO]]*PRODUCTOS[[#This Row],[CANT X MODULO]],"")</f>
        <v>2301.5328000000004</v>
      </c>
      <c r="N136" s="2">
        <f>+IFERROR(PRODUCTOS[[#This Row],[PPTO X MODULO]]*32,"")</f>
        <v>73649.049600000013</v>
      </c>
      <c r="O136" s="2">
        <f>+IFERROR(PRODUCTOS[[#This Row],[PPTO X TORRE]]*22,"")</f>
        <v>1620279.0912000004</v>
      </c>
      <c r="P136" s="3">
        <f>+IFERROR(PRODUCTOS[[#This Row],[CANT X MODULO]]*702,"")</f>
        <v>2948.4</v>
      </c>
      <c r="Q136" s="3">
        <f>+SUMIFS(DETALLE_GD_1[CANTIDAD SOLICITADA],DETALLE_GD_1[CODIGO],PRODUCTOS[[#This Row],[CODIGO]])</f>
        <v>500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500</v>
      </c>
      <c r="T136" s="3">
        <f>+IFERROR(PRODUCTOS[[#This Row],[CANTIDAD RECIBIDA]]/PRODUCTOS[[#This Row],[CANT X MODULO]],"")</f>
        <v>119.04761904761904</v>
      </c>
      <c r="U136" s="3">
        <f>+SUMIFS(DETALLE_GD_1[VALOR TOTAL POR ITEM GD],DETALLE_GD_1[CODIGO],PRODUCTOS[[#This Row],[CODIGO]])</f>
        <v>273991</v>
      </c>
      <c r="V136" s="3">
        <f>+IFERROR(PRODUCTOS[[#This Row],[PRECIO DE COMPRA]]/PRODUCTOS[[#This Row],[CANT. COMPRADA]],"")</f>
        <v>547.98199999999997</v>
      </c>
      <c r="W136" s="3">
        <f>+IFERROR(PRODUCTOS[[#This Row],[PRECIO COMPRA UNITARIO]]*PRODUCTOS[[#This Row],[PPTO FALTANTE]],"")</f>
        <v>1346282.1776000001</v>
      </c>
      <c r="X136" s="7">
        <f>+IFERROR(PRODUCTOS[[#This Row],[PROYECCION COMPRA]]/PRODUCTOS[[#This Row],[PPTO TOTAL]]-1,"")</f>
        <v>-0.16910476416570586</v>
      </c>
      <c r="Y136" s="3">
        <f>+IFERROR((PRODUCTOS[[#This Row],[CANT X MODULO]]*704)-PRODUCTOS[[#This Row],[CANT. COMPRADA]],"")</f>
        <v>2456.8000000000002</v>
      </c>
      <c r="Z136" s="17">
        <f>+IFERROR(PRODUCTOS[[#This Row],[CANT. COMPRADA]]/PRODUCTOS[[#This Row],[PPTO FALTANTE]],"")</f>
        <v>0.20351676978183</v>
      </c>
      <c r="AA136" s="3">
        <f>+IFERROR(PRODUCTOS[[#This Row],[PROYECCION COMPRA]]-(PRODUCTOS[[#This Row],[PPTO FALTANTE]]*PRODUCTOS[[#This Row],[PPTO]]),"")</f>
        <v>-4.9136000000871718</v>
      </c>
      <c r="AB136" s="3">
        <f>+_xlfn.XLOOKUP(PRODUCTOS[[#This Row],[CODIGO]],DETALLE_GD_1[CODIGO],DETALLE_GD_1[VALOR PPTO],"",0)</f>
        <v>567</v>
      </c>
      <c r="AC136" s="3">
        <f>+AB136-PRODUCTOS[[#This Row],[PPTO_ACTUALIZADO]]</f>
        <v>0</v>
      </c>
    </row>
    <row r="137" spans="1:29" x14ac:dyDescent="0.25">
      <c r="A137">
        <v>412280</v>
      </c>
      <c r="B137" t="s">
        <v>40</v>
      </c>
      <c r="C137" t="s">
        <v>549</v>
      </c>
      <c r="D137" t="s">
        <v>240</v>
      </c>
      <c r="E137" t="s">
        <v>399</v>
      </c>
      <c r="F137" s="2">
        <v>40002.920093000001</v>
      </c>
      <c r="G137" s="6" t="s">
        <v>31</v>
      </c>
      <c r="H137" s="2">
        <v>40002.920093000001</v>
      </c>
      <c r="I137" t="b">
        <v>1</v>
      </c>
      <c r="J137" t="str">
        <f>+_xlfn.XLOOKUP(PRODUCTOS[[#This Row],[CODIGO]],P_CRITICOS[CODIGO],P_CRITICOS[DESC CORTA],"",0)</f>
        <v>HOLDOWN PB2</v>
      </c>
      <c r="K137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7.875</v>
      </c>
      <c r="M137" s="2">
        <f>+IFERROR(PRODUCTOS[[#This Row],[PPTO]]*PRODUCTOS[[#This Row],[CANT X MODULO]],"")</f>
        <v>315022.99573237501</v>
      </c>
      <c r="N137" s="2">
        <f>+IFERROR(PRODUCTOS[[#This Row],[PPTO X MODULO]]*32,"")</f>
        <v>10080735.863436</v>
      </c>
      <c r="O137" s="2">
        <f>+IFERROR(PRODUCTOS[[#This Row],[PPTO X TORRE]]*22,"")</f>
        <v>221776188.995592</v>
      </c>
      <c r="P137" s="3">
        <f>+IFERROR(PRODUCTOS[[#This Row],[CANT X MODULO]]*702,"")</f>
        <v>5528.25</v>
      </c>
      <c r="Q137" s="3">
        <f>+SUMIFS(DETALLE_GD_1[CANTIDAD SOLICITADA],DETALLE_GD_1[CODIGO],PRODUCTOS[[#This Row],[CODIGO]])</f>
        <v>926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926</v>
      </c>
      <c r="T137" s="3">
        <f>+IFERROR(PRODUCTOS[[#This Row],[CANTIDAD RECIBIDA]]/PRODUCTOS[[#This Row],[CANT X MODULO]],"")</f>
        <v>117.58730158730158</v>
      </c>
      <c r="U137" s="3">
        <f>+SUMIFS(DETALLE_GD_1[VALOR TOTAL POR ITEM GD],DETALLE_GD_1[CODIGO],PRODUCTOS[[#This Row],[CODIGO]])</f>
        <v>36177719</v>
      </c>
      <c r="V137" s="3">
        <f>+IFERROR(PRODUCTOS[[#This Row],[PRECIO DE COMPRA]]/PRODUCTOS[[#This Row],[CANT. COMPRADA]],"")</f>
        <v>39068.811015118794</v>
      </c>
      <c r="W137" s="3">
        <f>+IFERROR(PRODUCTOS[[#This Row],[PRECIO COMPRA UNITARIO]]*PRODUCTOS[[#This Row],[PPTO FALTANTE]],"")</f>
        <v>180419769.2678186</v>
      </c>
      <c r="X137" s="7">
        <f>+IFERROR(PRODUCTOS[[#This Row],[PROYECCION COMPRA]]/PRODUCTOS[[#This Row],[PPTO TOTAL]]-1,"")</f>
        <v>-0.18647817836113778</v>
      </c>
      <c r="Y137" s="3">
        <f>+IFERROR((PRODUCTOS[[#This Row],[CANT X MODULO]]*704)-PRODUCTOS[[#This Row],[CANT. COMPRADA]],"")</f>
        <v>4618</v>
      </c>
      <c r="Z137" s="17">
        <f>+IFERROR(PRODUCTOS[[#This Row],[CANT. COMPRADA]]/PRODUCTOS[[#This Row],[PPTO FALTANTE]],"")</f>
        <v>0.20051970550021656</v>
      </c>
      <c r="AA137" s="3">
        <f>+IFERROR(PRODUCTOS[[#This Row],[PROYECCION COMPRA]]-(PRODUCTOS[[#This Row],[PPTO FALTANTE]]*PRODUCTOS[[#This Row],[PPTO]]),"")</f>
        <v>-4313715.7216553986</v>
      </c>
      <c r="AB137" s="3">
        <f>+_xlfn.XLOOKUP(PRODUCTOS[[#This Row],[CODIGO]],DETALLE_GD_1[CODIGO],DETALLE_GD_1[VALOR PPTO],"",0)</f>
        <v>40002.920100000003</v>
      </c>
      <c r="AC137" s="3">
        <f>+AB137-PRODUCTOS[[#This Row],[PPTO_ACTUALIZADO]]</f>
        <v>7.0000023697502911E-6</v>
      </c>
    </row>
    <row r="138" spans="1:29" x14ac:dyDescent="0.25">
      <c r="A138">
        <v>407011</v>
      </c>
      <c r="B138" t="s">
        <v>30</v>
      </c>
      <c r="C138" t="s">
        <v>546</v>
      </c>
      <c r="D138" t="s">
        <v>240</v>
      </c>
      <c r="E138" t="s">
        <v>399</v>
      </c>
      <c r="F138" s="2">
        <v>473.17523999999997</v>
      </c>
      <c r="G138" s="6" t="s">
        <v>31</v>
      </c>
      <c r="H138" s="2">
        <v>473.17523999999992</v>
      </c>
      <c r="I138" t="b">
        <v>1</v>
      </c>
      <c r="J138" t="str">
        <f>+_xlfn.XLOOKUP(PRODUCTOS[[#This Row],[CODIGO]],P_CRITICOS[CODIGO],P_CRITICOS[DESC CORTA],"",0)</f>
        <v>TORNILLO SIMPSON 6"</v>
      </c>
      <c r="K138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588</v>
      </c>
      <c r="M138" s="2">
        <f>+IFERROR(PRODUCTOS[[#This Row],[PPTO]]*PRODUCTOS[[#This Row],[CANT X MODULO]],"")</f>
        <v>278227.04112000001</v>
      </c>
      <c r="N138" s="2">
        <f>+IFERROR(PRODUCTOS[[#This Row],[PPTO X MODULO]]*32,"")</f>
        <v>8903265.3158400003</v>
      </c>
      <c r="O138" s="2">
        <f>+IFERROR(PRODUCTOS[[#This Row],[PPTO X TORRE]]*22,"")</f>
        <v>195871836.94848001</v>
      </c>
      <c r="P138" s="3">
        <f>+IFERROR(PRODUCTOS[[#This Row],[CANT X MODULO]]*702,"")</f>
        <v>412776</v>
      </c>
      <c r="Q138" s="3">
        <f>+SUMIFS(DETALLE_GD_1[CANTIDAD SOLICITADA],DETALLE_GD_1[CODIGO],PRODUCTOS[[#This Row],[CODIGO]])</f>
        <v>68298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68298</v>
      </c>
      <c r="T138" s="3">
        <f>+IFERROR(PRODUCTOS[[#This Row],[CANTIDAD RECIBIDA]]/PRODUCTOS[[#This Row],[CANT X MODULO]],"")</f>
        <v>116.15306122448979</v>
      </c>
      <c r="U138" s="3">
        <f>+SUMIFS(DETALLE_GD_1[VALOR TOTAL POR ITEM GD],DETALLE_GD_1[CODIGO],PRODUCTOS[[#This Row],[CODIGO]])</f>
        <v>31624546</v>
      </c>
      <c r="V138" s="3">
        <f>+IFERROR(PRODUCTOS[[#This Row],[PRECIO DE COMPRA]]/PRODUCTOS[[#This Row],[CANT. COMPRADA]],"")</f>
        <v>463.03765849658851</v>
      </c>
      <c r="W138" s="3">
        <f>+IFERROR(PRODUCTOS[[#This Row],[PRECIO COMPRA UNITARIO]]*PRODUCTOS[[#This Row],[PPTO FALTANTE]],"")</f>
        <v>160050818.8099798</v>
      </c>
      <c r="X138" s="7">
        <f>+IFERROR(PRODUCTOS[[#This Row],[PROYECCION COMPRA]]/PRODUCTOS[[#This Row],[PPTO TOTAL]]-1,"")</f>
        <v>-0.18287988052065995</v>
      </c>
      <c r="Y138" s="3">
        <f>+IFERROR((PRODUCTOS[[#This Row],[CANT X MODULO]]*704)-PRODUCTOS[[#This Row],[CANT. COMPRADA]],"")</f>
        <v>345654</v>
      </c>
      <c r="Z138" s="17">
        <f>+IFERROR(PRODUCTOS[[#This Row],[CANT. COMPRADA]]/PRODUCTOS[[#This Row],[PPTO FALTANTE]],"")</f>
        <v>0.19759065423805308</v>
      </c>
      <c r="AA138" s="3">
        <f>+IFERROR(PRODUCTOS[[#This Row],[PROYECCION COMPRA]]-(PRODUCTOS[[#This Row],[PPTO FALTANTE]]*PRODUCTOS[[#This Row],[PPTO]]),"")</f>
        <v>-3504095.5969801843</v>
      </c>
      <c r="AB138" s="3">
        <f>+_xlfn.XLOOKUP(PRODUCTOS[[#This Row],[CODIGO]],DETALLE_GD_1[CODIGO],DETALLE_GD_1[VALOR PPTO],"",0)</f>
        <v>473.17520000000002</v>
      </c>
      <c r="AC138" s="3">
        <f>+AB138-PRODUCTOS[[#This Row],[PPTO_ACTUALIZADO]]</f>
        <v>-3.9999999899009708E-5</v>
      </c>
    </row>
    <row r="139" spans="1:29" x14ac:dyDescent="0.25">
      <c r="A139">
        <v>407427</v>
      </c>
      <c r="B139" t="s">
        <v>172</v>
      </c>
      <c r="C139">
        <v>0</v>
      </c>
      <c r="D139" t="s">
        <v>240</v>
      </c>
      <c r="E139" t="s">
        <v>399</v>
      </c>
      <c r="F139" s="2">
        <v>22557.545454999999</v>
      </c>
      <c r="G139" s="6" t="s">
        <v>36</v>
      </c>
      <c r="H139" s="2">
        <v>22557.545454999999</v>
      </c>
      <c r="I139" t="b">
        <v>1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0.105</v>
      </c>
      <c r="M139" s="2">
        <f>+IFERROR(PRODUCTOS[[#This Row],[PPTO]]*PRODUCTOS[[#This Row],[CANT X MODULO]],"")</f>
        <v>2368.5422727749997</v>
      </c>
      <c r="N139" s="2">
        <f>+IFERROR(PRODUCTOS[[#This Row],[PPTO X MODULO]]*32,"")</f>
        <v>75793.35272879999</v>
      </c>
      <c r="O139" s="2">
        <f>+IFERROR(PRODUCTOS[[#This Row],[PPTO X TORRE]]*22,"")</f>
        <v>1667453.7600335998</v>
      </c>
      <c r="P139" s="3">
        <f>+IFERROR(PRODUCTOS[[#This Row],[CANT X MODULO]]*702,"")</f>
        <v>73.709999999999994</v>
      </c>
      <c r="Q139" s="3">
        <f>+SUMIFS(DETALLE_GD_1[CANTIDAD SOLICITADA],DETALLE_GD_1[CODIGO],PRODUCTOS[[#This Row],[CODIGO]])</f>
        <v>12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12</v>
      </c>
      <c r="T139" s="3">
        <f>+IFERROR(PRODUCTOS[[#This Row],[CANTIDAD RECIBIDA]]/PRODUCTOS[[#This Row],[CANT X MODULO]],"")</f>
        <v>114.28571428571429</v>
      </c>
      <c r="U139" s="3">
        <f>+SUMIFS(DETALLE_GD_1[VALOR TOTAL POR ITEM GD],DETALLE_GD_1[CODIGO],PRODUCTOS[[#This Row],[CODIGO]])</f>
        <v>270692</v>
      </c>
      <c r="V139" s="3">
        <f>+IFERROR(PRODUCTOS[[#This Row],[PRECIO DE COMPRA]]/PRODUCTOS[[#This Row],[CANT. COMPRADA]],"")</f>
        <v>22557.666666666668</v>
      </c>
      <c r="W139" s="3">
        <f>+IFERROR(PRODUCTOS[[#This Row],[PRECIO COMPRA UNITARIO]]*PRODUCTOS[[#This Row],[PPTO FALTANTE]],"")</f>
        <v>1396770.7200000002</v>
      </c>
      <c r="X139" s="7">
        <f>+IFERROR(PRODUCTOS[[#This Row],[PROYECCION COMPRA]]/PRODUCTOS[[#This Row],[PPTO TOTAL]]-1,"")</f>
        <v>-0.16233316120750796</v>
      </c>
      <c r="Y139" s="3">
        <f>+IFERROR((PRODUCTOS[[#This Row],[CANT X MODULO]]*704)-PRODUCTOS[[#This Row],[CANT. COMPRADA]],"")</f>
        <v>61.92</v>
      </c>
      <c r="Z139" s="17">
        <f>+IFERROR(PRODUCTOS[[#This Row],[CANT. COMPRADA]]/PRODUCTOS[[#This Row],[PPTO FALTANTE]],"")</f>
        <v>0.19379844961240308</v>
      </c>
      <c r="AA139" s="3">
        <f>+IFERROR(PRODUCTOS[[#This Row],[PROYECCION COMPRA]]-(PRODUCTOS[[#This Row],[PPTO FALTANTE]]*PRODUCTOS[[#This Row],[PPTO]]),"")</f>
        <v>7.5054264001082629</v>
      </c>
      <c r="AB139" s="3">
        <f>+_xlfn.XLOOKUP(PRODUCTOS[[#This Row],[CODIGO]],DETALLE_GD_1[CODIGO],DETALLE_GD_1[VALOR PPTO],"",0)</f>
        <v>22557.5455</v>
      </c>
      <c r="AC139" s="3">
        <f>+AB139-PRODUCTOS[[#This Row],[PPTO_ACTUALIZADO]]</f>
        <v>4.5000000682193786E-5</v>
      </c>
    </row>
    <row r="140" spans="1:29" x14ac:dyDescent="0.25">
      <c r="A140">
        <v>704022</v>
      </c>
      <c r="B140" t="s">
        <v>330</v>
      </c>
      <c r="C140" t="s">
        <v>666</v>
      </c>
      <c r="D140" t="s">
        <v>240</v>
      </c>
      <c r="E140" t="s">
        <v>402</v>
      </c>
      <c r="F140" s="2">
        <v>306</v>
      </c>
      <c r="G140" s="6" t="s">
        <v>31</v>
      </c>
      <c r="H140" s="2">
        <v>306.00000000000006</v>
      </c>
      <c r="I140" t="b">
        <v>1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14.175000000000001</v>
      </c>
      <c r="M140" s="2">
        <f>+IFERROR(PRODUCTOS[[#This Row],[PPTO]]*PRODUCTOS[[#This Row],[CANT X MODULO]],"")</f>
        <v>4337.55</v>
      </c>
      <c r="N140" s="2">
        <f>+IFERROR(PRODUCTOS[[#This Row],[PPTO X MODULO]]*32,"")</f>
        <v>138801.60000000001</v>
      </c>
      <c r="O140" s="2">
        <f>+IFERROR(PRODUCTOS[[#This Row],[PPTO X TORRE]]*22,"")</f>
        <v>3053635.2</v>
      </c>
      <c r="P140" s="3">
        <f>+IFERROR(PRODUCTOS[[#This Row],[CANT X MODULO]]*702,"")</f>
        <v>9950.85</v>
      </c>
      <c r="Q140" s="3">
        <f>+SUMIFS(DETALLE_GD_1[CANTIDAD SOLICITADA],DETALLE_GD_1[CODIGO],PRODUCTOS[[#This Row],[CODIGO]])</f>
        <v>1610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1610</v>
      </c>
      <c r="T140" s="3">
        <f>+IFERROR(PRODUCTOS[[#This Row],[CANTIDAD RECIBIDA]]/PRODUCTOS[[#This Row],[CANT X MODULO]],"")</f>
        <v>113.58024691358024</v>
      </c>
      <c r="U140" s="3">
        <f>+SUMIFS(DETALLE_GD_1[VALOR TOTAL POR ITEM GD],DETALLE_GD_1[CODIGO],PRODUCTOS[[#This Row],[CODIGO]])</f>
        <v>416003</v>
      </c>
      <c r="V140" s="3">
        <f>+IFERROR(PRODUCTOS[[#This Row],[PRECIO DE COMPRA]]/PRODUCTOS[[#This Row],[CANT. COMPRADA]],"")</f>
        <v>258.38695652173914</v>
      </c>
      <c r="W140" s="3">
        <f>+IFERROR(PRODUCTOS[[#This Row],[PRECIO COMPRA UNITARIO]]*PRODUCTOS[[#This Row],[PPTO FALTANTE]],"")</f>
        <v>2162492.1165217394</v>
      </c>
      <c r="X140" s="7">
        <f>+IFERROR(PRODUCTOS[[#This Row],[PROYECCION COMPRA]]/PRODUCTOS[[#This Row],[PPTO TOTAL]]-1,"")</f>
        <v>-0.29183023678737419</v>
      </c>
      <c r="Y140" s="3">
        <f>+IFERROR((PRODUCTOS[[#This Row],[CANT X MODULO]]*704)-PRODUCTOS[[#This Row],[CANT. COMPRADA]],"")</f>
        <v>8369.2000000000007</v>
      </c>
      <c r="Z140" s="17">
        <f>+IFERROR(PRODUCTOS[[#This Row],[CANT. COMPRADA]]/PRODUCTOS[[#This Row],[PPTO FALTANTE]],"")</f>
        <v>0.19237203077952492</v>
      </c>
      <c r="AA140" s="3">
        <f>+IFERROR(PRODUCTOS[[#This Row],[PROYECCION COMPRA]]-(PRODUCTOS[[#This Row],[PPTO FALTANTE]]*PRODUCTOS[[#This Row],[PPTO]]),"")</f>
        <v>-398483.08347826079</v>
      </c>
      <c r="AB140" s="3">
        <f>+_xlfn.XLOOKUP(PRODUCTOS[[#This Row],[CODIGO]],DETALLE_GD_1[CODIGO],DETALLE_GD_1[VALOR PPTO],"",0)</f>
        <v>306</v>
      </c>
      <c r="AC140" s="3">
        <f>+AB140-PRODUCTOS[[#This Row],[PPTO_ACTUALIZADO]]</f>
        <v>0</v>
      </c>
    </row>
    <row r="141" spans="1:29" x14ac:dyDescent="0.25">
      <c r="A141">
        <v>304049</v>
      </c>
      <c r="B141" t="s">
        <v>318</v>
      </c>
      <c r="C141" t="s">
        <v>536</v>
      </c>
      <c r="D141" t="s">
        <v>240</v>
      </c>
      <c r="E141" t="s">
        <v>403</v>
      </c>
      <c r="F141" s="2">
        <v>14982</v>
      </c>
      <c r="G141" s="6" t="s">
        <v>18</v>
      </c>
      <c r="H141" s="2">
        <v>14981.999999999993</v>
      </c>
      <c r="I141" t="b">
        <v>1</v>
      </c>
      <c r="J141" t="str">
        <f>+_xlfn.XLOOKUP(PRODUCTOS[[#This Row],[CODIGO]],P_CRITICOS[CODIGO],P_CRITICOS[DESC CORTA],"",0)</f>
        <v>TERCIADO FENOLICO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23.273250000000008</v>
      </c>
      <c r="M141" s="2">
        <f>+IFERROR(PRODUCTOS[[#This Row],[PPTO]]*PRODUCTOS[[#This Row],[CANT X MODULO]],"")</f>
        <v>348679.83150000015</v>
      </c>
      <c r="N141" s="2">
        <f>+IFERROR(PRODUCTOS[[#This Row],[PPTO X MODULO]]*32,"")</f>
        <v>11157754.608000005</v>
      </c>
      <c r="O141" s="2">
        <f>+IFERROR(PRODUCTOS[[#This Row],[PPTO X TORRE]]*22,"")</f>
        <v>245470601.37600011</v>
      </c>
      <c r="P141" s="3">
        <f>+IFERROR(PRODUCTOS[[#This Row],[CANT X MODULO]]*702,"")</f>
        <v>16337.821500000005</v>
      </c>
      <c r="Q141" s="3">
        <f>+SUMIFS(DETALLE_GD_1[CANTIDAD SOLICITADA],DETALLE_GD_1[CODIGO],PRODUCTOS[[#This Row],[CODIGO]])</f>
        <v>2640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2640</v>
      </c>
      <c r="T141" s="3">
        <f>+IFERROR(PRODUCTOS[[#This Row],[CANTIDAD RECIBIDA]]/PRODUCTOS[[#This Row],[CANT X MODULO]],"")</f>
        <v>113.43495214462952</v>
      </c>
      <c r="U141" s="3">
        <f>+SUMIFS(DETALLE_GD_1[VALOR TOTAL POR ITEM GD],DETALLE_GD_1[CODIGO],PRODUCTOS[[#This Row],[CODIGO]])</f>
        <v>39851110</v>
      </c>
      <c r="V141" s="3">
        <f>+IFERROR(PRODUCTOS[[#This Row],[PRECIO DE COMPRA]]/PRODUCTOS[[#This Row],[CANT. COMPRADA]],"")</f>
        <v>15095.117424242424</v>
      </c>
      <c r="W141" s="3">
        <f>+IFERROR(PRODUCTOS[[#This Row],[PRECIO COMPRA UNITARIO]]*PRODUCTOS[[#This Row],[PPTO FALTANTE]],"")</f>
        <v>207472848.88200009</v>
      </c>
      <c r="X141" s="7">
        <f>+IFERROR(PRODUCTOS[[#This Row],[PROYECCION COMPRA]]/PRODUCTOS[[#This Row],[PPTO TOTAL]]-1,"")</f>
        <v>-0.15479553266664658</v>
      </c>
      <c r="Y141" s="3">
        <f>+IFERROR((PRODUCTOS[[#This Row],[CANT X MODULO]]*704)-PRODUCTOS[[#This Row],[CANT. COMPRADA]],"")</f>
        <v>13744.368000000006</v>
      </c>
      <c r="Z141" s="17">
        <f>+IFERROR(PRODUCTOS[[#This Row],[CANT. COMPRADA]]/PRODUCTOS[[#This Row],[PPTO FALTANTE]],"")</f>
        <v>0.19207867542545418</v>
      </c>
      <c r="AA141" s="3">
        <f>+IFERROR(PRODUCTOS[[#This Row],[PROYECCION COMPRA]]-(PRODUCTOS[[#This Row],[PPTO FALTANTE]]*PRODUCTOS[[#This Row],[PPTO]]),"")</f>
        <v>1554727.5060000122</v>
      </c>
      <c r="AB141" s="3">
        <f>+_xlfn.XLOOKUP(PRODUCTOS[[#This Row],[CODIGO]],DETALLE_GD_1[CODIGO],DETALLE_GD_1[VALOR PPTO],"",0)</f>
        <v>14982</v>
      </c>
      <c r="AC141" s="3">
        <f>+AB141-PRODUCTOS[[#This Row],[PPTO_ACTUALIZADO]]</f>
        <v>0</v>
      </c>
    </row>
    <row r="142" spans="1:29" x14ac:dyDescent="0.25">
      <c r="A142">
        <v>1901008</v>
      </c>
      <c r="B142" t="s">
        <v>278</v>
      </c>
      <c r="C142" t="s">
        <v>537</v>
      </c>
      <c r="D142" t="s">
        <v>240</v>
      </c>
      <c r="E142" t="s">
        <v>404</v>
      </c>
      <c r="F142" s="2">
        <v>2112.795779</v>
      </c>
      <c r="G142" s="6" t="s">
        <v>26</v>
      </c>
      <c r="H142" s="2">
        <v>2112.795779</v>
      </c>
      <c r="I142" t="b">
        <v>1</v>
      </c>
      <c r="J142" t="str">
        <f>+_xlfn.XLOOKUP(PRODUCTOS[[#This Row],[CODIGO]],P_CRITICOS[CODIGO],P_CRITICOS[DESC CORTA],"",0)</f>
        <v>AISLAN GLASS 90MM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62.430325650000007</v>
      </c>
      <c r="M142" s="2">
        <f>+IFERROR(PRODUCTOS[[#This Row],[PPTO]]*PRODUCTOS[[#This Row],[CANT X MODULO]],"")</f>
        <v>131902.52851491544</v>
      </c>
      <c r="N142" s="2">
        <f>+IFERROR(PRODUCTOS[[#This Row],[PPTO X MODULO]]*32,"")</f>
        <v>4220880.912477294</v>
      </c>
      <c r="O142" s="2">
        <f>+IFERROR(PRODUCTOS[[#This Row],[PPTO X TORRE]]*22,"")</f>
        <v>92859380.074500471</v>
      </c>
      <c r="P142" s="3">
        <f>+IFERROR(PRODUCTOS[[#This Row],[CANT X MODULO]]*702,"")</f>
        <v>43826.088606300007</v>
      </c>
      <c r="Q142" s="3">
        <f>+SUMIFS(DETALLE_GD_1[CANTIDAD SOLICITADA],DETALLE_GD_1[CODIGO],PRODUCTOS[[#This Row],[CODIGO]])</f>
        <v>7017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7017</v>
      </c>
      <c r="T142" s="3">
        <f>+IFERROR(PRODUCTOS[[#This Row],[CANTIDAD RECIBIDA]]/PRODUCTOS[[#This Row],[CANT X MODULO]],"")</f>
        <v>112.39729934037273</v>
      </c>
      <c r="U142" s="3">
        <f>+SUMIFS(DETALLE_GD_1[VALOR TOTAL POR ITEM GD],DETALLE_GD_1[CODIGO],PRODUCTOS[[#This Row],[CODIGO]])</f>
        <v>14475950</v>
      </c>
      <c r="V142" s="3">
        <f>+IFERROR(PRODUCTOS[[#This Row],[PRECIO DE COMPRA]]/PRODUCTOS[[#This Row],[CANT. COMPRADA]],"")</f>
        <v>2062.9827561636025</v>
      </c>
      <c r="W142" s="3">
        <f>+IFERROR(PRODUCTOS[[#This Row],[PRECIO COMPRA UNITARIO]]*PRODUCTOS[[#This Row],[PPTO FALTANTE]],"")</f>
        <v>76194100.435450301</v>
      </c>
      <c r="X142" s="7">
        <f>+IFERROR(PRODUCTOS[[#This Row],[PROYECCION COMPRA]]/PRODUCTOS[[#This Row],[PPTO TOTAL]]-1,"")</f>
        <v>-0.17946791832639553</v>
      </c>
      <c r="Y142" s="3">
        <f>+IFERROR((PRODUCTOS[[#This Row],[CANT X MODULO]]*704)-PRODUCTOS[[#This Row],[CANT. COMPRADA]],"")</f>
        <v>36933.949257600005</v>
      </c>
      <c r="Z142" s="17">
        <f>+IFERROR(PRODUCTOS[[#This Row],[CANT. COMPRADA]]/PRODUCTOS[[#This Row],[PPTO FALTANTE]],"")</f>
        <v>0.18998780636912507</v>
      </c>
      <c r="AA142" s="3">
        <f>+IFERROR(PRODUCTOS[[#This Row],[PROYECCION COMPRA]]-(PRODUCTOS[[#This Row],[PPTO FALTANTE]]*PRODUCTOS[[#This Row],[PPTO]]),"")</f>
        <v>-1839791.6578071713</v>
      </c>
      <c r="AB142" s="3">
        <f>+_xlfn.XLOOKUP(PRODUCTOS[[#This Row],[CODIGO]],DETALLE_GD_1[CODIGO],DETALLE_GD_1[VALOR PPTO],"",0)</f>
        <v>2112.7957999999999</v>
      </c>
      <c r="AC142" s="3">
        <f>+AB142-PRODUCTOS[[#This Row],[PPTO_ACTUALIZADO]]</f>
        <v>2.0999999833293259E-5</v>
      </c>
    </row>
    <row r="143" spans="1:29" x14ac:dyDescent="0.25">
      <c r="A143">
        <v>304101</v>
      </c>
      <c r="B143" t="s">
        <v>17</v>
      </c>
      <c r="C143" t="s">
        <v>532</v>
      </c>
      <c r="D143" t="s">
        <v>240</v>
      </c>
      <c r="E143" t="s">
        <v>401</v>
      </c>
      <c r="F143" s="2">
        <v>9657.5879499999992</v>
      </c>
      <c r="G143" s="6" t="s">
        <v>18</v>
      </c>
      <c r="H143" s="2">
        <v>9657.5879500000046</v>
      </c>
      <c r="I143" t="b">
        <v>1</v>
      </c>
      <c r="J143" t="str">
        <f>+_xlfn.XLOOKUP(PRODUCTOS[[#This Row],[CODIGO]],P_CRITICOS[CODIGO],P_CRITICOS[DESC CORTA],"",0)</f>
        <v>OSB 9.5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47.643749999999976</v>
      </c>
      <c r="M143" s="2">
        <f>+IFERROR(PRODUCTOS[[#This Row],[PPTO]]*PRODUCTOS[[#This Row],[CANT X MODULO]],"")</f>
        <v>460123.70589281223</v>
      </c>
      <c r="N143" s="2">
        <f>+IFERROR(PRODUCTOS[[#This Row],[PPTO X MODULO]]*32,"")</f>
        <v>14723958.588569991</v>
      </c>
      <c r="O143" s="2">
        <f>+IFERROR(PRODUCTOS[[#This Row],[PPTO X TORRE]]*22,"")</f>
        <v>323927088.94853979</v>
      </c>
      <c r="P143" s="3">
        <f>+IFERROR(PRODUCTOS[[#This Row],[CANT X MODULO]]*702,"")</f>
        <v>33445.912499999984</v>
      </c>
      <c r="Q143" s="3">
        <f>+SUMIFS(DETALLE_GD_1[CANTIDAD SOLICITADA],DETALLE_GD_1[CODIGO],PRODUCTOS[[#This Row],[CODIGO]])</f>
        <v>5221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5221</v>
      </c>
      <c r="T143" s="3">
        <f>+IFERROR(PRODUCTOS[[#This Row],[CANTIDAD RECIBIDA]]/PRODUCTOS[[#This Row],[CANT X MODULO]],"")</f>
        <v>109.58415322051691</v>
      </c>
      <c r="U143" s="3">
        <f>+SUMIFS(DETALLE_GD_1[VALOR TOTAL POR ITEM GD],DETALLE_GD_1[CODIGO],PRODUCTOS[[#This Row],[CODIGO]])</f>
        <v>50378048</v>
      </c>
      <c r="V143" s="3">
        <f>+IFERROR(PRODUCTOS[[#This Row],[PRECIO DE COMPRA]]/PRODUCTOS[[#This Row],[CANT. COMPRADA]],"")</f>
        <v>9649.1185596629002</v>
      </c>
      <c r="W143" s="3">
        <f>+IFERROR(PRODUCTOS[[#This Row],[PRECIO COMPRA UNITARIO]]*PRODUCTOS[[#This Row],[PPTO FALTANTE]],"")</f>
        <v>273264967.43336511</v>
      </c>
      <c r="X143" s="7">
        <f>+IFERROR(PRODUCTOS[[#This Row],[PROYECCION COMPRA]]/PRODUCTOS[[#This Row],[PPTO TOTAL]]-1,"")</f>
        <v>-0.15639976786017751</v>
      </c>
      <c r="Y143" s="3">
        <f>+IFERROR((PRODUCTOS[[#This Row],[CANT X MODULO]]*704)-PRODUCTOS[[#This Row],[CANT. COMPRADA]],"")</f>
        <v>28320.199999999983</v>
      </c>
      <c r="Z143" s="17">
        <f>+IFERROR(PRODUCTOS[[#This Row],[CANT. COMPRADA]]/PRODUCTOS[[#This Row],[PPTO FALTANTE]],"")</f>
        <v>0.18435604268331449</v>
      </c>
      <c r="AA143" s="3">
        <f>+IFERROR(PRODUCTOS[[#This Row],[PROYECCION COMPRA]]-(PRODUCTOS[[#This Row],[PPTO FALTANTE]]*PRODUCTOS[[#This Row],[PPTO]]),"")</f>
        <v>-239854.82822471857</v>
      </c>
      <c r="AB143" s="3">
        <f>+_xlfn.XLOOKUP(PRODUCTOS[[#This Row],[CODIGO]],DETALLE_GD_1[CODIGO],DETALLE_GD_1[VALOR PPTO],"",0)</f>
        <v>9657.5879999999997</v>
      </c>
      <c r="AC143" s="3">
        <f>+AB143-PRODUCTOS[[#This Row],[PPTO_ACTUALIZADO]]</f>
        <v>4.9999995098914951E-5</v>
      </c>
    </row>
    <row r="144" spans="1:29" x14ac:dyDescent="0.25">
      <c r="A144">
        <v>412302</v>
      </c>
      <c r="B144" t="s">
        <v>165</v>
      </c>
      <c r="C144">
        <v>0</v>
      </c>
      <c r="D144" t="s">
        <v>240</v>
      </c>
      <c r="E144" t="s">
        <v>399</v>
      </c>
      <c r="F144" s="2">
        <v>4742.4586669999999</v>
      </c>
      <c r="G144" s="6" t="s">
        <v>31</v>
      </c>
      <c r="H144" s="2">
        <v>4742.4586669999999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1.05</v>
      </c>
      <c r="M144" s="2">
        <f>+IFERROR(PRODUCTOS[[#This Row],[PPTO]]*PRODUCTOS[[#This Row],[CANT X MODULO]],"")</f>
        <v>4979.5816003500004</v>
      </c>
      <c r="N144" s="2">
        <f>+IFERROR(PRODUCTOS[[#This Row],[PPTO X MODULO]]*32,"")</f>
        <v>159346.61121120001</v>
      </c>
      <c r="O144" s="2">
        <f>+IFERROR(PRODUCTOS[[#This Row],[PPTO X TORRE]]*22,"")</f>
        <v>3505625.4466464003</v>
      </c>
      <c r="P144" s="3">
        <f>+IFERROR(PRODUCTOS[[#This Row],[CANT X MODULO]]*702,"")</f>
        <v>737.1</v>
      </c>
      <c r="Q144" s="3">
        <f>+SUMIFS(DETALLE_GD_1[CANTIDAD SOLICITADA],DETALLE_GD_1[CODIGO],PRODUCTOS[[#This Row],[CODIGO]])</f>
        <v>115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115</v>
      </c>
      <c r="T144" s="3">
        <f>+IFERROR(PRODUCTOS[[#This Row],[CANTIDAD RECIBIDA]]/PRODUCTOS[[#This Row],[CANT X MODULO]],"")</f>
        <v>109.52380952380952</v>
      </c>
      <c r="U144" s="3">
        <f>+SUMIFS(DETALLE_GD_1[VALOR TOTAL POR ITEM GD],DETALLE_GD_1[CODIGO],PRODUCTOS[[#This Row],[CODIGO]])</f>
        <v>545384</v>
      </c>
      <c r="V144" s="3">
        <f>+IFERROR(PRODUCTOS[[#This Row],[PRECIO DE COMPRA]]/PRODUCTOS[[#This Row],[CANT. COMPRADA]],"")</f>
        <v>4742.4695652173914</v>
      </c>
      <c r="W144" s="3">
        <f>+IFERROR(PRODUCTOS[[#This Row],[PRECIO COMPRA UNITARIO]]*PRODUCTOS[[#This Row],[PPTO FALTANTE]],"")</f>
        <v>2960249.502608696</v>
      </c>
      <c r="X144" s="7">
        <f>+IFERROR(PRODUCTOS[[#This Row],[PROYECCION COMPRA]]/PRODUCTOS[[#This Row],[PPTO TOTAL]]-1,"")</f>
        <v>-0.15557165257327454</v>
      </c>
      <c r="Y144" s="3">
        <f>+IFERROR((PRODUCTOS[[#This Row],[CANT X MODULO]]*704)-PRODUCTOS[[#This Row],[CANT. COMPRADA]],"")</f>
        <v>624.20000000000005</v>
      </c>
      <c r="Z144" s="17">
        <f>+IFERROR(PRODUCTOS[[#This Row],[CANT. COMPRADA]]/PRODUCTOS[[#This Row],[PPTO FALTANTE]],"")</f>
        <v>0.18423582185197052</v>
      </c>
      <c r="AA144" s="3">
        <f>+IFERROR(PRODUCTOS[[#This Row],[PROYECCION COMPRA]]-(PRODUCTOS[[#This Row],[PPTO FALTANTE]]*PRODUCTOS[[#This Row],[PPTO]]),"")</f>
        <v>6.802667296025902</v>
      </c>
      <c r="AB144" s="3">
        <f>+_xlfn.XLOOKUP(PRODUCTOS[[#This Row],[CODIGO]],DETALLE_GD_1[CODIGO],DETALLE_GD_1[VALOR PPTO],"",0)</f>
        <v>4742.4587000000001</v>
      </c>
      <c r="AC144" s="3">
        <f>+AB144-PRODUCTOS[[#This Row],[PPTO_ACTUALIZADO]]</f>
        <v>3.3000000257743523E-5</v>
      </c>
    </row>
    <row r="145" spans="1:29" x14ac:dyDescent="0.25">
      <c r="A145">
        <v>412630</v>
      </c>
      <c r="B145" t="s">
        <v>284</v>
      </c>
      <c r="C145">
        <v>0</v>
      </c>
      <c r="D145" t="s">
        <v>244</v>
      </c>
      <c r="E145" t="s">
        <v>410</v>
      </c>
      <c r="F145" s="2">
        <v>148200</v>
      </c>
      <c r="G145" s="6" t="s">
        <v>31</v>
      </c>
      <c r="H145" s="2">
        <v>148200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0.52500000000000002</v>
      </c>
      <c r="M145" s="2">
        <f>+IFERROR(PRODUCTOS[[#This Row],[PPTO]]*PRODUCTOS[[#This Row],[CANT X MODULO]],"")</f>
        <v>77805</v>
      </c>
      <c r="N145" s="2">
        <f>+IFERROR(PRODUCTOS[[#This Row],[PPTO X MODULO]]*32,"")</f>
        <v>2489760</v>
      </c>
      <c r="O145" s="2">
        <f>+IFERROR(PRODUCTOS[[#This Row],[PPTO X TORRE]]*22,"")</f>
        <v>54774720</v>
      </c>
      <c r="P145" s="3">
        <f>+IFERROR(PRODUCTOS[[#This Row],[CANT X MODULO]]*702,"")</f>
        <v>368.55</v>
      </c>
      <c r="Q145" s="3">
        <f>+SUMIFS(DETALLE_GD_1[CANTIDAD SOLICITADA],DETALLE_GD_1[CODIGO],PRODUCTOS[[#This Row],[CODIGO]])</f>
        <v>67</v>
      </c>
      <c r="R145" s="3">
        <f>+SUMIFS(DETALLE_GD_1[DEVOLUCIÓN],DETALLE_GD_1[CODIGO],PRODUCTOS[[#This Row],[CODIGO]])</f>
        <v>10</v>
      </c>
      <c r="S145" s="3">
        <f>+PRODUCTOS[[#This Row],[CANT. COMPRADA]]-PRODUCTOS[[#This Row],[DEVOLUCIONES]]</f>
        <v>57</v>
      </c>
      <c r="T145" s="3">
        <f>+IFERROR(PRODUCTOS[[#This Row],[CANTIDAD RECIBIDA]]/PRODUCTOS[[#This Row],[CANT X MODULO]],"")</f>
        <v>108.57142857142857</v>
      </c>
      <c r="U145" s="3">
        <f>+SUMIFS(DETALLE_GD_1[VALOR TOTAL POR ITEM GD],DETALLE_GD_1[CODIGO],PRODUCTOS[[#This Row],[CODIGO]])</f>
        <v>8567100</v>
      </c>
      <c r="V145" s="3">
        <f>+IFERROR(PRODUCTOS[[#This Row],[PRECIO DE COMPRA]]/PRODUCTOS[[#This Row],[CANT. COMPRADA]],"")</f>
        <v>127867.16417910448</v>
      </c>
      <c r="W145" s="3">
        <f>+IFERROR(PRODUCTOS[[#This Row],[PRECIO COMPRA UNITARIO]]*PRODUCTOS[[#This Row],[PPTO FALTANTE]],"")</f>
        <v>38692603.880597018</v>
      </c>
      <c r="X145" s="7">
        <f>+IFERROR(PRODUCTOS[[#This Row],[PROYECCION COMPRA]]/PRODUCTOS[[#This Row],[PPTO TOTAL]]-1,"")</f>
        <v>-0.29360471617934303</v>
      </c>
      <c r="Y145" s="3">
        <f>+IFERROR((PRODUCTOS[[#This Row],[CANT X MODULO]]*704)-PRODUCTOS[[#This Row],[CANT. COMPRADA]],"")</f>
        <v>302.60000000000002</v>
      </c>
      <c r="Z145" s="17">
        <f>+IFERROR(PRODUCTOS[[#This Row],[CANT. COMPRADA]]/PRODUCTOS[[#This Row],[PPTO FALTANTE]],"")</f>
        <v>0.2214144084600132</v>
      </c>
      <c r="AA145" s="3">
        <f>+IFERROR(PRODUCTOS[[#This Row],[PROYECCION COMPRA]]-(PRODUCTOS[[#This Row],[PPTO FALTANTE]]*PRODUCTOS[[#This Row],[PPTO]]),"")</f>
        <v>-6152716.1194029823</v>
      </c>
      <c r="AB145" s="3">
        <f>+_xlfn.XLOOKUP(PRODUCTOS[[#This Row],[CODIGO]],DETALLE_GD_1[CODIGO],DETALLE_GD_1[VALOR PPTO],"",0)</f>
        <v>148200</v>
      </c>
      <c r="AC145" s="3">
        <f>+AB145-PRODUCTOS[[#This Row],[PPTO_ACTUALIZADO]]</f>
        <v>0</v>
      </c>
    </row>
    <row r="146" spans="1:29" x14ac:dyDescent="0.25">
      <c r="A146">
        <v>412260</v>
      </c>
      <c r="B146" t="s">
        <v>41</v>
      </c>
      <c r="C146" t="s">
        <v>548</v>
      </c>
      <c r="D146" t="s">
        <v>240</v>
      </c>
      <c r="E146" t="s">
        <v>399</v>
      </c>
      <c r="F146" s="2">
        <v>87567.442477999997</v>
      </c>
      <c r="G146" s="6" t="s">
        <v>31</v>
      </c>
      <c r="H146" s="2">
        <v>87567.442477999983</v>
      </c>
      <c r="I146" t="b">
        <v>1</v>
      </c>
      <c r="J146" t="str">
        <f>+_xlfn.XLOOKUP(PRODUCTOS[[#This Row],[CODIGO]],P_CRITICOS[CODIGO],P_CRITICOS[DESC CORTA],"",0)</f>
        <v>HOLDOWN PB1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5.7750000000000004</v>
      </c>
      <c r="M146" s="2">
        <f>+IFERROR(PRODUCTOS[[#This Row],[PPTO]]*PRODUCTOS[[#This Row],[CANT X MODULO]],"")</f>
        <v>505701.98031045002</v>
      </c>
      <c r="N146" s="2">
        <f>+IFERROR(PRODUCTOS[[#This Row],[PPTO X MODULO]]*32,"")</f>
        <v>16182463.369934401</v>
      </c>
      <c r="O146" s="2">
        <f>+IFERROR(PRODUCTOS[[#This Row],[PPTO X TORRE]]*22,"")</f>
        <v>356014194.13855684</v>
      </c>
      <c r="P146" s="3">
        <f>+IFERROR(PRODUCTOS[[#This Row],[CANT X MODULO]]*702,"")</f>
        <v>4054.05</v>
      </c>
      <c r="Q146" s="3">
        <f>+SUMIFS(DETALLE_GD_1[CANTIDAD SOLICITADA],DETALLE_GD_1[CODIGO],PRODUCTOS[[#This Row],[CODIGO]])</f>
        <v>620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620</v>
      </c>
      <c r="T146" s="3">
        <f>+IFERROR(PRODUCTOS[[#This Row],[CANTIDAD RECIBIDA]]/PRODUCTOS[[#This Row],[CANT X MODULO]],"")</f>
        <v>107.35930735930735</v>
      </c>
      <c r="U146" s="3">
        <f>+SUMIFS(DETALLE_GD_1[VALOR TOTAL POR ITEM GD],DETALLE_GD_1[CODIGO],PRODUCTOS[[#This Row],[CODIGO]])</f>
        <v>53852106</v>
      </c>
      <c r="V146" s="3">
        <f>+IFERROR(PRODUCTOS[[#This Row],[PRECIO DE COMPRA]]/PRODUCTOS[[#This Row],[CANT. COMPRADA]],"")</f>
        <v>86858.235483870973</v>
      </c>
      <c r="W146" s="3">
        <f>+IFERROR(PRODUCTOS[[#This Row],[PRECIO COMPRA UNITARIO]]*PRODUCTOS[[#This Row],[PPTO FALTANTE]],"")</f>
        <v>299278736.18322587</v>
      </c>
      <c r="X146" s="7">
        <f>+IFERROR(PRODUCTOS[[#This Row],[PROYECCION COMPRA]]/PRODUCTOS[[#This Row],[PPTO TOTAL]]-1,"")</f>
        <v>-0.1593629099328836</v>
      </c>
      <c r="Y146" s="3">
        <f>+IFERROR((PRODUCTOS[[#This Row],[CANT X MODULO]]*704)-PRODUCTOS[[#This Row],[CANT. COMPRADA]],"")</f>
        <v>3445.6000000000004</v>
      </c>
      <c r="Z146" s="17">
        <f>+IFERROR(PRODUCTOS[[#This Row],[CANT. COMPRADA]]/PRODUCTOS[[#This Row],[PPTO FALTANTE]],"")</f>
        <v>0.17993963315532852</v>
      </c>
      <c r="AA146" s="3">
        <f>+IFERROR(PRODUCTOS[[#This Row],[PROYECCION COMPRA]]-(PRODUCTOS[[#This Row],[PPTO FALTANTE]]*PRODUCTOS[[#This Row],[PPTO]]),"")</f>
        <v>-2443643.6189709306</v>
      </c>
      <c r="AB146" s="3">
        <f>+_xlfn.XLOOKUP(PRODUCTOS[[#This Row],[CODIGO]],DETALLE_GD_1[CODIGO],DETALLE_GD_1[VALOR PPTO],"",0)</f>
        <v>87567.442500000005</v>
      </c>
      <c r="AC146" s="3">
        <f>+AB146-PRODUCTOS[[#This Row],[PPTO_ACTUALIZADO]]</f>
        <v>2.2000021999701858E-5</v>
      </c>
    </row>
    <row r="147" spans="1:29" x14ac:dyDescent="0.25">
      <c r="A147">
        <v>5309018</v>
      </c>
      <c r="B147" t="s">
        <v>112</v>
      </c>
      <c r="C147">
        <v>0</v>
      </c>
      <c r="D147" t="s">
        <v>244</v>
      </c>
      <c r="E147">
        <v>0</v>
      </c>
      <c r="F147" s="2">
        <v>699.99923200000001</v>
      </c>
      <c r="G147" s="6" t="s">
        <v>113</v>
      </c>
      <c r="H147" s="2">
        <v>699.99923200000046</v>
      </c>
      <c r="I147" t="b">
        <v>1</v>
      </c>
      <c r="J147" t="str">
        <f>+_xlfn.XLOOKUP(PRODUCTOS[[#This Row],[CODIGO]],P_CRITICOS[CODIGO],P_CRITICOS[DESC CORTA],"",0)</f>
        <v/>
      </c>
      <c r="K147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34.649999999999991</v>
      </c>
      <c r="M147" s="2">
        <f>+IFERROR(PRODUCTOS[[#This Row],[PPTO]]*PRODUCTOS[[#This Row],[CANT X MODULO]],"")</f>
        <v>24254.973388799994</v>
      </c>
      <c r="N147" s="2">
        <f>+IFERROR(PRODUCTOS[[#This Row],[PPTO X MODULO]]*32,"")</f>
        <v>776159.1484415998</v>
      </c>
      <c r="O147" s="2">
        <f>+IFERROR(PRODUCTOS[[#This Row],[PPTO X TORRE]]*22,"")</f>
        <v>17075501.265715197</v>
      </c>
      <c r="P147" s="3">
        <f>+IFERROR(PRODUCTOS[[#This Row],[CANT X MODULO]]*702,"")</f>
        <v>24324.299999999996</v>
      </c>
      <c r="Q147" s="3">
        <f>+SUMIFS(DETALLE_GD_1[CANTIDAD SOLICITADA],DETALLE_GD_1[CODIGO],PRODUCTOS[[#This Row],[CODIGO]])</f>
        <v>3700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3700</v>
      </c>
      <c r="T147" s="3">
        <f>+IFERROR(PRODUCTOS[[#This Row],[CANTIDAD RECIBIDA]]/PRODUCTOS[[#This Row],[CANT X MODULO]],"")</f>
        <v>106.78210678210681</v>
      </c>
      <c r="U147" s="3">
        <f>+SUMIFS(DETALLE_GD_1[VALOR TOTAL POR ITEM GD],DETALLE_GD_1[CODIGO],PRODUCTOS[[#This Row],[CODIGO]])</f>
        <v>2619115</v>
      </c>
      <c r="V147" s="3">
        <f>+IFERROR(PRODUCTOS[[#This Row],[PRECIO DE COMPRA]]/PRODUCTOS[[#This Row],[CANT. COMPRADA]],"")</f>
        <v>707.86891891891889</v>
      </c>
      <c r="W147" s="3">
        <f>+IFERROR(PRODUCTOS[[#This Row],[PRECIO COMPRA UNITARIO]]*PRODUCTOS[[#This Row],[PPTO FALTANTE]],"")</f>
        <v>14648356.260540536</v>
      </c>
      <c r="X147" s="7">
        <f>+IFERROR(PRODUCTOS[[#This Row],[PROYECCION COMPRA]]/PRODUCTOS[[#This Row],[PPTO TOTAL]]-1,"")</f>
        <v>-0.14214194754258658</v>
      </c>
      <c r="Y147" s="3">
        <f>+IFERROR((PRODUCTOS[[#This Row],[CANT X MODULO]]*704)-PRODUCTOS[[#This Row],[CANT. COMPRADA]],"")</f>
        <v>20693.599999999995</v>
      </c>
      <c r="Z147" s="17">
        <f>+IFERROR(PRODUCTOS[[#This Row],[CANT. COMPRADA]]/PRODUCTOS[[#This Row],[PPTO FALTANTE]],"")</f>
        <v>0.17879924227780575</v>
      </c>
      <c r="AA147" s="3">
        <f>+IFERROR(PRODUCTOS[[#This Row],[PROYECCION COMPRA]]-(PRODUCTOS[[#This Row],[PPTO FALTANTE]]*PRODUCTOS[[#This Row],[PPTO]]),"")</f>
        <v>162852.15322533995</v>
      </c>
      <c r="AB147" s="3">
        <f>+_xlfn.XLOOKUP(PRODUCTOS[[#This Row],[CODIGO]],DETALLE_GD_1[CODIGO],DETALLE_GD_1[VALOR PPTO],"",0)</f>
        <v>699.99919999999997</v>
      </c>
      <c r="AC147" s="3">
        <f>+AB147-PRODUCTOS[[#This Row],[PPTO_ACTUALIZADO]]</f>
        <v>-3.2000000487641955E-5</v>
      </c>
    </row>
    <row r="148" spans="1:29" x14ac:dyDescent="0.25">
      <c r="A148">
        <v>602255</v>
      </c>
      <c r="B148" t="s">
        <v>203</v>
      </c>
      <c r="C148">
        <v>0</v>
      </c>
      <c r="D148" t="s">
        <v>244</v>
      </c>
      <c r="E148" t="s">
        <v>407</v>
      </c>
      <c r="F148" s="2">
        <v>47889.5</v>
      </c>
      <c r="G148" s="6" t="s">
        <v>25</v>
      </c>
      <c r="H148" s="2">
        <v>47889.5</v>
      </c>
      <c r="I148" t="b">
        <v>1</v>
      </c>
      <c r="J148" t="str">
        <f>+_xlfn.XLOOKUP(PRODUCTOS[[#This Row],[CODIGO]],P_CRITICOS[CODIGO],P_CRITICOS[DESC CORTA],"",0)</f>
        <v/>
      </c>
      <c r="K148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0.30194718749999999</v>
      </c>
      <c r="M148" s="2">
        <f>+IFERROR(PRODUCTOS[[#This Row],[PPTO]]*PRODUCTOS[[#This Row],[CANT X MODULO]],"")</f>
        <v>14460.09983578125</v>
      </c>
      <c r="N148" s="2">
        <f>+IFERROR(PRODUCTOS[[#This Row],[PPTO X MODULO]]*32,"")</f>
        <v>462723.19474499999</v>
      </c>
      <c r="O148" s="2">
        <f>+IFERROR(PRODUCTOS[[#This Row],[PPTO X TORRE]]*22,"")</f>
        <v>10179910.284389999</v>
      </c>
      <c r="P148" s="3">
        <f>+IFERROR(PRODUCTOS[[#This Row],[CANT X MODULO]]*702,"")</f>
        <v>211.96692562499999</v>
      </c>
      <c r="Q148" s="3">
        <f>+SUMIFS(DETALLE_GD_1[CANTIDAD SOLICITADA],DETALLE_GD_1[CODIGO],PRODUCTOS[[#This Row],[CODIGO]])</f>
        <v>32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32</v>
      </c>
      <c r="T148" s="3">
        <f>+IFERROR(PRODUCTOS[[#This Row],[CANTIDAD RECIBIDA]]/PRODUCTOS[[#This Row],[CANT X MODULO]],"")</f>
        <v>105.97879803069867</v>
      </c>
      <c r="U148" s="3">
        <f>+SUMIFS(DETALLE_GD_1[VALOR TOTAL POR ITEM GD],DETALLE_GD_1[CODIGO],PRODUCTOS[[#This Row],[CODIGO]])</f>
        <v>1532480</v>
      </c>
      <c r="V148" s="3">
        <f>+IFERROR(PRODUCTOS[[#This Row],[PRECIO DE COMPRA]]/PRODUCTOS[[#This Row],[CANT. COMPRADA]],"")</f>
        <v>47890</v>
      </c>
      <c r="W148" s="3">
        <f>+IFERROR(PRODUCTOS[[#This Row],[PRECIO COMPRA UNITARIO]]*PRODUCTOS[[#This Row],[PPTO FALTANTE]],"")</f>
        <v>8647536.5698000006</v>
      </c>
      <c r="X148" s="7">
        <f>+IFERROR(PRODUCTOS[[#This Row],[PROYECCION COMPRA]]/PRODUCTOS[[#This Row],[PPTO TOTAL]]-1,"")</f>
        <v>-0.1505291964055675</v>
      </c>
      <c r="Y148" s="3">
        <f>+IFERROR((PRODUCTOS[[#This Row],[CANT X MODULO]]*704)-PRODUCTOS[[#This Row],[CANT. COMPRADA]],"")</f>
        <v>180.57082</v>
      </c>
      <c r="Z148" s="17">
        <f>+IFERROR(PRODUCTOS[[#This Row],[CANT. COMPRADA]]/PRODUCTOS[[#This Row],[PPTO FALTANTE]],"")</f>
        <v>0.17721578713548514</v>
      </c>
      <c r="AA148" s="3">
        <f>+IFERROR(PRODUCTOS[[#This Row],[PROYECCION COMPRA]]-(PRODUCTOS[[#This Row],[PPTO FALTANTE]]*PRODUCTOS[[#This Row],[PPTO]]),"")</f>
        <v>90.285410000011325</v>
      </c>
      <c r="AB148" s="3">
        <f>+_xlfn.XLOOKUP(PRODUCTOS[[#This Row],[CODIGO]],DETALLE_GD_1[CODIGO],DETALLE_GD_1[VALOR PPTO],"",0)</f>
        <v>47889.5</v>
      </c>
      <c r="AC148" s="3">
        <f>+AB148-PRODUCTOS[[#This Row],[PPTO_ACTUALIZADO]]</f>
        <v>0</v>
      </c>
    </row>
    <row r="149" spans="1:29" x14ac:dyDescent="0.25">
      <c r="A149">
        <v>410126</v>
      </c>
      <c r="B149" t="s">
        <v>159</v>
      </c>
      <c r="C149">
        <v>0</v>
      </c>
      <c r="D149" t="s">
        <v>240</v>
      </c>
      <c r="E149">
        <v>0</v>
      </c>
      <c r="F149" s="2">
        <v>983.61888099999999</v>
      </c>
      <c r="G149" s="6" t="s">
        <v>31</v>
      </c>
      <c r="H149" s="2">
        <v>983.61888099999999</v>
      </c>
      <c r="I149" t="b">
        <v>1</v>
      </c>
      <c r="J149" t="str">
        <f>+_xlfn.XLOOKUP(PRODUCTOS[[#This Row],[CODIGO]],P_CRITICOS[CODIGO],P_CRITICOS[DESC CORTA],"",0)</f>
        <v/>
      </c>
      <c r="K149" t="str">
        <f>+IFERROR(IF(VLOOKUP(PRODUCTOS[[#This Row],[CODIGO]],P_CRITICOS[],3,0)="*","PRODUCTO CRITICO","NO CRITICO"),"NO CRITICO")</f>
        <v>NO CRITICO</v>
      </c>
      <c r="L149" s="15">
        <f>+_xlfn.XLOOKUP(PRODUCTOS[[#This Row],[CODIGO]],BD_MODULO[Artículo],BD_MODULO[CUB_ACTUALIZADA],"",0)</f>
        <v>10.5</v>
      </c>
      <c r="M149" s="2">
        <f>+IFERROR(PRODUCTOS[[#This Row],[PPTO]]*PRODUCTOS[[#This Row],[CANT X MODULO]],"")</f>
        <v>10327.998250500001</v>
      </c>
      <c r="N149" s="2">
        <f>+IFERROR(PRODUCTOS[[#This Row],[PPTO X MODULO]]*32,"")</f>
        <v>330495.94401600002</v>
      </c>
      <c r="O149" s="2">
        <f>+IFERROR(PRODUCTOS[[#This Row],[PPTO X TORRE]]*22,"")</f>
        <v>7270910.768352</v>
      </c>
      <c r="P149" s="3">
        <f>+IFERROR(PRODUCTOS[[#This Row],[CANT X MODULO]]*702,"")</f>
        <v>7371</v>
      </c>
      <c r="Q149" s="3">
        <f>+SUMIFS(DETALLE_GD_1[CANTIDAD SOLICITADA],DETALLE_GD_1[CODIGO],PRODUCTOS[[#This Row],[CODIGO]])</f>
        <v>1106</v>
      </c>
      <c r="R149" s="3">
        <f>+SUMIFS(DETALLE_GD_1[DEVOLUCIÓN],DETALLE_GD_1[CODIGO],PRODUCTOS[[#This Row],[CODIGO]])</f>
        <v>0</v>
      </c>
      <c r="S149" s="3">
        <f>+PRODUCTOS[[#This Row],[CANT. COMPRADA]]-PRODUCTOS[[#This Row],[DEVOLUCIONES]]</f>
        <v>1106</v>
      </c>
      <c r="T149" s="3">
        <f>+IFERROR(PRODUCTOS[[#This Row],[CANTIDAD RECIBIDA]]/PRODUCTOS[[#This Row],[CANT X MODULO]],"")</f>
        <v>105.33333333333333</v>
      </c>
      <c r="U149" s="3">
        <f>+SUMIFS(DETALLE_GD_1[VALOR TOTAL POR ITEM GD],DETALLE_GD_1[CODIGO],PRODUCTOS[[#This Row],[CODIGO]])</f>
        <v>1088091</v>
      </c>
      <c r="V149" s="3">
        <f>+IFERROR(PRODUCTOS[[#This Row],[PRECIO DE COMPRA]]/PRODUCTOS[[#This Row],[CANT. COMPRADA]],"")</f>
        <v>983.80741410488247</v>
      </c>
      <c r="W149" s="3">
        <f>+IFERROR(PRODUCTOS[[#This Row],[PRECIO COMPRA UNITARIO]]*PRODUCTOS[[#This Row],[PPTO FALTANTE]],"")</f>
        <v>6184213.4050632911</v>
      </c>
      <c r="X149" s="7">
        <f>+IFERROR(PRODUCTOS[[#This Row],[PROYECCION COMPRA]]/PRODUCTOS[[#This Row],[PPTO TOTAL]]-1,"")</f>
        <v>-0.14945821753428234</v>
      </c>
      <c r="Y149" s="3">
        <f>+IFERROR((PRODUCTOS[[#This Row],[CANT X MODULO]]*704)-PRODUCTOS[[#This Row],[CANT. COMPRADA]],"")</f>
        <v>6286</v>
      </c>
      <c r="Z149" s="17">
        <f>+IFERROR(PRODUCTOS[[#This Row],[CANT. COMPRADA]]/PRODUCTOS[[#This Row],[PPTO FALTANTE]],"")</f>
        <v>0.17594654788418709</v>
      </c>
      <c r="AA149" s="3">
        <f>+IFERROR(PRODUCTOS[[#This Row],[PROYECCION COMPRA]]-(PRODUCTOS[[#This Row],[PPTO FALTANTE]]*PRODUCTOS[[#This Row],[PPTO]]),"")</f>
        <v>1185.1190972914919</v>
      </c>
      <c r="AB149" s="3">
        <f>+_xlfn.XLOOKUP(PRODUCTOS[[#This Row],[CODIGO]],DETALLE_GD_1[CODIGO],DETALLE_GD_1[VALOR PPTO],"",0)</f>
        <v>983.61890000000005</v>
      </c>
      <c r="AC149" s="3">
        <f>+AB149-PRODUCTOS[[#This Row],[PPTO_ACTUALIZADO]]</f>
        <v>1.9000000065716449E-5</v>
      </c>
    </row>
    <row r="150" spans="1:29" x14ac:dyDescent="0.25">
      <c r="A150" t="s">
        <v>166</v>
      </c>
      <c r="B150" t="s">
        <v>167</v>
      </c>
      <c r="C150" t="s">
        <v>531</v>
      </c>
      <c r="D150" t="s">
        <v>244</v>
      </c>
      <c r="E150">
        <v>0</v>
      </c>
      <c r="F150" s="2">
        <v>11882.387917</v>
      </c>
      <c r="G150" s="6" t="s">
        <v>26</v>
      </c>
      <c r="H150" s="2">
        <v>11882.387917</v>
      </c>
      <c r="I150" t="b">
        <v>1</v>
      </c>
      <c r="J150" t="str">
        <f>+_xlfn.XLOOKUP(PRODUCTOS[[#This Row],[CODIGO]],P_CRITICOS[CODIGO],P_CRITICOS[DESC CORTA],"",0)</f>
        <v>PISO TARKET</v>
      </c>
      <c r="K150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7.6124999999999998</v>
      </c>
      <c r="M150" s="2">
        <f>+IFERROR(PRODUCTOS[[#This Row],[PPTO]]*PRODUCTOS[[#This Row],[CANT X MODULO]],"")</f>
        <v>90454.678018162493</v>
      </c>
      <c r="N150" s="2">
        <f>+IFERROR(PRODUCTOS[[#This Row],[PPTO X MODULO]]*32,"")</f>
        <v>2894549.6965811998</v>
      </c>
      <c r="O150" s="2">
        <f>+IFERROR(PRODUCTOS[[#This Row],[PPTO X TORRE]]*22,"")</f>
        <v>63680093.324786395</v>
      </c>
      <c r="P150" s="3">
        <f>+IFERROR(PRODUCTOS[[#This Row],[CANT X MODULO]]*702,"")</f>
        <v>5343.9749999999995</v>
      </c>
      <c r="Q150" s="3">
        <f>+SUMIFS(DETALLE_GD_1[CANTIDAD SOLICITADA],DETALLE_GD_1[CODIGO],PRODUCTOS[[#This Row],[CODIGO]])</f>
        <v>800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800</v>
      </c>
      <c r="T150" s="3">
        <f>+IFERROR(PRODUCTOS[[#This Row],[CANTIDAD RECIBIDA]]/PRODUCTOS[[#This Row],[CANT X MODULO]],"")</f>
        <v>105.09031198686371</v>
      </c>
      <c r="U150" s="3">
        <f>+SUMIFS(DETALLE_GD_1[VALOR TOTAL POR ITEM GD],DETALLE_GD_1[CODIGO],PRODUCTOS[[#This Row],[CODIGO]])</f>
        <v>10666609</v>
      </c>
      <c r="V150" s="3">
        <f>+IFERROR(PRODUCTOS[[#This Row],[PRECIO DE COMPRA]]/PRODUCTOS[[#This Row],[CANT. COMPRADA]],"")</f>
        <v>13333.26125</v>
      </c>
      <c r="W150" s="3">
        <f>+IFERROR(PRODUCTOS[[#This Row],[PRECIO COMPRA UNITARIO]]*PRODUCTOS[[#This Row],[PPTO FALTANTE]],"")</f>
        <v>60789004.690999992</v>
      </c>
      <c r="X150" s="7">
        <f>+IFERROR(PRODUCTOS[[#This Row],[PROYECCION COMPRA]]/PRODUCTOS[[#This Row],[PPTO TOTAL]]-1,"")</f>
        <v>-4.5400194673726912E-2</v>
      </c>
      <c r="Y150" s="3">
        <f>+IFERROR((PRODUCTOS[[#This Row],[CANT X MODULO]]*704)-PRODUCTOS[[#This Row],[CANT. COMPRADA]],"")</f>
        <v>4559.2</v>
      </c>
      <c r="Z150" s="17">
        <f>+IFERROR(PRODUCTOS[[#This Row],[CANT. COMPRADA]]/PRODUCTOS[[#This Row],[PPTO FALTANTE]],"")</f>
        <v>0.1754693805930865</v>
      </c>
      <c r="AA150" s="3">
        <f>+IFERROR(PRODUCTOS[[#This Row],[PROYECCION COMPRA]]-(PRODUCTOS[[#This Row],[PPTO FALTANTE]]*PRODUCTOS[[#This Row],[PPTO]]),"")</f>
        <v>6614821.6998135969</v>
      </c>
      <c r="AB150" s="3">
        <f>+_xlfn.XLOOKUP(PRODUCTOS[[#This Row],[CODIGO]],DETALLE_GD_1[CODIGO],DETALLE_GD_1[VALOR PPTO],"",0)</f>
        <v>11882.3879</v>
      </c>
      <c r="AC150" s="3">
        <f>+AB150-PRODUCTOS[[#This Row],[PPTO_ACTUALIZADO]]</f>
        <v>-1.7000000298139639E-5</v>
      </c>
    </row>
    <row r="151" spans="1:29" x14ac:dyDescent="0.25">
      <c r="A151" t="s">
        <v>179</v>
      </c>
      <c r="B151" t="s">
        <v>180</v>
      </c>
      <c r="C151">
        <v>0</v>
      </c>
      <c r="D151" t="s">
        <v>240</v>
      </c>
      <c r="E151" t="s">
        <v>399</v>
      </c>
      <c r="F151" s="2">
        <v>55858.301887000001</v>
      </c>
      <c r="G151" s="6" t="s">
        <v>36</v>
      </c>
      <c r="H151" s="2">
        <v>55858.301886999994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0.68833333333333335</v>
      </c>
      <c r="M151" s="2">
        <f>+IFERROR(PRODUCTOS[[#This Row],[PPTO]]*PRODUCTOS[[#This Row],[CANT X MODULO]],"")</f>
        <v>38449.131132218332</v>
      </c>
      <c r="N151" s="2">
        <f>+IFERROR(PRODUCTOS[[#This Row],[PPTO X MODULO]]*32,"")</f>
        <v>1230372.1962309866</v>
      </c>
      <c r="O151" s="2">
        <f>+IFERROR(PRODUCTOS[[#This Row],[PPTO X TORRE]]*22,"")</f>
        <v>27068188.317081705</v>
      </c>
      <c r="P151" s="3">
        <f>+IFERROR(PRODUCTOS[[#This Row],[CANT X MODULO]]*702,"")</f>
        <v>483.21000000000004</v>
      </c>
      <c r="Q151" s="3">
        <f>+SUMIFS(DETALLE_GD_1[CANTIDAD SOLICITADA],DETALLE_GD_1[CODIGO],PRODUCTOS[[#This Row],[CODIGO]])</f>
        <v>72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72</v>
      </c>
      <c r="T151" s="3">
        <f>+IFERROR(PRODUCTOS[[#This Row],[CANTIDAD RECIBIDA]]/PRODUCTOS[[#This Row],[CANT X MODULO]],"")</f>
        <v>104.60048426150121</v>
      </c>
      <c r="U151" s="3">
        <f>+SUMIFS(DETALLE_GD_1[VALOR TOTAL POR ITEM GD],DETALLE_GD_1[CODIGO],PRODUCTOS[[#This Row],[CODIGO]])</f>
        <v>4221794</v>
      </c>
      <c r="V151" s="3">
        <f>+IFERROR(PRODUCTOS[[#This Row],[PRECIO DE COMPRA]]/PRODUCTOS[[#This Row],[CANT. COMPRADA]],"")</f>
        <v>58636.027777777781</v>
      </c>
      <c r="W151" s="3">
        <f>+IFERROR(PRODUCTOS[[#This Row],[PRECIO COMPRA UNITARIO]]*PRODUCTOS[[#This Row],[PPTO FALTANTE]],"")</f>
        <v>24192443.24740741</v>
      </c>
      <c r="X151" s="7">
        <f>+IFERROR(PRODUCTOS[[#This Row],[PROYECCION COMPRA]]/PRODUCTOS[[#This Row],[PPTO TOTAL]]-1,"")</f>
        <v>-0.10624076631901958</v>
      </c>
      <c r="Y151" s="3">
        <f>+IFERROR((PRODUCTOS[[#This Row],[CANT X MODULO]]*704)-PRODUCTOS[[#This Row],[CANT. COMPRADA]],"")</f>
        <v>412.5866666666667</v>
      </c>
      <c r="Z151" s="17">
        <f>+IFERROR(PRODUCTOS[[#This Row],[CANT. COMPRADA]]/PRODUCTOS[[#This Row],[PPTO FALTANTE]],"")</f>
        <v>0.17450879007238881</v>
      </c>
      <c r="AA151" s="3">
        <f>+IFERROR(PRODUCTOS[[#This Row],[PROYECCION COMPRA]]-(PRODUCTOS[[#This Row],[PPTO FALTANTE]]*PRODUCTOS[[#This Row],[PPTO]]),"")</f>
        <v>1146052.6661897004</v>
      </c>
      <c r="AB151" s="3">
        <f>+_xlfn.XLOOKUP(PRODUCTOS[[#This Row],[CODIGO]],DETALLE_GD_1[CODIGO],DETALLE_GD_1[VALOR PPTO],"",0)</f>
        <v>55858.301899999999</v>
      </c>
      <c r="AC151" s="3">
        <f>+AB151-PRODUCTOS[[#This Row],[PPTO_ACTUALIZADO]]</f>
        <v>1.3000004400964826E-5</v>
      </c>
    </row>
    <row r="152" spans="1:29" x14ac:dyDescent="0.25">
      <c r="A152">
        <v>412313</v>
      </c>
      <c r="B152" t="s">
        <v>253</v>
      </c>
      <c r="C152">
        <v>0</v>
      </c>
      <c r="D152" t="s">
        <v>355</v>
      </c>
      <c r="E152" t="s">
        <v>355</v>
      </c>
      <c r="F152" s="2">
        <v>23724.067384999998</v>
      </c>
      <c r="G152" s="6" t="s">
        <v>36</v>
      </c>
      <c r="H152" s="2">
        <v>0</v>
      </c>
      <c r="I152" t="b">
        <v>0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0.86531250000000004</v>
      </c>
      <c r="M152" s="2">
        <f>+IFERROR(PRODUCTOS[[#This Row],[PPTO]]*PRODUCTOS[[#This Row],[CANT X MODULO]],"")</f>
        <v>20528.732059082813</v>
      </c>
      <c r="N152" s="2">
        <f>+IFERROR(PRODUCTOS[[#This Row],[PPTO X MODULO]]*32,"")</f>
        <v>656919.42589065002</v>
      </c>
      <c r="O152" s="2">
        <f>+IFERROR(PRODUCTOS[[#This Row],[PPTO X TORRE]]*22,"")</f>
        <v>14452227.3695943</v>
      </c>
      <c r="P152" s="3">
        <f>+IFERROR(PRODUCTOS[[#This Row],[CANT X MODULO]]*702,"")</f>
        <v>607.44937500000003</v>
      </c>
      <c r="Q152" s="3">
        <f>+SUMIFS(DETALLE_GD_1[CANTIDAD SOLICITADA],DETALLE_GD_1[CODIGO],PRODUCTOS[[#This Row],[CODIGO]])</f>
        <v>90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90</v>
      </c>
      <c r="T152" s="3">
        <f>+IFERROR(PRODUCTOS[[#This Row],[CANTIDAD RECIBIDA]]/PRODUCTOS[[#This Row],[CANT X MODULO]],"")</f>
        <v>104.00866738894908</v>
      </c>
      <c r="U152" s="3">
        <f>+SUMIFS(DETALLE_GD_1[VALOR TOTAL POR ITEM GD],DETALLE_GD_1[CODIGO],PRODUCTOS[[#This Row],[CODIGO]])</f>
        <v>2135164</v>
      </c>
      <c r="V152" s="3">
        <f>+IFERROR(PRODUCTOS[[#This Row],[PRECIO DE COMPRA]]/PRODUCTOS[[#This Row],[CANT. COMPRADA]],"")</f>
        <v>23724.044444444444</v>
      </c>
      <c r="W152" s="3">
        <f>+IFERROR(PRODUCTOS[[#This Row],[PRECIO COMPRA UNITARIO]]*PRODUCTOS[[#This Row],[PPTO FALTANTE]],"")</f>
        <v>12317049.394666668</v>
      </c>
      <c r="X152" s="7">
        <f>+IFERROR(PRODUCTOS[[#This Row],[PROYECCION COMPRA]]/PRODUCTOS[[#This Row],[PPTO TOTAL]]-1,"")</f>
        <v>-0.14774040847293768</v>
      </c>
      <c r="Y152" s="3">
        <f>+IFERROR((PRODUCTOS[[#This Row],[CANT X MODULO]]*704)-PRODUCTOS[[#This Row],[CANT. COMPRADA]],"")</f>
        <v>519.18000000000006</v>
      </c>
      <c r="Z152" s="17">
        <f>+IFERROR(PRODUCTOS[[#This Row],[CANT. COMPRADA]]/PRODUCTOS[[#This Row],[PPTO FALTANTE]],"")</f>
        <v>0.17335028313879577</v>
      </c>
      <c r="AA152" s="3">
        <f>+IFERROR(PRODUCTOS[[#This Row],[PROYECCION COMPRA]]-(PRODUCTOS[[#This Row],[PPTO FALTANTE]]*PRODUCTOS[[#This Row],[PPTO]]),"")</f>
        <v>-11.91027763299644</v>
      </c>
      <c r="AB152" s="3">
        <f>+_xlfn.XLOOKUP(PRODUCTOS[[#This Row],[CODIGO]],DETALLE_GD_1[CODIGO],DETALLE_GD_1[VALOR PPTO],"",0)</f>
        <v>23724.0674</v>
      </c>
      <c r="AC152" s="3">
        <f>+AB152-PRODUCTOS[[#This Row],[PPTO_ACTUALIZADO]]</f>
        <v>23724.0674</v>
      </c>
    </row>
    <row r="153" spans="1:29" x14ac:dyDescent="0.25">
      <c r="A153">
        <v>5314002</v>
      </c>
      <c r="B153" t="s">
        <v>342</v>
      </c>
      <c r="C153" t="s">
        <v>342</v>
      </c>
      <c r="D153">
        <v>0</v>
      </c>
      <c r="E153">
        <v>0</v>
      </c>
      <c r="F153" s="2">
        <v>311.91986600000001</v>
      </c>
      <c r="G153" s="6" t="s">
        <v>31</v>
      </c>
      <c r="H153" s="2">
        <v>0</v>
      </c>
      <c r="I153" t="b">
        <v>0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0.26250000000000001</v>
      </c>
      <c r="M153" s="2">
        <f>+IFERROR(PRODUCTOS[[#This Row],[PPTO]]*PRODUCTOS[[#This Row],[CANT X MODULO]],"")</f>
        <v>81.878964825000011</v>
      </c>
      <c r="N153" s="2">
        <f>+IFERROR(PRODUCTOS[[#This Row],[PPTO X MODULO]]*32,"")</f>
        <v>2620.1268744000004</v>
      </c>
      <c r="O153" s="2">
        <f>+IFERROR(PRODUCTOS[[#This Row],[PPTO X TORRE]]*22,"")</f>
        <v>57642.791236800011</v>
      </c>
      <c r="P153" s="3">
        <f>+IFERROR(PRODUCTOS[[#This Row],[CANT X MODULO]]*702,"")</f>
        <v>184.27500000000001</v>
      </c>
      <c r="Q153" s="3">
        <f>+SUMIFS(DETALLE_GD_1[CANTIDAD SOLICITADA],DETALLE_GD_1[CODIGO],PRODUCTOS[[#This Row],[CODIGO]])</f>
        <v>27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27</v>
      </c>
      <c r="T153" s="3">
        <f>+IFERROR(PRODUCTOS[[#This Row],[CANTIDAD RECIBIDA]]/PRODUCTOS[[#This Row],[CANT X MODULO]],"")</f>
        <v>102.85714285714285</v>
      </c>
      <c r="U153" s="3">
        <f>+SUMIFS(DETALLE_GD_1[VALOR TOTAL POR ITEM GD],DETALLE_GD_1[CODIGO],PRODUCTOS[[#This Row],[CODIGO]])</f>
        <v>8423</v>
      </c>
      <c r="V153" s="3">
        <f>+IFERROR(PRODUCTOS[[#This Row],[PRECIO DE COMPRA]]/PRODUCTOS[[#This Row],[CANT. COMPRADA]],"")</f>
        <v>311.96296296296299</v>
      </c>
      <c r="W153" s="3">
        <f>+IFERROR(PRODUCTOS[[#This Row],[PRECIO COMPRA UNITARIO]]*PRODUCTOS[[#This Row],[PPTO FALTANTE]],"")</f>
        <v>49227.755555555566</v>
      </c>
      <c r="X153" s="7">
        <f>+IFERROR(PRODUCTOS[[#This Row],[PROYECCION COMPRA]]/PRODUCTOS[[#This Row],[PPTO TOTAL]]-1,"")</f>
        <v>-0.14598591603024524</v>
      </c>
      <c r="Y153" s="3">
        <f>+IFERROR((PRODUCTOS[[#This Row],[CANT X MODULO]]*704)-PRODUCTOS[[#This Row],[CANT. COMPRADA]],"")</f>
        <v>157.80000000000001</v>
      </c>
      <c r="Z153" s="17">
        <f>+IFERROR(PRODUCTOS[[#This Row],[CANT. COMPRADA]]/PRODUCTOS[[#This Row],[PPTO FALTANTE]],"")</f>
        <v>0.17110266159695817</v>
      </c>
      <c r="AA153" s="3">
        <f>+IFERROR(PRODUCTOS[[#This Row],[PROYECCION COMPRA]]-(PRODUCTOS[[#This Row],[PPTO FALTANTE]]*PRODUCTOS[[#This Row],[PPTO]]),"")</f>
        <v>6.8007007555643213</v>
      </c>
      <c r="AB153" s="3">
        <f>+_xlfn.XLOOKUP(PRODUCTOS[[#This Row],[CODIGO]],DETALLE_GD_1[CODIGO],DETALLE_GD_1[VALOR PPTO],"",0)</f>
        <v>311.91989999999998</v>
      </c>
      <c r="AC153" s="3">
        <f>+AB153-PRODUCTOS[[#This Row],[PPTO_ACTUALIZADO]]</f>
        <v>311.91989999999998</v>
      </c>
    </row>
    <row r="154" spans="1:29" x14ac:dyDescent="0.25">
      <c r="A154">
        <v>412281</v>
      </c>
      <c r="B154" t="s">
        <v>326</v>
      </c>
      <c r="C154" t="s">
        <v>675</v>
      </c>
      <c r="D154" t="s">
        <v>240</v>
      </c>
      <c r="E154" t="s">
        <v>399</v>
      </c>
      <c r="F154" s="2">
        <v>0</v>
      </c>
      <c r="G154" s="6" t="s">
        <v>31</v>
      </c>
      <c r="H154" s="2">
        <v>0</v>
      </c>
      <c r="I154" t="b">
        <v>1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1.8374999999999999</v>
      </c>
      <c r="M154" s="2">
        <f>+IFERROR(PRODUCTOS[[#This Row],[PPTO]]*PRODUCTOS[[#This Row],[CANT X MODULO]],"")</f>
        <v>0</v>
      </c>
      <c r="N154" s="2">
        <f>+IFERROR(PRODUCTOS[[#This Row],[PPTO X MODULO]]*32,"")</f>
        <v>0</v>
      </c>
      <c r="O154" s="2">
        <f>+IFERROR(PRODUCTOS[[#This Row],[PPTO X TORRE]]*22,"")</f>
        <v>0</v>
      </c>
      <c r="P154" s="3">
        <f>+IFERROR(PRODUCTOS[[#This Row],[CANT X MODULO]]*702,"")</f>
        <v>1289.925</v>
      </c>
      <c r="Q154" s="3">
        <f>+SUMIFS(DETALLE_GD_1[CANTIDAD SOLICITADA],DETALLE_GD_1[CODIGO],PRODUCTOS[[#This Row],[CODIGO]])</f>
        <v>186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186</v>
      </c>
      <c r="T154" s="3">
        <f>+IFERROR(PRODUCTOS[[#This Row],[CANTIDAD RECIBIDA]]/PRODUCTOS[[#This Row],[CANT X MODULO]],"")</f>
        <v>101.22448979591837</v>
      </c>
      <c r="U154" s="3">
        <f>+SUMIFS(DETALLE_GD_1[VALOR TOTAL POR ITEM GD],DETALLE_GD_1[CODIGO],PRODUCTOS[[#This Row],[CODIGO]])</f>
        <v>1664968</v>
      </c>
      <c r="V154" s="3">
        <f>+IFERROR(PRODUCTOS[[#This Row],[PRECIO DE COMPRA]]/PRODUCTOS[[#This Row],[CANT. COMPRADA]],"")</f>
        <v>8951.4408602150543</v>
      </c>
      <c r="W154" s="3">
        <f>+IFERROR(PRODUCTOS[[#This Row],[PRECIO COMPRA UNITARIO]]*PRODUCTOS[[#This Row],[PPTO FALTANTE]],"")</f>
        <v>9914615.8967741933</v>
      </c>
      <c r="X154" s="7" t="str">
        <f>+IFERROR(PRODUCTOS[[#This Row],[PROYECCION COMPRA]]/PRODUCTOS[[#This Row],[PPTO TOTAL]]-1,"")</f>
        <v/>
      </c>
      <c r="Y154" s="3">
        <f>+IFERROR((PRODUCTOS[[#This Row],[CANT X MODULO]]*704)-PRODUCTOS[[#This Row],[CANT. COMPRADA]],"")</f>
        <v>1107.5999999999999</v>
      </c>
      <c r="Z154" s="17">
        <f>+IFERROR(PRODUCTOS[[#This Row],[CANT. COMPRADA]]/PRODUCTOS[[#This Row],[PPTO FALTANTE]],"")</f>
        <v>0.16793066088840738</v>
      </c>
      <c r="AA154" s="3">
        <f>+IFERROR(PRODUCTOS[[#This Row],[PROYECCION COMPRA]]-(PRODUCTOS[[#This Row],[PPTO FALTANTE]]*PRODUCTOS[[#This Row],[PPTO]]),"")</f>
        <v>9914615.8967741933</v>
      </c>
      <c r="AB154" s="3">
        <f>+_xlfn.XLOOKUP(PRODUCTOS[[#This Row],[CODIGO]],DETALLE_GD_1[CODIGO],DETALLE_GD_1[VALOR PPTO],"",0)</f>
        <v>0</v>
      </c>
      <c r="AC154" s="3">
        <f>+AB154-PRODUCTOS[[#This Row],[PPTO_ACTUALIZADO]]</f>
        <v>0</v>
      </c>
    </row>
    <row r="155" spans="1:29" x14ac:dyDescent="0.25">
      <c r="A155">
        <v>407049</v>
      </c>
      <c r="B155" t="s">
        <v>232</v>
      </c>
      <c r="C155">
        <v>0</v>
      </c>
      <c r="D155" t="s">
        <v>240</v>
      </c>
      <c r="E155" t="s">
        <v>399</v>
      </c>
      <c r="F155" s="2">
        <v>16.202162000000001</v>
      </c>
      <c r="G155" s="6" t="s">
        <v>31</v>
      </c>
      <c r="H155" s="2">
        <v>16.202162000000001</v>
      </c>
      <c r="I155" t="b">
        <v>1</v>
      </c>
      <c r="J155" t="str">
        <f>+_xlfn.XLOOKUP(PRODUCTOS[[#This Row],[CODIGO]],P_CRITICOS[CODIGO],P_CRITICOS[DESC CORTA],"",0)</f>
        <v/>
      </c>
      <c r="K155" t="str">
        <f>+IFERROR(IF(VLOOKUP(PRODUCTOS[[#This Row],[CODIGO]],P_CRITICOS[],3,0)="*","PRODUCTO CRITICO","NO CRITICO"),"NO CRITICO")</f>
        <v>NO CRITICO</v>
      </c>
      <c r="L155" s="15">
        <f>+_xlfn.XLOOKUP(PRODUCTOS[[#This Row],[CODIGO]],BD_MODULO[Artículo],BD_MODULO[CUB_ACTUALIZADA],"",0)</f>
        <v>52.5</v>
      </c>
      <c r="M155" s="2">
        <f>+IFERROR(PRODUCTOS[[#This Row],[PPTO]]*PRODUCTOS[[#This Row],[CANT X MODULO]],"")</f>
        <v>850.61350500000003</v>
      </c>
      <c r="N155" s="2">
        <f>+IFERROR(PRODUCTOS[[#This Row],[PPTO X MODULO]]*32,"")</f>
        <v>27219.632160000001</v>
      </c>
      <c r="O155" s="2">
        <f>+IFERROR(PRODUCTOS[[#This Row],[PPTO X TORRE]]*22,"")</f>
        <v>598831.90752000001</v>
      </c>
      <c r="P155" s="3">
        <f>+IFERROR(PRODUCTOS[[#This Row],[CANT X MODULO]]*702,"")</f>
        <v>36855</v>
      </c>
      <c r="Q155" s="3">
        <f>+SUMIFS(DETALLE_GD_1[CANTIDAD SOLICITADA],DETALLE_GD_1[CODIGO],PRODUCTOS[[#This Row],[CODIGO]])</f>
        <v>5255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5255</v>
      </c>
      <c r="T155" s="3">
        <f>+IFERROR(PRODUCTOS[[#This Row],[CANTIDAD RECIBIDA]]/PRODUCTOS[[#This Row],[CANT X MODULO]],"")</f>
        <v>100.0952380952381</v>
      </c>
      <c r="U155" s="3">
        <f>+SUMIFS(DETALLE_GD_1[VALOR TOTAL POR ITEM GD],DETALLE_GD_1[CODIGO],PRODUCTOS[[#This Row],[CODIGO]])</f>
        <v>85141</v>
      </c>
      <c r="V155" s="3">
        <f>+IFERROR(PRODUCTOS[[#This Row],[PRECIO DE COMPRA]]/PRODUCTOS[[#This Row],[CANT. COMPRADA]],"")</f>
        <v>16.201902949571835</v>
      </c>
      <c r="W155" s="3">
        <f>+IFERROR(PRODUCTOS[[#This Row],[PRECIO COMPRA UNITARIO]]*PRODUCTOS[[#This Row],[PPTO FALTANTE]],"")</f>
        <v>513681.33301617502</v>
      </c>
      <c r="X155" s="7">
        <f>+IFERROR(PRODUCTOS[[#This Row],[PROYECCION COMPRA]]/PRODUCTOS[[#This Row],[PPTO TOTAL]]-1,"")</f>
        <v>-0.14219445128845465</v>
      </c>
      <c r="Y155" s="3">
        <f>+IFERROR((PRODUCTOS[[#This Row],[CANT X MODULO]]*704)-PRODUCTOS[[#This Row],[CANT. COMPRADA]],"")</f>
        <v>31705</v>
      </c>
      <c r="Z155" s="17">
        <f>+IFERROR(PRODUCTOS[[#This Row],[CANT. COMPRADA]]/PRODUCTOS[[#This Row],[PPTO FALTANTE]],"")</f>
        <v>0.16574672764548179</v>
      </c>
      <c r="AA155" s="3">
        <f>+IFERROR(PRODUCTOS[[#This Row],[PROYECCION COMPRA]]-(PRODUCTOS[[#This Row],[PPTO FALTANTE]]*PRODUCTOS[[#This Row],[PPTO]]),"")</f>
        <v>-8.2131938250386156</v>
      </c>
      <c r="AB155" s="3">
        <f>+_xlfn.XLOOKUP(PRODUCTOS[[#This Row],[CODIGO]],DETALLE_GD_1[CODIGO],DETALLE_GD_1[VALOR PPTO],"",0)</f>
        <v>16.202200000000001</v>
      </c>
      <c r="AC155" s="3">
        <f>+AB155-PRODUCTOS[[#This Row],[PPTO_ACTUALIZADO]]</f>
        <v>3.7999999999982492E-5</v>
      </c>
    </row>
    <row r="156" spans="1:29" x14ac:dyDescent="0.25">
      <c r="A156">
        <v>409011</v>
      </c>
      <c r="B156" t="s">
        <v>251</v>
      </c>
      <c r="C156">
        <v>0</v>
      </c>
      <c r="D156">
        <v>0</v>
      </c>
      <c r="E156">
        <v>0</v>
      </c>
      <c r="F156" s="2">
        <v>13713.269504</v>
      </c>
      <c r="G156" s="6" t="s">
        <v>137</v>
      </c>
      <c r="H156" s="2">
        <v>0</v>
      </c>
      <c r="I156" t="b">
        <v>0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0.13125000000000001</v>
      </c>
      <c r="M156" s="2">
        <f>+IFERROR(PRODUCTOS[[#This Row],[PPTO]]*PRODUCTOS[[#This Row],[CANT X MODULO]],"")</f>
        <v>1799.8666224000001</v>
      </c>
      <c r="N156" s="2">
        <f>+IFERROR(PRODUCTOS[[#This Row],[PPTO X MODULO]]*32,"")</f>
        <v>57595.731916800003</v>
      </c>
      <c r="O156" s="2">
        <f>+IFERROR(PRODUCTOS[[#This Row],[PPTO X TORRE]]*22,"")</f>
        <v>1267106.1021696001</v>
      </c>
      <c r="P156" s="3">
        <f>+IFERROR(PRODUCTOS[[#This Row],[CANT X MODULO]]*702,"")</f>
        <v>92.137500000000003</v>
      </c>
      <c r="Q156" s="3">
        <f>+SUMIFS(DETALLE_GD_1[CANTIDAD SOLICITADA],DETALLE_GD_1[CODIGO],PRODUCTOS[[#This Row],[CODIGO]])</f>
        <v>13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13</v>
      </c>
      <c r="T156" s="3">
        <f>+IFERROR(PRODUCTOS[[#This Row],[CANTIDAD RECIBIDA]]/PRODUCTOS[[#This Row],[CANT X MODULO]],"")</f>
        <v>99.047619047619037</v>
      </c>
      <c r="U156" s="3">
        <f>+SUMIFS(DETALLE_GD_1[VALOR TOTAL POR ITEM GD],DETALLE_GD_1[CODIGO],PRODUCTOS[[#This Row],[CODIGO]])</f>
        <v>192563</v>
      </c>
      <c r="V156" s="3">
        <f>+IFERROR(PRODUCTOS[[#This Row],[PRECIO DE COMPRA]]/PRODUCTOS[[#This Row],[CANT. COMPRADA]],"")</f>
        <v>14812.538461538461</v>
      </c>
      <c r="W156" s="3">
        <f>+IFERROR(PRODUCTOS[[#This Row],[PRECIO COMPRA UNITARIO]]*PRODUCTOS[[#This Row],[PPTO FALTANTE]],"")</f>
        <v>1176115.5538461539</v>
      </c>
      <c r="X156" s="7">
        <f>+IFERROR(PRODUCTOS[[#This Row],[PROYECCION COMPRA]]/PRODUCTOS[[#This Row],[PPTO TOTAL]]-1,"")</f>
        <v>-7.1809730982786535E-2</v>
      </c>
      <c r="Y156" s="3">
        <f>+IFERROR((PRODUCTOS[[#This Row],[CANT X MODULO]]*704)-PRODUCTOS[[#This Row],[CANT. COMPRADA]],"")</f>
        <v>79.400000000000006</v>
      </c>
      <c r="Z156" s="17">
        <f>+IFERROR(PRODUCTOS[[#This Row],[CANT. COMPRADA]]/PRODUCTOS[[#This Row],[PPTO FALTANTE]],"")</f>
        <v>0.16372795969773299</v>
      </c>
      <c r="AA156" s="3">
        <f>+IFERROR(PRODUCTOS[[#This Row],[PROYECCION COMPRA]]-(PRODUCTOS[[#This Row],[PPTO FALTANTE]]*PRODUCTOS[[#This Row],[PPTO]]),"")</f>
        <v>87281.955228553852</v>
      </c>
      <c r="AB156" s="3">
        <f>+_xlfn.XLOOKUP(PRODUCTOS[[#This Row],[CODIGO]],DETALLE_GD_1[CODIGO],DETALLE_GD_1[VALOR PPTO],"",0)</f>
        <v>13713.2695</v>
      </c>
      <c r="AC156" s="3">
        <f>+AB156-PRODUCTOS[[#This Row],[PPTO_ACTUALIZADO]]</f>
        <v>13713.2695</v>
      </c>
    </row>
    <row r="157" spans="1:29" x14ac:dyDescent="0.25">
      <c r="A157">
        <v>302010</v>
      </c>
      <c r="B157" t="s">
        <v>323</v>
      </c>
      <c r="C157" t="s">
        <v>534</v>
      </c>
      <c r="D157" t="s">
        <v>240</v>
      </c>
      <c r="E157" t="s">
        <v>403</v>
      </c>
      <c r="F157" s="2">
        <v>6585.1337450000001</v>
      </c>
      <c r="G157" s="6" t="s">
        <v>20</v>
      </c>
      <c r="H157" s="2">
        <v>6585.1337449999919</v>
      </c>
      <c r="I157" t="b">
        <v>0</v>
      </c>
      <c r="J157" t="str">
        <f>+_xlfn.XLOOKUP(PRODUCTOS[[#This Row],[CODIGO]],P_CRITICOS[CODIGO],P_CRITICOS[DESC CORTA],"",0)</f>
        <v>PINO 2X6X320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34.912500000000023</v>
      </c>
      <c r="M157" s="2">
        <f>+IFERROR(PRODUCTOS[[#This Row],[PPTO]]*PRODUCTOS[[#This Row],[CANT X MODULO]],"")</f>
        <v>229903.48187231267</v>
      </c>
      <c r="N157" s="2">
        <f>+IFERROR(PRODUCTOS[[#This Row],[PPTO X MODULO]]*32,"")</f>
        <v>7356911.4199140053</v>
      </c>
      <c r="O157" s="2">
        <f>+IFERROR(PRODUCTOS[[#This Row],[PPTO X TORRE]]*22,"")</f>
        <v>161852051.23810813</v>
      </c>
      <c r="P157" s="3">
        <f>+IFERROR(PRODUCTOS[[#This Row],[CANT X MODULO]]*702,"")</f>
        <v>24508.575000000015</v>
      </c>
      <c r="Q157" s="3">
        <f>+SUMIFS(DETALLE_GD_1[CANTIDAD SOLICITADA],DETALLE_GD_1[CODIGO],PRODUCTOS[[#This Row],[CODIGO]])</f>
        <v>4032</v>
      </c>
      <c r="R157" s="3">
        <f>+SUMIFS(DETALLE_GD_1[DEVOLUCIÓN],DETALLE_GD_1[CODIGO],PRODUCTOS[[#This Row],[CODIGO]])</f>
        <v>588</v>
      </c>
      <c r="S157" s="3">
        <f>+PRODUCTOS[[#This Row],[CANT. COMPRADA]]-PRODUCTOS[[#This Row],[DEVOLUCIONES]]</f>
        <v>3444</v>
      </c>
      <c r="T157" s="3">
        <f>+IFERROR(PRODUCTOS[[#This Row],[CANTIDAD RECIBIDA]]/PRODUCTOS[[#This Row],[CANT X MODULO]],"")</f>
        <v>98.646616541353325</v>
      </c>
      <c r="U157" s="3">
        <f>+SUMIFS(DETALLE_GD_1[VALOR TOTAL POR ITEM GD],DETALLE_GD_1[CODIGO],PRODUCTOS[[#This Row],[CODIGO]])</f>
        <v>22944301</v>
      </c>
      <c r="V157" s="3">
        <f>+IFERROR(PRODUCTOS[[#This Row],[PRECIO DE COMPRA]]/PRODUCTOS[[#This Row],[CANT. COMPRADA]],"")</f>
        <v>5690.5508432539682</v>
      </c>
      <c r="W157" s="3">
        <f>+IFERROR(PRODUCTOS[[#This Row],[PRECIO COMPRA UNITARIO]]*PRODUCTOS[[#This Row],[PPTO FALTANTE]],"")</f>
        <v>116920333.84583342</v>
      </c>
      <c r="X157" s="7">
        <f>+IFERROR(PRODUCTOS[[#This Row],[PROYECCION COMPRA]]/PRODUCTOS[[#This Row],[PPTO TOTAL]]-1,"")</f>
        <v>-0.27760981123540751</v>
      </c>
      <c r="Y157" s="3">
        <f>+IFERROR((PRODUCTOS[[#This Row],[CANT X MODULO]]*704)-PRODUCTOS[[#This Row],[CANT. COMPRADA]],"")</f>
        <v>20546.400000000016</v>
      </c>
      <c r="Z157" s="17">
        <f>+IFERROR(PRODUCTOS[[#This Row],[CANT. COMPRADA]]/PRODUCTOS[[#This Row],[PPTO FALTANTE]],"")</f>
        <v>0.19623875715453787</v>
      </c>
      <c r="AA157" s="3">
        <f>+IFERROR(PRODUCTOS[[#This Row],[PROYECCION COMPRA]]-(PRODUCTOS[[#This Row],[PPTO FALTANTE]]*PRODUCTOS[[#This Row],[PPTO]]),"")</f>
        <v>-18380458.132434696</v>
      </c>
      <c r="AB157" s="3">
        <f>+_xlfn.XLOOKUP(PRODUCTOS[[#This Row],[CODIGO]],DETALLE_GD_1[CODIGO],DETALLE_GD_1[VALOR PPTO],"",0)</f>
        <v>6585.1337000000003</v>
      </c>
      <c r="AC157" s="3">
        <f>+AB157-PRODUCTOS[[#This Row],[PPTO_ACTUALIZADO]]</f>
        <v>-4.4999991587246768E-5</v>
      </c>
    </row>
    <row r="158" spans="1:29" x14ac:dyDescent="0.25">
      <c r="A158">
        <v>1808003</v>
      </c>
      <c r="B158" t="s">
        <v>195</v>
      </c>
      <c r="C158">
        <v>0</v>
      </c>
      <c r="D158" t="s">
        <v>244</v>
      </c>
      <c r="E158" t="s">
        <v>406</v>
      </c>
      <c r="F158" s="2">
        <v>167.74485799999999</v>
      </c>
      <c r="G158" s="6" t="s">
        <v>31</v>
      </c>
      <c r="H158" s="2">
        <v>167.74485800000002</v>
      </c>
      <c r="I158" t="b">
        <v>1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0.91874999999999996</v>
      </c>
      <c r="M158" s="2">
        <f>+IFERROR(PRODUCTOS[[#This Row],[PPTO]]*PRODUCTOS[[#This Row],[CANT X MODULO]],"")</f>
        <v>154.11558828749997</v>
      </c>
      <c r="N158" s="2">
        <f>+IFERROR(PRODUCTOS[[#This Row],[PPTO X MODULO]]*32,"")</f>
        <v>4931.6988251999992</v>
      </c>
      <c r="O158" s="2">
        <f>+IFERROR(PRODUCTOS[[#This Row],[PPTO X TORRE]]*22,"")</f>
        <v>108497.37415439998</v>
      </c>
      <c r="P158" s="3">
        <f>+IFERROR(PRODUCTOS[[#This Row],[CANT X MODULO]]*702,"")</f>
        <v>644.96249999999998</v>
      </c>
      <c r="Q158" s="3">
        <f>+SUMIFS(DETALLE_GD_1[CANTIDAD SOLICITADA],DETALLE_GD_1[CODIGO],PRODUCTOS[[#This Row],[CODIGO]])</f>
        <v>89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89</v>
      </c>
      <c r="T158" s="3">
        <f>+IFERROR(PRODUCTOS[[#This Row],[CANTIDAD RECIBIDA]]/PRODUCTOS[[#This Row],[CANT X MODULO]],"")</f>
        <v>96.870748299319729</v>
      </c>
      <c r="U158" s="3">
        <f>+SUMIFS(DETALLE_GD_1[VALOR TOTAL POR ITEM GD],DETALLE_GD_1[CODIGO],PRODUCTOS[[#This Row],[CODIGO]])</f>
        <v>14929</v>
      </c>
      <c r="V158" s="3">
        <f>+IFERROR(PRODUCTOS[[#This Row],[PRECIO DE COMPRA]]/PRODUCTOS[[#This Row],[CANT. COMPRADA]],"")</f>
        <v>167.74157303370785</v>
      </c>
      <c r="W158" s="3">
        <f>+IFERROR(PRODUCTOS[[#This Row],[PRECIO COMPRA UNITARIO]]*PRODUCTOS[[#This Row],[PPTO FALTANTE]],"")</f>
        <v>93566.249438202227</v>
      </c>
      <c r="X158" s="7">
        <f>+IFERROR(PRODUCTOS[[#This Row],[PROYECCION COMPRA]]/PRODUCTOS[[#This Row],[PPTO TOTAL]]-1,"")</f>
        <v>-0.13761738320919759</v>
      </c>
      <c r="Y158" s="3">
        <f>+IFERROR((PRODUCTOS[[#This Row],[CANT X MODULO]]*704)-PRODUCTOS[[#This Row],[CANT. COMPRADA]],"")</f>
        <v>557.79999999999995</v>
      </c>
      <c r="Z158" s="17">
        <f>+IFERROR(PRODUCTOS[[#This Row],[CANT. COMPRADA]]/PRODUCTOS[[#This Row],[PPTO FALTANTE]],"")</f>
        <v>0.15955539619935463</v>
      </c>
      <c r="AA158" s="3">
        <f>+IFERROR(PRODUCTOS[[#This Row],[PROYECCION COMPRA]]-(PRODUCTOS[[#This Row],[PPTO FALTANTE]]*PRODUCTOS[[#This Row],[PPTO]]),"")</f>
        <v>-1.832354197758832</v>
      </c>
      <c r="AB158" s="3">
        <f>+_xlfn.XLOOKUP(PRODUCTOS[[#This Row],[CODIGO]],DETALLE_GD_1[CODIGO],DETALLE_GD_1[VALOR PPTO],"",0)</f>
        <v>167.7449</v>
      </c>
      <c r="AC158" s="3">
        <f>+AB158-PRODUCTOS[[#This Row],[PPTO_ACTUALIZADO]]</f>
        <v>4.1999999979225322E-5</v>
      </c>
    </row>
    <row r="159" spans="1:29" x14ac:dyDescent="0.25">
      <c r="A159">
        <v>907031</v>
      </c>
      <c r="B159" t="s">
        <v>256</v>
      </c>
      <c r="C159" t="s">
        <v>543</v>
      </c>
      <c r="D159" t="s">
        <v>240</v>
      </c>
      <c r="E159" t="s">
        <v>411</v>
      </c>
      <c r="F159" s="2">
        <v>156269.16666700001</v>
      </c>
      <c r="G159" s="6" t="s">
        <v>47</v>
      </c>
      <c r="H159" s="2">
        <v>156269.16666700004</v>
      </c>
      <c r="I159" t="b">
        <v>1</v>
      </c>
      <c r="J159" t="str">
        <f>+_xlfn.XLOOKUP(PRODUCTOS[[#This Row],[CODIGO]],P_CRITICOS[CODIGO],P_CRITICOS[DESC CORTA],"",0)</f>
        <v>MEMBRANA PVC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0.7111632270168855</v>
      </c>
      <c r="M159" s="2">
        <f>+IFERROR(PRODUCTOS[[#This Row],[PPTO]]*PRODUCTOS[[#This Row],[CANT X MODULO]],"")</f>
        <v>111132.88485014325</v>
      </c>
      <c r="N159" s="2">
        <f>+IFERROR(PRODUCTOS[[#This Row],[PPTO X MODULO]]*32,"")</f>
        <v>3556252.315204584</v>
      </c>
      <c r="O159" s="2">
        <f>+IFERROR(PRODUCTOS[[#This Row],[PPTO X TORRE]]*22,"")</f>
        <v>78237550.934500843</v>
      </c>
      <c r="P159" s="3">
        <f>+IFERROR(PRODUCTOS[[#This Row],[CANT X MODULO]]*702,"")</f>
        <v>499.23658536585361</v>
      </c>
      <c r="Q159" s="3">
        <f>+SUMIFS(DETALLE_GD_1[CANTIDAD SOLICITADA],DETALLE_GD_1[CODIGO],PRODUCTOS[[#This Row],[CODIGO]])</f>
        <v>68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68</v>
      </c>
      <c r="T159" s="3">
        <f>+IFERROR(PRODUCTOS[[#This Row],[CANTIDAD RECIBIDA]]/PRODUCTOS[[#This Row],[CANT X MODULO]],"")</f>
        <v>95.617992349294298</v>
      </c>
      <c r="U159" s="3">
        <f>+SUMIFS(DETALLE_GD_1[VALOR TOTAL POR ITEM GD],DETALLE_GD_1[CODIGO],PRODUCTOS[[#This Row],[CODIGO]])</f>
        <v>10471329</v>
      </c>
      <c r="V159" s="3">
        <f>+IFERROR(PRODUCTOS[[#This Row],[PRECIO DE COMPRA]]/PRODUCTOS[[#This Row],[CANT. COMPRADA]],"")</f>
        <v>153990.13235294117</v>
      </c>
      <c r="W159" s="3">
        <f>+IFERROR(PRODUCTOS[[#This Row],[PRECIO COMPRA UNITARIO]]*PRODUCTOS[[#This Row],[PPTO FALTANTE]],"")</f>
        <v>66625203.094823964</v>
      </c>
      <c r="X159" s="7">
        <f>+IFERROR(PRODUCTOS[[#This Row],[PROYECCION COMPRA]]/PRODUCTOS[[#This Row],[PPTO TOTAL]]-1,"")</f>
        <v>-0.14842422469740313</v>
      </c>
      <c r="Y159" s="3">
        <f>+IFERROR((PRODUCTOS[[#This Row],[CANT X MODULO]]*704)-PRODUCTOS[[#This Row],[CANT. COMPRADA]],"")</f>
        <v>432.65891181988741</v>
      </c>
      <c r="Z159" s="17">
        <f>+IFERROR(PRODUCTOS[[#This Row],[CANT. COMPRADA]]/PRODUCTOS[[#This Row],[PPTO FALTANTE]],"")</f>
        <v>0.15716768600460004</v>
      </c>
      <c r="AA159" s="3">
        <f>+IFERROR(PRODUCTOS[[#This Row],[PROYECCION COMPRA]]-(PRODUCTOS[[#This Row],[PPTO FALTANTE]]*PRODUCTOS[[#This Row],[PPTO]]),"")</f>
        <v>-986044.50632088631</v>
      </c>
      <c r="AB159" s="3">
        <f>+_xlfn.XLOOKUP(PRODUCTOS[[#This Row],[CODIGO]],DETALLE_GD_1[CODIGO],DETALLE_GD_1[VALOR PPTO],"",0)</f>
        <v>156269.1667</v>
      </c>
      <c r="AC159" s="3">
        <f>+AB159-PRODUCTOS[[#This Row],[PPTO_ACTUALIZADO]]</f>
        <v>3.2999960239976645E-5</v>
      </c>
    </row>
    <row r="160" spans="1:29" x14ac:dyDescent="0.25">
      <c r="A160">
        <v>1103087</v>
      </c>
      <c r="B160" t="s">
        <v>488</v>
      </c>
      <c r="C160" t="s">
        <v>683</v>
      </c>
      <c r="D160" t="s">
        <v>355</v>
      </c>
      <c r="E160" t="s">
        <v>355</v>
      </c>
      <c r="G160" s="6" t="s">
        <v>137</v>
      </c>
      <c r="H160" s="2">
        <v>9841</v>
      </c>
      <c r="I160" t="b">
        <v>0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0</v>
      </c>
      <c r="N160" s="2">
        <f>+IFERROR(PRODUCTOS[[#This Row],[PPTO X MODULO]]*32,"")</f>
        <v>0</v>
      </c>
      <c r="O160" s="2">
        <f>+IFERROR(PRODUCTOS[[#This Row],[PPTO X TORRE]]*22,"")</f>
        <v>0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50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50</v>
      </c>
      <c r="T160" s="3">
        <f>+IFERROR(PRODUCTOS[[#This Row],[CANTIDAD RECIBIDA]]/PRODUCTOS[[#This Row],[CANT X MODULO]],"")</f>
        <v>95.238095238095241</v>
      </c>
      <c r="U160" s="3">
        <f>+SUMIFS(DETALLE_GD_1[VALOR TOTAL POR ITEM GD],DETALLE_GD_1[CODIGO],PRODUCTOS[[#This Row],[CODIGO]])</f>
        <v>492044</v>
      </c>
      <c r="V160" s="3">
        <f>+IFERROR(PRODUCTOS[[#This Row],[PRECIO DE COMPRA]]/PRODUCTOS[[#This Row],[CANT. COMPRADA]],"")</f>
        <v>9840.8799999999992</v>
      </c>
      <c r="W160" s="3">
        <f>+IFERROR(PRODUCTOS[[#This Row],[PRECIO COMPRA UNITARIO]]*PRODUCTOS[[#This Row],[PPTO FALTANTE]],"")</f>
        <v>3145145.2480000001</v>
      </c>
      <c r="X160" s="7" t="str">
        <f>+IFERROR(PRODUCTOS[[#This Row],[PROYECCION COMPRA]]/PRODUCTOS[[#This Row],[PPTO TOTAL]]-1,"")</f>
        <v/>
      </c>
      <c r="Y160" s="3">
        <f>+IFERROR((PRODUCTOS[[#This Row],[CANT X MODULO]]*704)-PRODUCTOS[[#This Row],[CANT. COMPRADA]],"")</f>
        <v>319.60000000000002</v>
      </c>
      <c r="Z160" s="17">
        <f>+IFERROR(PRODUCTOS[[#This Row],[CANT. COMPRADA]]/PRODUCTOS[[#This Row],[PPTO FALTANTE]],"")</f>
        <v>0.15644555694618273</v>
      </c>
      <c r="AA160" s="3">
        <f>+IFERROR(PRODUCTOS[[#This Row],[PROYECCION COMPRA]]-(PRODUCTOS[[#This Row],[PPTO FALTANTE]]*PRODUCTOS[[#This Row],[PPTO]]),"")</f>
        <v>3145145.2480000001</v>
      </c>
      <c r="AB160" s="3">
        <f>+_xlfn.XLOOKUP(PRODUCTOS[[#This Row],[CODIGO]],DETALLE_GD_1[CODIGO],DETALLE_GD_1[VALOR PPTO],"",0)</f>
        <v>9841</v>
      </c>
      <c r="AC160" s="3">
        <f>+AB160-PRODUCTOS[[#This Row],[PPTO_ACTUALIZADO]]</f>
        <v>0</v>
      </c>
    </row>
    <row r="161" spans="1:29" x14ac:dyDescent="0.25">
      <c r="A161">
        <v>602254</v>
      </c>
      <c r="B161" t="s">
        <v>214</v>
      </c>
      <c r="C161">
        <v>0</v>
      </c>
      <c r="D161" t="s">
        <v>244</v>
      </c>
      <c r="E161" t="s">
        <v>407</v>
      </c>
      <c r="F161" s="2">
        <v>46060</v>
      </c>
      <c r="G161" s="6" t="s">
        <v>25</v>
      </c>
      <c r="H161" s="2">
        <v>46060</v>
      </c>
      <c r="I161" t="b">
        <v>1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0.35920828125000004</v>
      </c>
      <c r="M161" s="2">
        <f>+IFERROR(PRODUCTOS[[#This Row],[PPTO]]*PRODUCTOS[[#This Row],[CANT X MODULO]],"")</f>
        <v>16545.133434375002</v>
      </c>
      <c r="N161" s="2">
        <f>+IFERROR(PRODUCTOS[[#This Row],[PPTO X MODULO]]*32,"")</f>
        <v>529444.26990000007</v>
      </c>
      <c r="O161" s="2">
        <f>+IFERROR(PRODUCTOS[[#This Row],[PPTO X TORRE]]*22,"")</f>
        <v>11647773.937800001</v>
      </c>
      <c r="P161" s="3">
        <f>+IFERROR(PRODUCTOS[[#This Row],[CANT X MODULO]]*702,"")</f>
        <v>252.16421343750002</v>
      </c>
      <c r="Q161" s="3">
        <f>+SUMIFS(DETALLE_GD_1[CANTIDAD SOLICITADA],DETALLE_GD_1[CODIGO],PRODUCTOS[[#This Row],[CODIGO]])</f>
        <v>35</v>
      </c>
      <c r="R161" s="3">
        <f>+SUMIFS(DETALLE_GD_1[DEVOLUCIÓN],DETALLE_GD_1[CODIGO],PRODUCTOS[[#This Row],[CODIGO]])</f>
        <v>1</v>
      </c>
      <c r="S161" s="3">
        <f>+PRODUCTOS[[#This Row],[CANT. COMPRADA]]-PRODUCTOS[[#This Row],[DEVOLUCIONES]]</f>
        <v>34</v>
      </c>
      <c r="T161" s="3">
        <f>+IFERROR(PRODUCTOS[[#This Row],[CANTIDAD RECIBIDA]]/PRODUCTOS[[#This Row],[CANT X MODULO]],"")</f>
        <v>94.652606230803585</v>
      </c>
      <c r="U161" s="3">
        <f>+SUMIFS(DETALLE_GD_1[VALOR TOTAL POR ITEM GD],DETALLE_GD_1[CODIGO],PRODUCTOS[[#This Row],[CODIGO]])</f>
        <v>1566040</v>
      </c>
      <c r="V161" s="3">
        <f>+IFERROR(PRODUCTOS[[#This Row],[PRECIO DE COMPRA]]/PRODUCTOS[[#This Row],[CANT. COMPRADA]],"")</f>
        <v>44744</v>
      </c>
      <c r="W161" s="3">
        <f>+IFERROR(PRODUCTOS[[#This Row],[PRECIO COMPRA UNITARIO]]*PRODUCTOS[[#This Row],[PPTO FALTANTE]],"")</f>
        <v>9748940.3967200015</v>
      </c>
      <c r="X161" s="7">
        <f>+IFERROR(PRODUCTOS[[#This Row],[PROYECCION COMPRA]]/PRODUCTOS[[#This Row],[PPTO TOTAL]]-1,"")</f>
        <v>-0.16302115333109279</v>
      </c>
      <c r="Y161" s="3">
        <f>+IFERROR((PRODUCTOS[[#This Row],[CANT X MODULO]]*704)-PRODUCTOS[[#This Row],[CANT. COMPRADA]],"")</f>
        <v>217.88263000000003</v>
      </c>
      <c r="Z161" s="17">
        <f>+IFERROR(PRODUCTOS[[#This Row],[CANT. COMPRADA]]/PRODUCTOS[[#This Row],[PPTO FALTANTE]],"")</f>
        <v>0.16063694476241633</v>
      </c>
      <c r="AA161" s="3">
        <f>+IFERROR(PRODUCTOS[[#This Row],[PROYECCION COMPRA]]-(PRODUCTOS[[#This Row],[PPTO FALTANTE]]*PRODUCTOS[[#This Row],[PPTO]]),"")</f>
        <v>-286733.54107999988</v>
      </c>
      <c r="AB161" s="3">
        <f>+_xlfn.XLOOKUP(PRODUCTOS[[#This Row],[CODIGO]],DETALLE_GD_1[CODIGO],DETALLE_GD_1[VALOR PPTO],"",0)</f>
        <v>46060</v>
      </c>
      <c r="AC161" s="3">
        <f>+AB161-PRODUCTOS[[#This Row],[PPTO_ACTUALIZADO]]</f>
        <v>0</v>
      </c>
    </row>
    <row r="162" spans="1:29" x14ac:dyDescent="0.25">
      <c r="A162">
        <v>1902014</v>
      </c>
      <c r="B162" t="s">
        <v>316</v>
      </c>
      <c r="C162" t="s">
        <v>300</v>
      </c>
      <c r="D162" t="s">
        <v>240</v>
      </c>
      <c r="E162">
        <v>0</v>
      </c>
      <c r="F162" s="2">
        <v>29779</v>
      </c>
      <c r="G162" s="6" t="s">
        <v>18</v>
      </c>
      <c r="H162" s="2">
        <v>29779.000000000004</v>
      </c>
      <c r="I162" t="b">
        <v>1</v>
      </c>
      <c r="J162" t="str">
        <f>+_xlfn.XLOOKUP(PRODUCTOS[[#This Row],[CODIGO]],P_CRITICOS[CODIGO],P_CRITICOS[DESC CORTA],"",0)</f>
        <v>VOLCOGLASS</v>
      </c>
      <c r="K162" t="str">
        <f>+IFERROR(IF(VLOOKUP(PRODUCTOS[[#This Row],[CODIGO]],P_CRITICOS[],3,0)="*","PRODUCTO CRITICO","NO CRITICO"),"NO CRITICO")</f>
        <v>PRODUCTO CRITICO</v>
      </c>
      <c r="L162" s="15">
        <f>+_xlfn.XLOOKUP(PRODUCTOS[[#This Row],[CODIGO]],BD_MODULO[Artículo],BD_MODULO[CUB_ACTUALIZADA],"",0)</f>
        <v>5.5125000000000002</v>
      </c>
      <c r="M162" s="2">
        <f>+IFERROR(PRODUCTOS[[#This Row],[PPTO]]*PRODUCTOS[[#This Row],[CANT X MODULO]],"")</f>
        <v>164156.73750000002</v>
      </c>
      <c r="N162" s="2">
        <f>+IFERROR(PRODUCTOS[[#This Row],[PPTO X MODULO]]*32,"")</f>
        <v>5253015.6000000006</v>
      </c>
      <c r="O162" s="2">
        <f>+IFERROR(PRODUCTOS[[#This Row],[PPTO X TORRE]]*22,"")</f>
        <v>115566343.20000002</v>
      </c>
      <c r="P162" s="3">
        <f>+IFERROR(PRODUCTOS[[#This Row],[CANT X MODULO]]*702,"")</f>
        <v>3869.7750000000001</v>
      </c>
      <c r="Q162" s="3">
        <f>+SUMIFS(DETALLE_GD_1[CANTIDAD SOLICITADA],DETALLE_GD_1[CODIGO],PRODUCTOS[[#This Row],[CODIGO]])</f>
        <v>520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520</v>
      </c>
      <c r="T162" s="3">
        <f>+IFERROR(PRODUCTOS[[#This Row],[CANTIDAD RECIBIDA]]/PRODUCTOS[[#This Row],[CANT X MODULO]],"")</f>
        <v>94.331065759637184</v>
      </c>
      <c r="U162" s="3">
        <f>+SUMIFS(DETALLE_GD_1[VALOR TOTAL POR ITEM GD],DETALLE_GD_1[CODIGO],PRODUCTOS[[#This Row],[CODIGO]])</f>
        <v>15495874</v>
      </c>
      <c r="V162" s="3">
        <f>+IFERROR(PRODUCTOS[[#This Row],[PRECIO DE COMPRA]]/PRODUCTOS[[#This Row],[CANT. COMPRADA]],"")</f>
        <v>29799.757692307692</v>
      </c>
      <c r="W162" s="3">
        <f>+IFERROR(PRODUCTOS[[#This Row],[PRECIO COMPRA UNITARIO]]*PRODUCTOS[[#This Row],[PPTO FALTANTE]],"")</f>
        <v>100151025.6523077</v>
      </c>
      <c r="X162" s="7">
        <f>+IFERROR(PRODUCTOS[[#This Row],[PROYECCION COMPRA]]/PRODUCTOS[[#This Row],[PPTO TOTAL]]-1,"")</f>
        <v>-0.13338933396044594</v>
      </c>
      <c r="Y162" s="3">
        <f>+IFERROR((PRODUCTOS[[#This Row],[CANT X MODULO]]*704)-PRODUCTOS[[#This Row],[CANT. COMPRADA]],"")</f>
        <v>3360.8</v>
      </c>
      <c r="Z162" s="17">
        <f>+IFERROR(PRODUCTOS[[#This Row],[CANT. COMPRADA]]/PRODUCTOS[[#This Row],[PPTO FALTANTE]],"")</f>
        <v>0.1547250654606046</v>
      </c>
      <c r="AA162" s="3">
        <f>+IFERROR(PRODUCTOS[[#This Row],[PROYECCION COMPRA]]-(PRODUCTOS[[#This Row],[PPTO FALTANTE]]*PRODUCTOS[[#This Row],[PPTO]]),"")</f>
        <v>69762.452307701111</v>
      </c>
      <c r="AB162" s="3">
        <f>+_xlfn.XLOOKUP(PRODUCTOS[[#This Row],[CODIGO]],DETALLE_GD_1[CODIGO],DETALLE_GD_1[VALOR PPTO],"",0)</f>
        <v>29779</v>
      </c>
      <c r="AC162" s="3">
        <f>+AB162-PRODUCTOS[[#This Row],[PPTO_ACTUALIZADO]]</f>
        <v>0</v>
      </c>
    </row>
    <row r="163" spans="1:29" x14ac:dyDescent="0.25">
      <c r="A163">
        <v>2505058</v>
      </c>
      <c r="B163" t="s">
        <v>142</v>
      </c>
      <c r="C163" t="s">
        <v>631</v>
      </c>
      <c r="D163" t="s">
        <v>244</v>
      </c>
      <c r="E163" t="s">
        <v>410</v>
      </c>
      <c r="F163" s="2">
        <v>17870.144068000001</v>
      </c>
      <c r="G163" s="6" t="s">
        <v>31</v>
      </c>
      <c r="H163" s="2">
        <v>17870.144068000001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2.1000000000000005</v>
      </c>
      <c r="M163" s="2">
        <f>+IFERROR(PRODUCTOS[[#This Row],[PPTO]]*PRODUCTOS[[#This Row],[CANT X MODULO]],"")</f>
        <v>37527.302542800011</v>
      </c>
      <c r="N163" s="2">
        <f>+IFERROR(PRODUCTOS[[#This Row],[PPTO X MODULO]]*32,"")</f>
        <v>1200873.6813696004</v>
      </c>
      <c r="O163" s="2">
        <f>+IFERROR(PRODUCTOS[[#This Row],[PPTO X TORRE]]*22,"")</f>
        <v>26419220.990131207</v>
      </c>
      <c r="P163" s="3">
        <f>+IFERROR(PRODUCTOS[[#This Row],[CANT X MODULO]]*702,"")</f>
        <v>1474.2000000000003</v>
      </c>
      <c r="Q163" s="3">
        <f>+SUMIFS(DETALLE_GD_1[CANTIDAD SOLICITADA],DETALLE_GD_1[CODIGO],PRODUCTOS[[#This Row],[CODIGO]])</f>
        <v>197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197</v>
      </c>
      <c r="T163" s="3">
        <f>+IFERROR(PRODUCTOS[[#This Row],[CANTIDAD RECIBIDA]]/PRODUCTOS[[#This Row],[CANT X MODULO]],"")</f>
        <v>93.809523809523782</v>
      </c>
      <c r="U163" s="3">
        <f>+SUMIFS(DETALLE_GD_1[VALOR TOTAL POR ITEM GD],DETALLE_GD_1[CODIGO],PRODUCTOS[[#This Row],[CODIGO]])</f>
        <v>3277496</v>
      </c>
      <c r="V163" s="3">
        <f>+IFERROR(PRODUCTOS[[#This Row],[PRECIO DE COMPRA]]/PRODUCTOS[[#This Row],[CANT. COMPRADA]],"")</f>
        <v>16637.035532994923</v>
      </c>
      <c r="W163" s="3">
        <f>+IFERROR(PRODUCTOS[[#This Row],[PRECIO COMPRA UNITARIO]]*PRODUCTOS[[#This Row],[PPTO FALTANTE]],"")</f>
        <v>21318697.331979699</v>
      </c>
      <c r="X163" s="7">
        <f>+IFERROR(PRODUCTOS[[#This Row],[PROYECCION COMPRA]]/PRODUCTOS[[#This Row],[PPTO TOTAL]]-1,"")</f>
        <v>-0.1930610921516871</v>
      </c>
      <c r="Y163" s="3">
        <f>+IFERROR((PRODUCTOS[[#This Row],[CANT X MODULO]]*704)-PRODUCTOS[[#This Row],[CANT. COMPRADA]],"")</f>
        <v>1281.4000000000003</v>
      </c>
      <c r="Z163" s="17">
        <f>+IFERROR(PRODUCTOS[[#This Row],[CANT. COMPRADA]]/PRODUCTOS[[#This Row],[PPTO FALTANTE]],"")</f>
        <v>0.15373809895426874</v>
      </c>
      <c r="AA163" s="3">
        <f>+IFERROR(PRODUCTOS[[#This Row],[PROYECCION COMPRA]]-(PRODUCTOS[[#This Row],[PPTO FALTANTE]]*PRODUCTOS[[#This Row],[PPTO]]),"")</f>
        <v>-1580105.276755508</v>
      </c>
      <c r="AB163" s="3">
        <f>+_xlfn.XLOOKUP(PRODUCTOS[[#This Row],[CODIGO]],DETALLE_GD_1[CODIGO],DETALLE_GD_1[VALOR PPTO],"",0)</f>
        <v>17870.144100000001</v>
      </c>
      <c r="AC163" s="3">
        <f>+AB163-PRODUCTOS[[#This Row],[PPTO_ACTUALIZADO]]</f>
        <v>3.1999999919207767E-5</v>
      </c>
    </row>
    <row r="164" spans="1:29" x14ac:dyDescent="0.25">
      <c r="A164">
        <v>701096</v>
      </c>
      <c r="B164" t="s">
        <v>204</v>
      </c>
      <c r="C164" t="s">
        <v>539</v>
      </c>
      <c r="D164" t="s">
        <v>240</v>
      </c>
      <c r="E164" t="s">
        <v>402</v>
      </c>
      <c r="F164" s="2">
        <v>16019.885684999999</v>
      </c>
      <c r="G164" s="6" t="s">
        <v>18</v>
      </c>
      <c r="H164" s="2">
        <v>16019.885685000005</v>
      </c>
      <c r="I164" t="b">
        <v>1</v>
      </c>
      <c r="J164" t="str">
        <f>+_xlfn.XLOOKUP(PRODUCTOS[[#This Row],[CODIGO]],P_CRITICOS[CODIGO],P_CRITICOS[DESC CORTA],"",0)</f>
        <v>VOCANITA EMPAPELADA MURO</v>
      </c>
      <c r="K164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31.237499999999997</v>
      </c>
      <c r="M164" s="2">
        <f>+IFERROR(PRODUCTOS[[#This Row],[PPTO]]*PRODUCTOS[[#This Row],[CANT X MODULO]],"")</f>
        <v>500421.17908518744</v>
      </c>
      <c r="N164" s="2">
        <f>+IFERROR(PRODUCTOS[[#This Row],[PPTO X MODULO]]*32,"")</f>
        <v>16013477.730725998</v>
      </c>
      <c r="O164" s="2">
        <f>+IFERROR(PRODUCTOS[[#This Row],[PPTO X TORRE]]*22,"")</f>
        <v>352296510.07597196</v>
      </c>
      <c r="P164" s="3">
        <f>+IFERROR(PRODUCTOS[[#This Row],[CANT X MODULO]]*702,"")</f>
        <v>21928.724999999999</v>
      </c>
      <c r="Q164" s="3">
        <f>+SUMIFS(DETALLE_GD_1[CANTIDAD SOLICITADA],DETALLE_GD_1[CODIGO],PRODUCTOS[[#This Row],[CODIGO]])</f>
        <v>2924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2924</v>
      </c>
      <c r="T164" s="3">
        <f>+IFERROR(PRODUCTOS[[#This Row],[CANTIDAD RECIBIDA]]/PRODUCTOS[[#This Row],[CANT X MODULO]],"")</f>
        <v>93.605442176870753</v>
      </c>
      <c r="U164" s="3">
        <f>+SUMIFS(DETALLE_GD_1[VALOR TOTAL POR ITEM GD],DETALLE_GD_1[CODIGO],PRODUCTOS[[#This Row],[CODIGO]])</f>
        <v>47460028</v>
      </c>
      <c r="V164" s="3">
        <f>+IFERROR(PRODUCTOS[[#This Row],[PRECIO DE COMPRA]]/PRODUCTOS[[#This Row],[CANT. COMPRADA]],"")</f>
        <v>16231.199726402188</v>
      </c>
      <c r="W164" s="3">
        <f>+IFERROR(PRODUCTOS[[#This Row],[PRECIO COMPRA UNITARIO]]*PRODUCTOS[[#This Row],[PPTO FALTANTE]],"")</f>
        <v>309483531.42325574</v>
      </c>
      <c r="X164" s="7">
        <f>+IFERROR(PRODUCTOS[[#This Row],[PROYECCION COMPRA]]/PRODUCTOS[[#This Row],[PPTO TOTAL]]-1,"")</f>
        <v>-0.12152541233940606</v>
      </c>
      <c r="Y164" s="3">
        <f>+IFERROR((PRODUCTOS[[#This Row],[CANT X MODULO]]*704)-PRODUCTOS[[#This Row],[CANT. COMPRADA]],"")</f>
        <v>19067.199999999997</v>
      </c>
      <c r="Z164" s="17">
        <f>+IFERROR(PRODUCTOS[[#This Row],[CANT. COMPRADA]]/PRODUCTOS[[#This Row],[PPTO FALTANTE]],"")</f>
        <v>0.15335235378031387</v>
      </c>
      <c r="AA164" s="3">
        <f>+IFERROR(PRODUCTOS[[#This Row],[PROYECCION COMPRA]]-(PRODUCTOS[[#This Row],[PPTO FALTANTE]]*PRODUCTOS[[#This Row],[PPTO]]),"")</f>
        <v>4029167.0902237892</v>
      </c>
      <c r="AB164" s="3">
        <f>+_xlfn.XLOOKUP(PRODUCTOS[[#This Row],[CODIGO]],DETALLE_GD_1[CODIGO],DETALLE_GD_1[VALOR PPTO],"",0)</f>
        <v>16019.885700000001</v>
      </c>
      <c r="AC164" s="3">
        <f>+AB164-PRODUCTOS[[#This Row],[PPTO_ACTUALIZADO]]</f>
        <v>1.499999598308932E-5</v>
      </c>
    </row>
    <row r="165" spans="1:29" x14ac:dyDescent="0.25">
      <c r="A165">
        <v>701015</v>
      </c>
      <c r="B165" t="s">
        <v>254</v>
      </c>
      <c r="C165" t="s">
        <v>590</v>
      </c>
      <c r="D165" t="s">
        <v>240</v>
      </c>
      <c r="E165" t="s">
        <v>402</v>
      </c>
      <c r="F165" s="2">
        <v>9151.2974680000007</v>
      </c>
      <c r="G165" s="6" t="s">
        <v>18</v>
      </c>
      <c r="H165" s="2">
        <v>9151.2974680000007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4.7250000000000005</v>
      </c>
      <c r="M165" s="2">
        <f>+IFERROR(PRODUCTOS[[#This Row],[PPTO]]*PRODUCTOS[[#This Row],[CANT X MODULO]],"")</f>
        <v>43239.880536300006</v>
      </c>
      <c r="N165" s="2">
        <f>+IFERROR(PRODUCTOS[[#This Row],[PPTO X MODULO]]*32,"")</f>
        <v>1383676.1771616002</v>
      </c>
      <c r="O165" s="2">
        <f>+IFERROR(PRODUCTOS[[#This Row],[PPTO X TORRE]]*22,"")</f>
        <v>30440875.897555206</v>
      </c>
      <c r="P165" s="3">
        <f>+IFERROR(PRODUCTOS[[#This Row],[CANT X MODULO]]*702,"")</f>
        <v>3316.9500000000003</v>
      </c>
      <c r="Q165" s="3">
        <f>+SUMIFS(DETALLE_GD_1[CANTIDAD SOLICITADA],DETALLE_GD_1[CODIGO],PRODUCTOS[[#This Row],[CODIGO]])</f>
        <v>436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436</v>
      </c>
      <c r="T165" s="3">
        <f>+IFERROR(PRODUCTOS[[#This Row],[CANTIDAD RECIBIDA]]/PRODUCTOS[[#This Row],[CANT X MODULO]],"")</f>
        <v>92.275132275132265</v>
      </c>
      <c r="U165" s="3">
        <f>+SUMIFS(DETALLE_GD_1[VALOR TOTAL POR ITEM GD],DETALLE_GD_1[CODIGO],PRODUCTOS[[#This Row],[CODIGO]])</f>
        <v>4041174</v>
      </c>
      <c r="V165" s="3">
        <f>+IFERROR(PRODUCTOS[[#This Row],[PRECIO DE COMPRA]]/PRODUCTOS[[#This Row],[CANT. COMPRADA]],"")</f>
        <v>9268.7477064220184</v>
      </c>
      <c r="W165" s="3">
        <f>+IFERROR(PRODUCTOS[[#This Row],[PRECIO COMPRA UNITARIO]]*PRODUCTOS[[#This Row],[PPTO FALTANTE]],"")</f>
        <v>26790388.370642208</v>
      </c>
      <c r="X165" s="7">
        <f>+IFERROR(PRODUCTOS[[#This Row],[PROYECCION COMPRA]]/PRODUCTOS[[#This Row],[PPTO TOTAL]]-1,"")</f>
        <v>-0.11992058110279868</v>
      </c>
      <c r="Y165" s="3">
        <f>+IFERROR((PRODUCTOS[[#This Row],[CANT X MODULO]]*704)-PRODUCTOS[[#This Row],[CANT. COMPRADA]],"")</f>
        <v>2890.4000000000005</v>
      </c>
      <c r="Z165" s="17">
        <f>+IFERROR(PRODUCTOS[[#This Row],[CANT. COMPRADA]]/PRODUCTOS[[#This Row],[PPTO FALTANTE]],"")</f>
        <v>0.15084417381677273</v>
      </c>
      <c r="AA165" s="3">
        <f>+IFERROR(PRODUCTOS[[#This Row],[PROYECCION COMPRA]]-(PRODUCTOS[[#This Row],[PPTO FALTANTE]]*PRODUCTOS[[#This Row],[PPTO]]),"")</f>
        <v>339478.16913500056</v>
      </c>
      <c r="AB165" s="3">
        <f>+_xlfn.XLOOKUP(PRODUCTOS[[#This Row],[CODIGO]],DETALLE_GD_1[CODIGO],DETALLE_GD_1[VALOR PPTO],"",0)</f>
        <v>9151.2975000000006</v>
      </c>
      <c r="AC165" s="3">
        <f>+AB165-PRODUCTOS[[#This Row],[PPTO_ACTUALIZADO]]</f>
        <v>3.1999999919207767E-5</v>
      </c>
    </row>
    <row r="166" spans="1:29" x14ac:dyDescent="0.25">
      <c r="A166">
        <v>1901086</v>
      </c>
      <c r="B166" t="s">
        <v>279</v>
      </c>
      <c r="C166" t="s">
        <v>547</v>
      </c>
      <c r="D166" t="s">
        <v>240</v>
      </c>
      <c r="E166" t="s">
        <v>404</v>
      </c>
      <c r="F166" s="2">
        <v>3711.5870410000002</v>
      </c>
      <c r="G166" s="6" t="s">
        <v>26</v>
      </c>
      <c r="H166" s="2">
        <v>3711.5870410000002</v>
      </c>
      <c r="I166" t="b">
        <v>1</v>
      </c>
      <c r="J166" t="str">
        <f>+_xlfn.XLOOKUP(PRODUCTOS[[#This Row],[CODIGO]],P_CRITICOS[CODIGO],P_CRITICOS[DESC CORTA],"",0)</f>
        <v>AISLAN GLASS 140MM</v>
      </c>
      <c r="K166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31.794434700000004</v>
      </c>
      <c r="M166" s="2">
        <f>+IFERROR(PRODUCTOS[[#This Row],[PPTO]]*PRODUCTOS[[#This Row],[CANT X MODULO]],"")</f>
        <v>118007.81180844075</v>
      </c>
      <c r="N166" s="2">
        <f>+IFERROR(PRODUCTOS[[#This Row],[PPTO X MODULO]]*32,"")</f>
        <v>3776249.9778701039</v>
      </c>
      <c r="O166" s="2">
        <f>+IFERROR(PRODUCTOS[[#This Row],[PPTO X TORRE]]*22,"")</f>
        <v>83077499.513142288</v>
      </c>
      <c r="P166" s="3">
        <f>+IFERROR(PRODUCTOS[[#This Row],[CANT X MODULO]]*702,"")</f>
        <v>22319.693159400002</v>
      </c>
      <c r="Q166" s="3">
        <f>+SUMIFS(DETALLE_GD_1[CANTIDAD SOLICITADA],DETALLE_GD_1[CODIGO],PRODUCTOS[[#This Row],[CODIGO]])</f>
        <v>2922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2922</v>
      </c>
      <c r="T166" s="3">
        <f>+IFERROR(PRODUCTOS[[#This Row],[CANTIDAD RECIBIDA]]/PRODUCTOS[[#This Row],[CANT X MODULO]],"")</f>
        <v>91.902876323195002</v>
      </c>
      <c r="U166" s="3">
        <f>+SUMIFS(DETALLE_GD_1[VALOR TOTAL POR ITEM GD],DETALLE_GD_1[CODIGO],PRODUCTOS[[#This Row],[CODIGO]])</f>
        <v>10626434</v>
      </c>
      <c r="V166" s="3">
        <f>+IFERROR(PRODUCTOS[[#This Row],[PRECIO DE COMPRA]]/PRODUCTOS[[#This Row],[CANT. COMPRADA]],"")</f>
        <v>3636.6988364134154</v>
      </c>
      <c r="W166" s="3">
        <f>+IFERROR(PRODUCTOS[[#This Row],[PRECIO COMPRA UNITARIO]]*PRODUCTOS[[#This Row],[PPTO FALTANTE]],"")</f>
        <v>70774821.709250286</v>
      </c>
      <c r="X166" s="7">
        <f>+IFERROR(PRODUCTOS[[#This Row],[PROYECCION COMPRA]]/PRODUCTOS[[#This Row],[PPTO TOTAL]]-1,"")</f>
        <v>-0.14808676086773409</v>
      </c>
      <c r="Y166" s="3">
        <f>+IFERROR((PRODUCTOS[[#This Row],[CANT X MODULO]]*704)-PRODUCTOS[[#This Row],[CANT. COMPRADA]],"")</f>
        <v>19461.282028800004</v>
      </c>
      <c r="Z166" s="17">
        <f>+IFERROR(PRODUCTOS[[#This Row],[CANT. COMPRADA]]/PRODUCTOS[[#This Row],[PPTO FALTANTE]],"")</f>
        <v>0.15014427084895252</v>
      </c>
      <c r="AA166" s="3">
        <f>+IFERROR(PRODUCTOS[[#This Row],[PROYECCION COMPRA]]-(PRODUCTOS[[#This Row],[PPTO FALTANTE]]*PRODUCTOS[[#This Row],[PPTO]]),"")</f>
        <v>-1457420.4700900018</v>
      </c>
      <c r="AB166" s="3">
        <f>+_xlfn.XLOOKUP(PRODUCTOS[[#This Row],[CODIGO]],DETALLE_GD_1[CODIGO],DETALLE_GD_1[VALOR PPTO],"",0)</f>
        <v>3711.587</v>
      </c>
      <c r="AC166" s="3">
        <f>+AB166-PRODUCTOS[[#This Row],[PPTO_ACTUALIZADO]]</f>
        <v>-4.1000000237545464E-5</v>
      </c>
    </row>
    <row r="167" spans="1:29" x14ac:dyDescent="0.25">
      <c r="A167">
        <v>4212234</v>
      </c>
      <c r="B167" t="s">
        <v>54</v>
      </c>
      <c r="C167" t="s">
        <v>574</v>
      </c>
      <c r="D167" t="s">
        <v>244</v>
      </c>
      <c r="E167">
        <v>0</v>
      </c>
      <c r="F167" s="2">
        <v>124909</v>
      </c>
      <c r="G167" s="6" t="s">
        <v>31</v>
      </c>
      <c r="H167" s="2">
        <v>124909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65577.225000000006</v>
      </c>
      <c r="N167" s="2">
        <f>+IFERROR(PRODUCTOS[[#This Row],[PPTO X MODULO]]*32,"")</f>
        <v>2098471.2000000002</v>
      </c>
      <c r="O167" s="2">
        <f>+IFERROR(PRODUCTOS[[#This Row],[PPTO X TORRE]]*22,"")</f>
        <v>46166366.400000006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48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48</v>
      </c>
      <c r="T167" s="3">
        <f>+IFERROR(PRODUCTOS[[#This Row],[CANTIDAD RECIBIDA]]/PRODUCTOS[[#This Row],[CANT X MODULO]],"")</f>
        <v>91.428571428571431</v>
      </c>
      <c r="U167" s="3">
        <f>+SUMIFS(DETALLE_GD_1[VALOR TOTAL POR ITEM GD],DETALLE_GD_1[CODIGO],PRODUCTOS[[#This Row],[CODIGO]])</f>
        <v>6074723</v>
      </c>
      <c r="V167" s="3">
        <f>+IFERROR(PRODUCTOS[[#This Row],[PRECIO DE COMPRA]]/PRODUCTOS[[#This Row],[CANT. COMPRADA]],"")</f>
        <v>126556.72916666667</v>
      </c>
      <c r="W167" s="3">
        <f>+IFERROR(PRODUCTOS[[#This Row],[PRECIO COMPRA UNITARIO]]*PRODUCTOS[[#This Row],[PPTO FALTANTE]],"")</f>
        <v>40700644.100000001</v>
      </c>
      <c r="X167" s="7">
        <f>+IFERROR(PRODUCTOS[[#This Row],[PROYECCION COMPRA]]/PRODUCTOS[[#This Row],[PPTO TOTAL]]-1,"")</f>
        <v>-0.11839186676818481</v>
      </c>
      <c r="Y167" s="3">
        <f>+IFERROR((PRODUCTOS[[#This Row],[CANT X MODULO]]*704)-PRODUCTOS[[#This Row],[CANT. COMPRADA]],"")</f>
        <v>321.60000000000002</v>
      </c>
      <c r="Z167" s="17">
        <f>+IFERROR(PRODUCTOS[[#This Row],[CANT. COMPRADA]]/PRODUCTOS[[#This Row],[PPTO FALTANTE]],"")</f>
        <v>0.14925373134328357</v>
      </c>
      <c r="AA167" s="3">
        <f>+IFERROR(PRODUCTOS[[#This Row],[PROYECCION COMPRA]]-(PRODUCTOS[[#This Row],[PPTO FALTANTE]]*PRODUCTOS[[#This Row],[PPTO]]),"")</f>
        <v>529909.69999999553</v>
      </c>
      <c r="AB167" s="3">
        <f>+_xlfn.XLOOKUP(PRODUCTOS[[#This Row],[CODIGO]],DETALLE_GD_1[CODIGO],DETALLE_GD_1[VALOR PPTO],"",0)</f>
        <v>124909</v>
      </c>
      <c r="AC167" s="3">
        <f>+AB167-PRODUCTOS[[#This Row],[PPTO_ACTUALIZADO]]</f>
        <v>0</v>
      </c>
    </row>
    <row r="168" spans="1:29" x14ac:dyDescent="0.25">
      <c r="A168">
        <v>307033</v>
      </c>
      <c r="B168" t="s">
        <v>248</v>
      </c>
      <c r="C168">
        <v>0</v>
      </c>
      <c r="D168" t="s">
        <v>244</v>
      </c>
      <c r="E168" t="s">
        <v>402</v>
      </c>
      <c r="F168" s="2">
        <v>1889.0535440000001</v>
      </c>
      <c r="G168" s="6" t="s">
        <v>31</v>
      </c>
      <c r="H168" s="2">
        <v>1889.0535440000001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7.8750000000000018</v>
      </c>
      <c r="M168" s="2">
        <f>+IFERROR(PRODUCTOS[[#This Row],[PPTO]]*PRODUCTOS[[#This Row],[CANT X MODULO]],"")</f>
        <v>14876.296659000003</v>
      </c>
      <c r="N168" s="2">
        <f>+IFERROR(PRODUCTOS[[#This Row],[PPTO X MODULO]]*32,"")</f>
        <v>476041.4930880001</v>
      </c>
      <c r="O168" s="2">
        <f>+IFERROR(PRODUCTOS[[#This Row],[PPTO X TORRE]]*22,"")</f>
        <v>10472912.847936003</v>
      </c>
      <c r="P168" s="3">
        <f>+IFERROR(PRODUCTOS[[#This Row],[CANT X MODULO]]*702,"")</f>
        <v>5528.2500000000009</v>
      </c>
      <c r="Q168" s="3">
        <f>+SUMIFS(DETALLE_GD_1[CANTIDAD SOLICITADA],DETALLE_GD_1[CODIGO],PRODUCTOS[[#This Row],[CODIGO]])</f>
        <v>710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710</v>
      </c>
      <c r="T168" s="3">
        <f>+IFERROR(PRODUCTOS[[#This Row],[CANTIDAD RECIBIDA]]/PRODUCTOS[[#This Row],[CANT X MODULO]],"")</f>
        <v>90.158730158730137</v>
      </c>
      <c r="U168" s="3">
        <f>+SUMIFS(DETALLE_GD_1[VALOR TOTAL POR ITEM GD],DETALLE_GD_1[CODIGO],PRODUCTOS[[#This Row],[CODIGO]])</f>
        <v>1341632</v>
      </c>
      <c r="V168" s="3">
        <f>+IFERROR(PRODUCTOS[[#This Row],[PRECIO DE COMPRA]]/PRODUCTOS[[#This Row],[CANT. COMPRADA]],"")</f>
        <v>1889.6225352112676</v>
      </c>
      <c r="W168" s="3">
        <f>+IFERROR(PRODUCTOS[[#This Row],[PRECIO COMPRA UNITARIO]]*PRODUCTOS[[#This Row],[PPTO FALTANTE]],"")</f>
        <v>9134435.3352112696</v>
      </c>
      <c r="X168" s="7">
        <f>+IFERROR(PRODUCTOS[[#This Row],[PROYECCION COMPRA]]/PRODUCTOS[[#This Row],[PPTO TOTAL]]-1,"")</f>
        <v>-0.12780374783587733</v>
      </c>
      <c r="Y168" s="3">
        <f>+IFERROR((PRODUCTOS[[#This Row],[CANT X MODULO]]*704)-PRODUCTOS[[#This Row],[CANT. COMPRADA]],"")</f>
        <v>4834.0000000000009</v>
      </c>
      <c r="Z168" s="17">
        <f>+IFERROR(PRODUCTOS[[#This Row],[CANT. COMPRADA]]/PRODUCTOS[[#This Row],[PPTO FALTANTE]],"")</f>
        <v>0.14687629292511376</v>
      </c>
      <c r="AA168" s="3">
        <f>+IFERROR(PRODUCTOS[[#This Row],[PROYECCION COMPRA]]-(PRODUCTOS[[#This Row],[PPTO FALTANTE]]*PRODUCTOS[[#This Row],[PPTO]]),"")</f>
        <v>2750.5035152677447</v>
      </c>
      <c r="AB168" s="3">
        <f>+_xlfn.XLOOKUP(PRODUCTOS[[#This Row],[CODIGO]],DETALLE_GD_1[CODIGO],DETALLE_GD_1[VALOR PPTO],"",0)</f>
        <v>1889.0535</v>
      </c>
      <c r="AC168" s="3">
        <f>+AB168-PRODUCTOS[[#This Row],[PPTO_ACTUALIZADO]]</f>
        <v>-4.4000000116284355E-5</v>
      </c>
    </row>
    <row r="169" spans="1:29" x14ac:dyDescent="0.25">
      <c r="A169">
        <v>1802517</v>
      </c>
      <c r="B169" t="s">
        <v>141</v>
      </c>
      <c r="C169" t="s">
        <v>630</v>
      </c>
      <c r="D169" t="s">
        <v>244</v>
      </c>
      <c r="E169" t="s">
        <v>410</v>
      </c>
      <c r="F169" s="2">
        <v>2312.5</v>
      </c>
      <c r="G169" s="6" t="s">
        <v>31</v>
      </c>
      <c r="H169" s="2">
        <v>2312</v>
      </c>
      <c r="I169" t="b">
        <v>0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1214.0625</v>
      </c>
      <c r="N169" s="2">
        <f>+IFERROR(PRODUCTOS[[#This Row],[PPTO X MODULO]]*32,"")</f>
        <v>38850</v>
      </c>
      <c r="O169" s="2">
        <f>+IFERROR(PRODUCTOS[[#This Row],[PPTO X TORRE]]*22,"")</f>
        <v>854700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47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47</v>
      </c>
      <c r="T169" s="3">
        <f>+IFERROR(PRODUCTOS[[#This Row],[CANTIDAD RECIBIDA]]/PRODUCTOS[[#This Row],[CANT X MODULO]],"")</f>
        <v>89.523809523809518</v>
      </c>
      <c r="U169" s="3">
        <f>+SUMIFS(DETALLE_GD_1[VALOR TOTAL POR ITEM GD],DETALLE_GD_1[CODIGO],PRODUCTOS[[#This Row],[CODIGO]])</f>
        <v>108687</v>
      </c>
      <c r="V169" s="3">
        <f>+IFERROR(PRODUCTOS[[#This Row],[PRECIO DE COMPRA]]/PRODUCTOS[[#This Row],[CANT. COMPRADA]],"")</f>
        <v>2312.4893617021276</v>
      </c>
      <c r="W169" s="3">
        <f>+IFERROR(PRODUCTOS[[#This Row],[PRECIO COMPRA UNITARIO]]*PRODUCTOS[[#This Row],[PPTO FALTANTE]],"")</f>
        <v>746009.06808510644</v>
      </c>
      <c r="X169" s="7">
        <f>+IFERROR(PRODUCTOS[[#This Row],[PROYECCION COMPRA]]/PRODUCTOS[[#This Row],[PPTO TOTAL]]-1,"")</f>
        <v>-0.12716851750894298</v>
      </c>
      <c r="Y169" s="3">
        <f>+IFERROR((PRODUCTOS[[#This Row],[CANT X MODULO]]*704)-PRODUCTOS[[#This Row],[CANT. COMPRADA]],"")</f>
        <v>322.60000000000002</v>
      </c>
      <c r="Z169" s="17">
        <f>+IFERROR(PRODUCTOS[[#This Row],[CANT. COMPRADA]]/PRODUCTOS[[#This Row],[PPTO FALTANTE]],"")</f>
        <v>0.14569125852448853</v>
      </c>
      <c r="AA169" s="3">
        <f>+IFERROR(PRODUCTOS[[#This Row],[PROYECCION COMPRA]]-(PRODUCTOS[[#This Row],[PPTO FALTANTE]]*PRODUCTOS[[#This Row],[PPTO]]),"")</f>
        <v>-3.4319148935610428</v>
      </c>
      <c r="AB169" s="3">
        <f>+_xlfn.XLOOKUP(PRODUCTOS[[#This Row],[CODIGO]],DETALLE_GD_1[CODIGO],DETALLE_GD_1[VALOR PPTO],"",0)</f>
        <v>2312</v>
      </c>
      <c r="AC169" s="3">
        <f>+AB169-PRODUCTOS[[#This Row],[PPTO_ACTUALIZADO]]</f>
        <v>0</v>
      </c>
    </row>
    <row r="170" spans="1:29" x14ac:dyDescent="0.25">
      <c r="A170">
        <v>1405025</v>
      </c>
      <c r="B170" t="s">
        <v>189</v>
      </c>
      <c r="C170">
        <v>0</v>
      </c>
      <c r="D170" t="s">
        <v>244</v>
      </c>
      <c r="E170" t="s">
        <v>408</v>
      </c>
      <c r="F170" s="2">
        <v>6758.5333330000003</v>
      </c>
      <c r="G170" s="6" t="s">
        <v>31</v>
      </c>
      <c r="H170" s="2">
        <v>6758.5333330000003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3548.2299998250005</v>
      </c>
      <c r="N170" s="2">
        <f>+IFERROR(PRODUCTOS[[#This Row],[PPTO X MODULO]]*32,"")</f>
        <v>113543.35999440002</v>
      </c>
      <c r="O170" s="2">
        <f>+IFERROR(PRODUCTOS[[#This Row],[PPTO X TORRE]]*22,"")</f>
        <v>2497953.9198768004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47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47</v>
      </c>
      <c r="T170" s="3">
        <f>+IFERROR(PRODUCTOS[[#This Row],[CANTIDAD RECIBIDA]]/PRODUCTOS[[#This Row],[CANT X MODULO]],"")</f>
        <v>89.523809523809518</v>
      </c>
      <c r="U170" s="3">
        <f>+SUMIFS(DETALLE_GD_1[VALOR TOTAL POR ITEM GD],DETALLE_GD_1[CODIGO],PRODUCTOS[[#This Row],[CODIGO]])</f>
        <v>328094</v>
      </c>
      <c r="V170" s="3">
        <f>+IFERROR(PRODUCTOS[[#This Row],[PRECIO DE COMPRA]]/PRODUCTOS[[#This Row],[CANT. COMPRADA]],"")</f>
        <v>6980.7234042553191</v>
      </c>
      <c r="W170" s="3">
        <f>+IFERROR(PRODUCTOS[[#This Row],[PRECIO COMPRA UNITARIO]]*PRODUCTOS[[#This Row],[PPTO FALTANTE]],"")</f>
        <v>2251981.3702127659</v>
      </c>
      <c r="X170" s="7">
        <f>+IFERROR(PRODUCTOS[[#This Row],[PROYECCION COMPRA]]/PRODUCTOS[[#This Row],[PPTO TOTAL]]-1,"")</f>
        <v>-9.8469610550768638E-2</v>
      </c>
      <c r="Y170" s="3">
        <f>+IFERROR((PRODUCTOS[[#This Row],[CANT X MODULO]]*704)-PRODUCTOS[[#This Row],[CANT. COMPRADA]],"")</f>
        <v>322.60000000000002</v>
      </c>
      <c r="Z170" s="17">
        <f>+IFERROR(PRODUCTOS[[#This Row],[CANT. COMPRADA]]/PRODUCTOS[[#This Row],[PPTO FALTANTE]],"")</f>
        <v>0.14569125852448853</v>
      </c>
      <c r="AA170" s="3">
        <f>+IFERROR(PRODUCTOS[[#This Row],[PROYECCION COMPRA]]-(PRODUCTOS[[#This Row],[PPTO FALTANTE]]*PRODUCTOS[[#This Row],[PPTO]]),"")</f>
        <v>71678.516986965667</v>
      </c>
      <c r="AB170" s="3">
        <f>+_xlfn.XLOOKUP(PRODUCTOS[[#This Row],[CODIGO]],DETALLE_GD_1[CODIGO],DETALLE_GD_1[VALOR PPTO],"",0)</f>
        <v>6758.5333000000001</v>
      </c>
      <c r="AC170" s="3">
        <f>+AB170-PRODUCTOS[[#This Row],[PPTO_ACTUALIZADO]]</f>
        <v>-3.3000000257743523E-5</v>
      </c>
    </row>
    <row r="171" spans="1:29" x14ac:dyDescent="0.25">
      <c r="A171" t="s">
        <v>296</v>
      </c>
      <c r="B171" t="s">
        <v>297</v>
      </c>
      <c r="C171" t="s">
        <v>526</v>
      </c>
      <c r="D171" t="s">
        <v>244</v>
      </c>
      <c r="E171" t="s">
        <v>408</v>
      </c>
      <c r="F171" s="2">
        <v>205500</v>
      </c>
      <c r="G171" s="6" t="s">
        <v>31</v>
      </c>
      <c r="H171" s="2">
        <v>205500</v>
      </c>
      <c r="I171" t="b">
        <v>1</v>
      </c>
      <c r="J171" t="str">
        <f>+_xlfn.XLOOKUP(PRODUCTOS[[#This Row],[CODIGO]],P_CRITICOS[CODIGO],P_CRITICOS[DESC CORTA],"",0)</f>
        <v>VENTANA V-01</v>
      </c>
      <c r="K171" t="str">
        <f>+IFERROR(IF(VLOOKUP(PRODUCTOS[[#This Row],[CODIGO]],P_CRITICOS[],3,0)="*","PRODUCTO CRITICO","NO CRITICO"),"NO CRITICO")</f>
        <v>PRODUCTO CRITICO</v>
      </c>
      <c r="L171" s="15">
        <f>+_xlfn.XLOOKUP(PRODUCTOS[[#This Row],[CODIGO]],BD_MODULO[Artículo],BD_MODULO[CUB_ACTUALIZADA],"",0)</f>
        <v>1.5750000000000002</v>
      </c>
      <c r="M171" s="2">
        <f>+IFERROR(PRODUCTOS[[#This Row],[PPTO]]*PRODUCTOS[[#This Row],[CANT X MODULO]],"")</f>
        <v>323662.50000000006</v>
      </c>
      <c r="N171" s="2">
        <f>+IFERROR(PRODUCTOS[[#This Row],[PPTO X MODULO]]*32,"")</f>
        <v>10357200.000000002</v>
      </c>
      <c r="O171" s="2">
        <f>+IFERROR(PRODUCTOS[[#This Row],[PPTO X TORRE]]*22,"")</f>
        <v>227858400.00000003</v>
      </c>
      <c r="P171" s="3">
        <f>+IFERROR(PRODUCTOS[[#This Row],[CANT X MODULO]]*702,"")</f>
        <v>1105.6500000000001</v>
      </c>
      <c r="Q171" s="3">
        <f>+SUMIFS(DETALLE_GD_1[CANTIDAD SOLICITADA],DETALLE_GD_1[CODIGO],PRODUCTOS[[#This Row],[CODIGO]])</f>
        <v>141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141</v>
      </c>
      <c r="T171" s="3">
        <f>+IFERROR(PRODUCTOS[[#This Row],[CANTIDAD RECIBIDA]]/PRODUCTOS[[#This Row],[CANT X MODULO]],"")</f>
        <v>89.523809523809518</v>
      </c>
      <c r="U171" s="3">
        <f>+SUMIFS(DETALLE_GD_1[VALOR TOTAL POR ITEM GD],DETALLE_GD_1[CODIGO],PRODUCTOS[[#This Row],[CODIGO]])</f>
        <v>28603076</v>
      </c>
      <c r="V171" s="3">
        <f>+IFERROR(PRODUCTOS[[#This Row],[PRECIO DE COMPRA]]/PRODUCTOS[[#This Row],[CANT. COMPRADA]],"")</f>
        <v>202858.69503546099</v>
      </c>
      <c r="W171" s="3">
        <f>+IFERROR(PRODUCTOS[[#This Row],[PRECIO COMPRA UNITARIO]]*PRODUCTOS[[#This Row],[PPTO FALTANTE]],"")</f>
        <v>196326645.05531919</v>
      </c>
      <c r="X171" s="7">
        <f>+IFERROR(PRODUCTOS[[#This Row],[PROYECCION COMPRA]]/PRODUCTOS[[#This Row],[PPTO TOTAL]]-1,"")</f>
        <v>-0.13838311400712389</v>
      </c>
      <c r="Y171" s="3">
        <f>+IFERROR((PRODUCTOS[[#This Row],[CANT X MODULO]]*704)-PRODUCTOS[[#This Row],[CANT. COMPRADA]],"")</f>
        <v>967.80000000000018</v>
      </c>
      <c r="Z171" s="17">
        <f>+IFERROR(PRODUCTOS[[#This Row],[CANT. COMPRADA]]/PRODUCTOS[[#This Row],[PPTO FALTANTE]],"")</f>
        <v>0.1456912585244885</v>
      </c>
      <c r="AA171" s="3">
        <f>+IFERROR(PRODUCTOS[[#This Row],[PROYECCION COMPRA]]-(PRODUCTOS[[#This Row],[PPTO FALTANTE]]*PRODUCTOS[[#This Row],[PPTO]]),"")</f>
        <v>-2556254.9446808398</v>
      </c>
      <c r="AB171" s="3">
        <f>+_xlfn.XLOOKUP(PRODUCTOS[[#This Row],[CODIGO]],DETALLE_GD_1[CODIGO],DETALLE_GD_1[VALOR PPTO],"",0)</f>
        <v>205500</v>
      </c>
      <c r="AC171" s="3">
        <f>+AB171-PRODUCTOS[[#This Row],[PPTO_ACTUALIZADO]]</f>
        <v>0</v>
      </c>
    </row>
    <row r="172" spans="1:29" x14ac:dyDescent="0.25">
      <c r="A172" t="s">
        <v>288</v>
      </c>
      <c r="B172" t="s">
        <v>289</v>
      </c>
      <c r="C172">
        <v>0</v>
      </c>
      <c r="D172" t="s">
        <v>244</v>
      </c>
      <c r="E172" t="s">
        <v>408</v>
      </c>
      <c r="F172" s="2">
        <v>101229</v>
      </c>
      <c r="G172" s="6" t="s">
        <v>31</v>
      </c>
      <c r="H172" s="2">
        <v>101229</v>
      </c>
      <c r="I172" t="b">
        <v>1</v>
      </c>
      <c r="J172" t="str">
        <f>+_xlfn.XLOOKUP(PRODUCTOS[[#This Row],[CODIGO]],P_CRITICOS[CODIGO],P_CRITICOS[DESC CORTA],"",0)</f>
        <v>VENTANA BAÑO</v>
      </c>
      <c r="K172" t="str">
        <f>+IFERROR(IF(VLOOKUP(PRODUCTOS[[#This Row],[CODIGO]],P_CRITICOS[],3,0)="*","PRODUCTO CRITICO","NO CRITICO"),"NO CRITICO")</f>
        <v>PRODUCTO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53145.225000000006</v>
      </c>
      <c r="N172" s="2">
        <f>+IFERROR(PRODUCTOS[[#This Row],[PPTO X MODULO]]*32,"")</f>
        <v>1700647.2000000002</v>
      </c>
      <c r="O172" s="2">
        <f>+IFERROR(PRODUCTOS[[#This Row],[PPTO X TORRE]]*22,"")</f>
        <v>37414238.400000006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47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47</v>
      </c>
      <c r="T172" s="3">
        <f>+IFERROR(PRODUCTOS[[#This Row],[CANTIDAD RECIBIDA]]/PRODUCTOS[[#This Row],[CANT X MODULO]],"")</f>
        <v>89.523809523809518</v>
      </c>
      <c r="U172" s="3">
        <f>+SUMIFS(DETALLE_GD_1[VALOR TOTAL POR ITEM GD],DETALLE_GD_1[CODIGO],PRODUCTOS[[#This Row],[CODIGO]])</f>
        <v>5624894</v>
      </c>
      <c r="V172" s="3">
        <f>+IFERROR(PRODUCTOS[[#This Row],[PRECIO DE COMPRA]]/PRODUCTOS[[#This Row],[CANT. COMPRADA]],"")</f>
        <v>119678.59574468085</v>
      </c>
      <c r="W172" s="3">
        <f>+IFERROR(PRODUCTOS[[#This Row],[PRECIO COMPRA UNITARIO]]*PRODUCTOS[[#This Row],[PPTO FALTANTE]],"")</f>
        <v>38608314.987234041</v>
      </c>
      <c r="X172" s="7">
        <f>+IFERROR(PRODUCTOS[[#This Row],[PROYECCION COMPRA]]/PRODUCTOS[[#This Row],[PPTO TOTAL]]-1,"")</f>
        <v>3.1915031236718461E-2</v>
      </c>
      <c r="Y172" s="3">
        <f>+IFERROR((PRODUCTOS[[#This Row],[CANT X MODULO]]*704)-PRODUCTOS[[#This Row],[CANT. COMPRADA]],"")</f>
        <v>322.60000000000002</v>
      </c>
      <c r="Z172" s="17">
        <f>+IFERROR(PRODUCTOS[[#This Row],[CANT. COMPRADA]]/PRODUCTOS[[#This Row],[PPTO FALTANTE]],"")</f>
        <v>0.14569125852448853</v>
      </c>
      <c r="AA172" s="3">
        <f>+IFERROR(PRODUCTOS[[#This Row],[PROYECCION COMPRA]]-(PRODUCTOS[[#This Row],[PPTO FALTANTE]]*PRODUCTOS[[#This Row],[PPTO]]),"")</f>
        <v>5951839.5872340389</v>
      </c>
      <c r="AB172" s="3">
        <f>+_xlfn.XLOOKUP(PRODUCTOS[[#This Row],[CODIGO]],DETALLE_GD_1[CODIGO],DETALLE_GD_1[VALOR PPTO],"",0)</f>
        <v>101229</v>
      </c>
      <c r="AC172" s="3">
        <f>+AB172-PRODUCTOS[[#This Row],[PPTO_ACTUALIZADO]]</f>
        <v>0</v>
      </c>
    </row>
    <row r="173" spans="1:29" x14ac:dyDescent="0.25">
      <c r="A173" t="s">
        <v>286</v>
      </c>
      <c r="B173" t="s">
        <v>287</v>
      </c>
      <c r="C173" t="s">
        <v>527</v>
      </c>
      <c r="D173" t="s">
        <v>244</v>
      </c>
      <c r="E173" t="s">
        <v>408</v>
      </c>
      <c r="F173" s="2">
        <v>350139</v>
      </c>
      <c r="G173" s="6" t="s">
        <v>31</v>
      </c>
      <c r="H173" s="2">
        <v>350139</v>
      </c>
      <c r="I173" t="b">
        <v>1</v>
      </c>
      <c r="J173" t="str">
        <f>+_xlfn.XLOOKUP(PRODUCTOS[[#This Row],[CODIGO]],P_CRITICOS[CODIGO],P_CRITICOS[DESC CORTA],"",0)</f>
        <v>VENTANA V.05</v>
      </c>
      <c r="K173" t="str">
        <f>+IFERROR(IF(VLOOKUP(PRODUCTOS[[#This Row],[CODIGO]],P_CRITICOS[],3,0)="*","PRODUCTO CRITICO","NO CRITICO"),"NO CRITICO")</f>
        <v>PRODUCTO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183822.97500000001</v>
      </c>
      <c r="N173" s="2">
        <f>+IFERROR(PRODUCTOS[[#This Row],[PPTO X MODULO]]*32,"")</f>
        <v>5882335.2000000002</v>
      </c>
      <c r="O173" s="2">
        <f>+IFERROR(PRODUCTOS[[#This Row],[PPTO X TORRE]]*22,"")</f>
        <v>129411374.40000001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47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47</v>
      </c>
      <c r="T173" s="3">
        <f>+IFERROR(PRODUCTOS[[#This Row],[CANTIDAD RECIBIDA]]/PRODUCTOS[[#This Row],[CANT X MODULO]],"")</f>
        <v>89.523809523809518</v>
      </c>
      <c r="U173" s="3">
        <f>+SUMIFS(DETALLE_GD_1[VALOR TOTAL POR ITEM GD],DETALLE_GD_1[CODIGO],PRODUCTOS[[#This Row],[CODIGO]])</f>
        <v>17936431</v>
      </c>
      <c r="V173" s="3">
        <f>+IFERROR(PRODUCTOS[[#This Row],[PRECIO DE COMPRA]]/PRODUCTOS[[#This Row],[CANT. COMPRADA]],"")</f>
        <v>381626.19148936169</v>
      </c>
      <c r="W173" s="3">
        <f>+IFERROR(PRODUCTOS[[#This Row],[PRECIO COMPRA UNITARIO]]*PRODUCTOS[[#This Row],[PPTO FALTANTE]],"")</f>
        <v>123112609.37446809</v>
      </c>
      <c r="X173" s="7">
        <f>+IFERROR(PRODUCTOS[[#This Row],[PROYECCION COMPRA]]/PRODUCTOS[[#This Row],[PPTO TOTAL]]-1,"")</f>
        <v>-4.8672421993316783E-2</v>
      </c>
      <c r="Y173" s="3">
        <f>+IFERROR((PRODUCTOS[[#This Row],[CANT X MODULO]]*704)-PRODUCTOS[[#This Row],[CANT. COMPRADA]],"")</f>
        <v>322.60000000000002</v>
      </c>
      <c r="Z173" s="17">
        <f>+IFERROR(PRODUCTOS[[#This Row],[CANT. COMPRADA]]/PRODUCTOS[[#This Row],[PPTO FALTANTE]],"")</f>
        <v>0.14569125852448853</v>
      </c>
      <c r="AA173" s="3">
        <f>+IFERROR(PRODUCTOS[[#This Row],[PROYECCION COMPRA]]-(PRODUCTOS[[#This Row],[PPTO FALTANTE]]*PRODUCTOS[[#This Row],[PPTO]]),"")</f>
        <v>10157767.974468082</v>
      </c>
      <c r="AB173" s="3">
        <f>+_xlfn.XLOOKUP(PRODUCTOS[[#This Row],[CODIGO]],DETALLE_GD_1[CODIGO],DETALLE_GD_1[VALOR PPTO],"",0)</f>
        <v>350139</v>
      </c>
      <c r="AC173" s="3">
        <f>+AB173-PRODUCTOS[[#This Row],[PPTO_ACTUALIZADO]]</f>
        <v>0</v>
      </c>
    </row>
    <row r="174" spans="1:29" x14ac:dyDescent="0.25">
      <c r="A174">
        <v>2508992</v>
      </c>
      <c r="B174" t="s">
        <v>484</v>
      </c>
      <c r="C174" t="s">
        <v>680</v>
      </c>
      <c r="D174" t="s">
        <v>355</v>
      </c>
      <c r="E174" t="s">
        <v>355</v>
      </c>
      <c r="F174" s="2">
        <v>4139.6666670000004</v>
      </c>
      <c r="G174" s="6" t="s">
        <v>355</v>
      </c>
      <c r="H174" s="2">
        <v>5084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0.7875000000000002</v>
      </c>
      <c r="M174" s="2">
        <f>+IFERROR(PRODUCTOS[[#This Row],[PPTO]]*PRODUCTOS[[#This Row],[CANT X MODULO]],"")</f>
        <v>3259.9875002625013</v>
      </c>
      <c r="N174" s="2">
        <f>+IFERROR(PRODUCTOS[[#This Row],[PPTO X MODULO]]*32,"")</f>
        <v>104319.60000840004</v>
      </c>
      <c r="O174" s="2">
        <f>+IFERROR(PRODUCTOS[[#This Row],[PPTO X TORRE]]*22,"")</f>
        <v>2295031.2001848007</v>
      </c>
      <c r="P174" s="3">
        <f>+IFERROR(PRODUCTOS[[#This Row],[CANT X MODULO]]*702,"")</f>
        <v>552.82500000000016</v>
      </c>
      <c r="Q174" s="3">
        <f>+SUMIFS(DETALLE_GD_1[CANTIDAD SOLICITADA],DETALLE_GD_1[CODIGO],PRODUCTOS[[#This Row],[CODIGO]])</f>
        <v>70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70</v>
      </c>
      <c r="T174" s="3">
        <f>+IFERROR(PRODUCTOS[[#This Row],[CANTIDAD RECIBIDA]]/PRODUCTOS[[#This Row],[CANT X MODULO]],"")</f>
        <v>88.888888888888872</v>
      </c>
      <c r="U174" s="3">
        <f>+SUMIFS(DETALLE_GD_1[VALOR TOTAL POR ITEM GD],DETALLE_GD_1[CODIGO],PRODUCTOS[[#This Row],[CODIGO]])</f>
        <v>354545</v>
      </c>
      <c r="V174" s="3">
        <f>+IFERROR(PRODUCTOS[[#This Row],[PRECIO DE COMPRA]]/PRODUCTOS[[#This Row],[CANT. COMPRADA]],"")</f>
        <v>5064.9285714285716</v>
      </c>
      <c r="W174" s="3">
        <f>+IFERROR(PRODUCTOS[[#This Row],[PRECIO COMPRA UNITARIO]]*PRODUCTOS[[#This Row],[PPTO FALTANTE]],"")</f>
        <v>2453451.4000000004</v>
      </c>
      <c r="X174" s="7">
        <f>+IFERROR(PRODUCTOS[[#This Row],[PROYECCION COMPRA]]/PRODUCTOS[[#This Row],[PPTO TOTAL]]-1,"")</f>
        <v>6.9027471087296455E-2</v>
      </c>
      <c r="Y174" s="3">
        <f>+IFERROR((PRODUCTOS[[#This Row],[CANT X MODULO]]*704)-PRODUCTOS[[#This Row],[CANT. COMPRADA]],"")</f>
        <v>484.40000000000009</v>
      </c>
      <c r="Z174" s="17">
        <f>+IFERROR(PRODUCTOS[[#This Row],[CANT. COMPRADA]]/PRODUCTOS[[#This Row],[PPTO FALTANTE]],"")</f>
        <v>0.1445086705202312</v>
      </c>
      <c r="AA174" s="3">
        <f>+IFERROR(PRODUCTOS[[#This Row],[PROYECCION COMPRA]]-(PRODUCTOS[[#This Row],[PPTO FALTANTE]]*PRODUCTOS[[#This Row],[PPTO]]),"")</f>
        <v>448196.86650519981</v>
      </c>
      <c r="AB174" s="3">
        <f>+_xlfn.XLOOKUP(PRODUCTOS[[#This Row],[CODIGO]],DETALLE_GD_1[CODIGO],DETALLE_GD_1[VALOR PPTO],"",0)</f>
        <v>5084</v>
      </c>
      <c r="AC174" s="3">
        <f>+AB174-PRODUCTOS[[#This Row],[PPTO_ACTUALIZADO]]</f>
        <v>0</v>
      </c>
    </row>
    <row r="175" spans="1:29" x14ac:dyDescent="0.25">
      <c r="A175">
        <v>1802162</v>
      </c>
      <c r="B175" t="s">
        <v>260</v>
      </c>
      <c r="C175" t="s">
        <v>651</v>
      </c>
      <c r="D175" t="s">
        <v>244</v>
      </c>
      <c r="E175" t="s">
        <v>406</v>
      </c>
      <c r="F175" s="2">
        <v>42840</v>
      </c>
      <c r="G175" s="6" t="s">
        <v>31</v>
      </c>
      <c r="H175" s="2">
        <v>42840</v>
      </c>
      <c r="I175" t="b">
        <v>1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22491</v>
      </c>
      <c r="N175" s="2">
        <f>+IFERROR(PRODUCTOS[[#This Row],[PPTO X MODULO]]*32,"")</f>
        <v>719712</v>
      </c>
      <c r="O175" s="2">
        <f>+IFERROR(PRODUCTOS[[#This Row],[PPTO X TORRE]]*22,"")</f>
        <v>15833664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46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46</v>
      </c>
      <c r="T175" s="3">
        <f>+IFERROR(PRODUCTOS[[#This Row],[CANTIDAD RECIBIDA]]/PRODUCTOS[[#This Row],[CANT X MODULO]],"")</f>
        <v>87.61904761904762</v>
      </c>
      <c r="U175" s="3">
        <f>+SUMIFS(DETALLE_GD_1[VALOR TOTAL POR ITEM GD],DETALLE_GD_1[CODIGO],PRODUCTOS[[#This Row],[CODIGO]])</f>
        <v>1970640</v>
      </c>
      <c r="V175" s="3">
        <f>+IFERROR(PRODUCTOS[[#This Row],[PRECIO DE COMPRA]]/PRODUCTOS[[#This Row],[CANT. COMPRADA]],"")</f>
        <v>42840</v>
      </c>
      <c r="W175" s="3">
        <f>+IFERROR(PRODUCTOS[[#This Row],[PRECIO COMPRA UNITARIO]]*PRODUCTOS[[#This Row],[PPTO FALTANTE]],"")</f>
        <v>13863024.000000002</v>
      </c>
      <c r="X175" s="7">
        <f>+IFERROR(PRODUCTOS[[#This Row],[PROYECCION COMPRA]]/PRODUCTOS[[#This Row],[PPTO TOTAL]]-1,"")</f>
        <v>-0.12445887445887438</v>
      </c>
      <c r="Y175" s="3">
        <f>+IFERROR((PRODUCTOS[[#This Row],[CANT X MODULO]]*704)-PRODUCTOS[[#This Row],[CANT. COMPRADA]],"")</f>
        <v>323.60000000000002</v>
      </c>
      <c r="Z175" s="17">
        <f>+IFERROR(PRODUCTOS[[#This Row],[CANT. COMPRADA]]/PRODUCTOS[[#This Row],[PPTO FALTANTE]],"")</f>
        <v>0.14215080346106304</v>
      </c>
      <c r="AA175" s="3">
        <f>+IFERROR(PRODUCTOS[[#This Row],[PROYECCION COMPRA]]-(PRODUCTOS[[#This Row],[PPTO FALTANTE]]*PRODUCTOS[[#This Row],[PPTO]]),"")</f>
        <v>0</v>
      </c>
      <c r="AB175" s="3">
        <f>+_xlfn.XLOOKUP(PRODUCTOS[[#This Row],[CODIGO]],DETALLE_GD_1[CODIGO],DETALLE_GD_1[VALOR PPTO],"",0)</f>
        <v>42840</v>
      </c>
      <c r="AC175" s="3">
        <f>+AB175-PRODUCTOS[[#This Row],[PPTO_ACTUALIZADO]]</f>
        <v>0</v>
      </c>
    </row>
    <row r="176" spans="1:29" x14ac:dyDescent="0.25">
      <c r="A176">
        <v>602256</v>
      </c>
      <c r="B176" t="s">
        <v>493</v>
      </c>
      <c r="C176">
        <v>0</v>
      </c>
      <c r="D176" t="s">
        <v>355</v>
      </c>
      <c r="E176" t="s">
        <v>355</v>
      </c>
      <c r="G176" s="6" t="s">
        <v>355</v>
      </c>
      <c r="H176" s="2">
        <v>59000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2.3099999999999999E-2</v>
      </c>
      <c r="M176" s="2">
        <f>+IFERROR(PRODUCTOS[[#This Row],[PPTO]]*PRODUCTOS[[#This Row],[CANT X MODULO]],"")</f>
        <v>0</v>
      </c>
      <c r="N176" s="2">
        <f>+IFERROR(PRODUCTOS[[#This Row],[PPTO X MODULO]]*32,"")</f>
        <v>0</v>
      </c>
      <c r="O176" s="2">
        <f>+IFERROR(PRODUCTOS[[#This Row],[PPTO X TORRE]]*22,"")</f>
        <v>0</v>
      </c>
      <c r="P176" s="3">
        <f>+IFERROR(PRODUCTOS[[#This Row],[CANT X MODULO]]*702,"")</f>
        <v>16.216200000000001</v>
      </c>
      <c r="Q176" s="3">
        <f>+SUMIFS(DETALLE_GD_1[CANTIDAD SOLICITADA],DETALLE_GD_1[CODIGO],PRODUCTOS[[#This Row],[CODIGO]])</f>
        <v>2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2</v>
      </c>
      <c r="T176" s="3">
        <f>+IFERROR(PRODUCTOS[[#This Row],[CANTIDAD RECIBIDA]]/PRODUCTOS[[#This Row],[CANT X MODULO]],"")</f>
        <v>86.580086580086586</v>
      </c>
      <c r="U176" s="3">
        <f>+SUMIFS(DETALLE_GD_1[VALOR TOTAL POR ITEM GD],DETALLE_GD_1[CODIGO],PRODUCTOS[[#This Row],[CODIGO]])</f>
        <v>118000</v>
      </c>
      <c r="V176" s="3">
        <f>+IFERROR(PRODUCTOS[[#This Row],[PRECIO DE COMPRA]]/PRODUCTOS[[#This Row],[CANT. COMPRADA]],"")</f>
        <v>59000</v>
      </c>
      <c r="W176" s="3">
        <f>+IFERROR(PRODUCTOS[[#This Row],[PRECIO COMPRA UNITARIO]]*PRODUCTOS[[#This Row],[PPTO FALTANTE]],"")</f>
        <v>841481.6</v>
      </c>
      <c r="X176" s="7" t="str">
        <f>+IFERROR(PRODUCTOS[[#This Row],[PROYECCION COMPRA]]/PRODUCTOS[[#This Row],[PPTO TOTAL]]-1,"")</f>
        <v/>
      </c>
      <c r="Y176" s="3">
        <f>+IFERROR((PRODUCTOS[[#This Row],[CANT X MODULO]]*704)-PRODUCTOS[[#This Row],[CANT. COMPRADA]],"")</f>
        <v>14.2624</v>
      </c>
      <c r="Z176" s="17">
        <f>+IFERROR(PRODUCTOS[[#This Row],[CANT. COMPRADA]]/PRODUCTOS[[#This Row],[PPTO FALTANTE]],"")</f>
        <v>0.14022885348889388</v>
      </c>
      <c r="AA176" s="3">
        <f>+IFERROR(PRODUCTOS[[#This Row],[PROYECCION COMPRA]]-(PRODUCTOS[[#This Row],[PPTO FALTANTE]]*PRODUCTOS[[#This Row],[PPTO]]),"")</f>
        <v>841481.6</v>
      </c>
      <c r="AB176" s="3">
        <f>+_xlfn.XLOOKUP(PRODUCTOS[[#This Row],[CODIGO]],DETALLE_GD_1[CODIGO],DETALLE_GD_1[VALOR PPTO],"",0)</f>
        <v>59000</v>
      </c>
      <c r="AC176" s="3">
        <f>+AB176-PRODUCTOS[[#This Row],[PPTO_ACTUALIZADO]]</f>
        <v>0</v>
      </c>
    </row>
    <row r="177" spans="1:29" x14ac:dyDescent="0.25">
      <c r="A177">
        <v>307032</v>
      </c>
      <c r="B177" t="s">
        <v>186</v>
      </c>
      <c r="C177">
        <v>0</v>
      </c>
      <c r="D177" t="s">
        <v>244</v>
      </c>
      <c r="E177" t="s">
        <v>402</v>
      </c>
      <c r="F177" s="2">
        <v>2378.3750409999998</v>
      </c>
      <c r="G177" s="6" t="s">
        <v>137</v>
      </c>
      <c r="H177" s="2">
        <v>2378.3750409999998</v>
      </c>
      <c r="I177" t="b">
        <v>1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8.4</v>
      </c>
      <c r="M177" s="2">
        <f>+IFERROR(PRODUCTOS[[#This Row],[PPTO]]*PRODUCTOS[[#This Row],[CANT X MODULO]],"")</f>
        <v>19978.350344399998</v>
      </c>
      <c r="N177" s="2">
        <f>+IFERROR(PRODUCTOS[[#This Row],[PPTO X MODULO]]*32,"")</f>
        <v>639307.21102079994</v>
      </c>
      <c r="O177" s="2">
        <f>+IFERROR(PRODUCTOS[[#This Row],[PPTO X TORRE]]*22,"")</f>
        <v>14064758.642457599</v>
      </c>
      <c r="P177" s="3">
        <f>+IFERROR(PRODUCTOS[[#This Row],[CANT X MODULO]]*702,"")</f>
        <v>5896.8</v>
      </c>
      <c r="Q177" s="3">
        <f>+SUMIFS(DETALLE_GD_1[CANTIDAD SOLICITADA],DETALLE_GD_1[CODIGO],PRODUCTOS[[#This Row],[CODIGO]])</f>
        <v>726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726</v>
      </c>
      <c r="T177" s="3">
        <f>+IFERROR(PRODUCTOS[[#This Row],[CANTIDAD RECIBIDA]]/PRODUCTOS[[#This Row],[CANT X MODULO]],"")</f>
        <v>86.428571428571431</v>
      </c>
      <c r="U177" s="3">
        <f>+SUMIFS(DETALLE_GD_1[VALOR TOTAL POR ITEM GD],DETALLE_GD_1[CODIGO],PRODUCTOS[[#This Row],[CODIGO]])</f>
        <v>1625763</v>
      </c>
      <c r="V177" s="3">
        <f>+IFERROR(PRODUCTOS[[#This Row],[PRECIO DE COMPRA]]/PRODUCTOS[[#This Row],[CANT. COMPRADA]],"")</f>
        <v>2239.3429752066118</v>
      </c>
      <c r="W177" s="3">
        <f>+IFERROR(PRODUCTOS[[#This Row],[PRECIO COMPRA UNITARIO]]*PRODUCTOS[[#This Row],[PPTO FALTANTE]],"")</f>
        <v>11616815.618181819</v>
      </c>
      <c r="X177" s="7">
        <f>+IFERROR(PRODUCTOS[[#This Row],[PROYECCION COMPRA]]/PRODUCTOS[[#This Row],[PPTO TOTAL]]-1,"")</f>
        <v>-0.17404799374844016</v>
      </c>
      <c r="Y177" s="3">
        <f>+IFERROR((PRODUCTOS[[#This Row],[CANT X MODULO]]*704)-PRODUCTOS[[#This Row],[CANT. COMPRADA]],"")</f>
        <v>5187.6000000000004</v>
      </c>
      <c r="Z177" s="17">
        <f>+IFERROR(PRODUCTOS[[#This Row],[CANT. COMPRADA]]/PRODUCTOS[[#This Row],[PPTO FALTANTE]],"")</f>
        <v>0.13994910941475827</v>
      </c>
      <c r="AA177" s="3">
        <f>+IFERROR(PRODUCTOS[[#This Row],[PROYECCION COMPRA]]-(PRODUCTOS[[#This Row],[PPTO FALTANTE]]*PRODUCTOS[[#This Row],[PPTO]]),"")</f>
        <v>-721242.74450978078</v>
      </c>
      <c r="AB177" s="3">
        <f>+_xlfn.XLOOKUP(PRODUCTOS[[#This Row],[CODIGO]],DETALLE_GD_1[CODIGO],DETALLE_GD_1[VALOR PPTO],"",0)</f>
        <v>2378.375</v>
      </c>
      <c r="AC177" s="3">
        <f>+AB177-PRODUCTOS[[#This Row],[PPTO_ACTUALIZADO]]</f>
        <v>-4.0999999782798113E-5</v>
      </c>
    </row>
    <row r="178" spans="1:29" x14ac:dyDescent="0.25">
      <c r="A178">
        <v>608013</v>
      </c>
      <c r="B178" t="s">
        <v>328</v>
      </c>
      <c r="C178" t="s">
        <v>664</v>
      </c>
      <c r="D178" t="s">
        <v>244</v>
      </c>
      <c r="E178" t="s">
        <v>399</v>
      </c>
      <c r="F178" s="2">
        <v>8471</v>
      </c>
      <c r="G178" s="6" t="s">
        <v>31</v>
      </c>
      <c r="H178" s="2">
        <v>8471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0.105</v>
      </c>
      <c r="M178" s="2">
        <f>+IFERROR(PRODUCTOS[[#This Row],[PPTO]]*PRODUCTOS[[#This Row],[CANT X MODULO]],"")</f>
        <v>889.45499999999993</v>
      </c>
      <c r="N178" s="2">
        <f>+IFERROR(PRODUCTOS[[#This Row],[PPTO X MODULO]]*32,"")</f>
        <v>28462.559999999998</v>
      </c>
      <c r="O178" s="2">
        <f>+IFERROR(PRODUCTOS[[#This Row],[PPTO X TORRE]]*22,"")</f>
        <v>626176.31999999995</v>
      </c>
      <c r="P178" s="3">
        <f>+IFERROR(PRODUCTOS[[#This Row],[CANT X MODULO]]*702,"")</f>
        <v>73.709999999999994</v>
      </c>
      <c r="Q178" s="3">
        <f>+SUMIFS(DETALLE_GD_1[CANTIDAD SOLICITADA],DETALLE_GD_1[CODIGO],PRODUCTOS[[#This Row],[CODIGO]])</f>
        <v>9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9</v>
      </c>
      <c r="T178" s="3">
        <f>+IFERROR(PRODUCTOS[[#This Row],[CANTIDAD RECIBIDA]]/PRODUCTOS[[#This Row],[CANT X MODULO]],"")</f>
        <v>85.714285714285722</v>
      </c>
      <c r="U178" s="3">
        <f>+SUMIFS(DETALLE_GD_1[VALOR TOTAL POR ITEM GD],DETALLE_GD_1[CODIGO],PRODUCTOS[[#This Row],[CODIGO]])</f>
        <v>76146</v>
      </c>
      <c r="V178" s="3">
        <f>+IFERROR(PRODUCTOS[[#This Row],[PRECIO DE COMPRA]]/PRODUCTOS[[#This Row],[CANT. COMPRADA]],"")</f>
        <v>8460.6666666666661</v>
      </c>
      <c r="W178" s="3">
        <f>+IFERROR(PRODUCTOS[[#This Row],[PRECIO COMPRA UNITARIO]]*PRODUCTOS[[#This Row],[PPTO FALTANTE]],"")</f>
        <v>549266.48</v>
      </c>
      <c r="X178" s="7">
        <f>+IFERROR(PRODUCTOS[[#This Row],[PROYECCION COMPRA]]/PRODUCTOS[[#This Row],[PPTO TOTAL]]-1,"")</f>
        <v>-0.1228245743946369</v>
      </c>
      <c r="Y178" s="3">
        <f>+IFERROR((PRODUCTOS[[#This Row],[CANT X MODULO]]*704)-PRODUCTOS[[#This Row],[CANT. COMPRADA]],"")</f>
        <v>64.92</v>
      </c>
      <c r="Z178" s="17">
        <f>+IFERROR(PRODUCTOS[[#This Row],[CANT. COMPRADA]]/PRODUCTOS[[#This Row],[PPTO FALTANTE]],"")</f>
        <v>0.13863216266173753</v>
      </c>
      <c r="AA178" s="3">
        <f>+IFERROR(PRODUCTOS[[#This Row],[PROYECCION COMPRA]]-(PRODUCTOS[[#This Row],[PPTO FALTANTE]]*PRODUCTOS[[#This Row],[PPTO]]),"")</f>
        <v>-670.84000000008382</v>
      </c>
      <c r="AB178" s="3">
        <f>+_xlfn.XLOOKUP(PRODUCTOS[[#This Row],[CODIGO]],DETALLE_GD_1[CODIGO],DETALLE_GD_1[VALOR PPTO],"",0)</f>
        <v>8471</v>
      </c>
      <c r="AC178" s="3">
        <f>+AB178-PRODUCTOS[[#This Row],[PPTO_ACTUALIZADO]]</f>
        <v>0</v>
      </c>
    </row>
    <row r="179" spans="1:29" x14ac:dyDescent="0.25">
      <c r="A179">
        <v>1802171</v>
      </c>
      <c r="B179" t="s">
        <v>265</v>
      </c>
      <c r="C179" t="s">
        <v>656</v>
      </c>
      <c r="D179" t="s">
        <v>244</v>
      </c>
      <c r="E179" t="s">
        <v>406</v>
      </c>
      <c r="F179" s="2">
        <v>3167.794425</v>
      </c>
      <c r="G179" s="6" t="s">
        <v>31</v>
      </c>
      <c r="H179" s="2">
        <v>3632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0.52500000000000002</v>
      </c>
      <c r="M179" s="2">
        <f>+IFERROR(PRODUCTOS[[#This Row],[PPTO]]*PRODUCTOS[[#This Row],[CANT X MODULO]],"")</f>
        <v>1663.0920731250001</v>
      </c>
      <c r="N179" s="2">
        <f>+IFERROR(PRODUCTOS[[#This Row],[PPTO X MODULO]]*32,"")</f>
        <v>53218.946340000002</v>
      </c>
      <c r="O179" s="2">
        <f>+IFERROR(PRODUCTOS[[#This Row],[PPTO X TORRE]]*22,"")</f>
        <v>1170816.8194800001</v>
      </c>
      <c r="P179" s="3">
        <f>+IFERROR(PRODUCTOS[[#This Row],[CANT X MODULO]]*702,"")</f>
        <v>368.55</v>
      </c>
      <c r="Q179" s="3">
        <f>+SUMIFS(DETALLE_GD_1[CANTIDAD SOLICITADA],DETALLE_GD_1[CODIGO],PRODUCTOS[[#This Row],[CODIGO]])</f>
        <v>44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44</v>
      </c>
      <c r="T179" s="3">
        <f>+IFERROR(PRODUCTOS[[#This Row],[CANTIDAD RECIBIDA]]/PRODUCTOS[[#This Row],[CANT X MODULO]],"")</f>
        <v>83.80952380952381</v>
      </c>
      <c r="U179" s="3">
        <f>+SUMIFS(DETALLE_GD_1[VALOR TOTAL POR ITEM GD],DETALLE_GD_1[CODIGO],PRODUCTOS[[#This Row],[CODIGO]])</f>
        <v>140228</v>
      </c>
      <c r="V179" s="3">
        <f>+IFERROR(PRODUCTOS[[#This Row],[PRECIO DE COMPRA]]/PRODUCTOS[[#This Row],[CANT. COMPRADA]],"")</f>
        <v>3187</v>
      </c>
      <c r="W179" s="3">
        <f>+IFERROR(PRODUCTOS[[#This Row],[PRECIO COMPRA UNITARIO]]*PRODUCTOS[[#This Row],[PPTO FALTANTE]],"")</f>
        <v>1037687.2000000001</v>
      </c>
      <c r="X179" s="7">
        <f>+IFERROR(PRODUCTOS[[#This Row],[PROYECCION COMPRA]]/PRODUCTOS[[#This Row],[PPTO TOTAL]]-1,"")</f>
        <v>-0.11370661683791616</v>
      </c>
      <c r="Y179" s="3">
        <f>+IFERROR((PRODUCTOS[[#This Row],[CANT X MODULO]]*704)-PRODUCTOS[[#This Row],[CANT. COMPRADA]],"")</f>
        <v>325.60000000000002</v>
      </c>
      <c r="Z179" s="17">
        <f>+IFERROR(PRODUCTOS[[#This Row],[CANT. COMPRADA]]/PRODUCTOS[[#This Row],[PPTO FALTANTE]],"")</f>
        <v>0.13513513513513511</v>
      </c>
      <c r="AA179" s="3">
        <f>+IFERROR(PRODUCTOS[[#This Row],[PROYECCION COMPRA]]-(PRODUCTOS[[#This Row],[PPTO FALTANTE]]*PRODUCTOS[[#This Row],[PPTO]]),"")</f>
        <v>6253.3352200000081</v>
      </c>
      <c r="AB179" s="3">
        <f>+_xlfn.XLOOKUP(PRODUCTOS[[#This Row],[CODIGO]],DETALLE_GD_1[CODIGO],DETALLE_GD_1[VALOR PPTO],"",0)</f>
        <v>3632</v>
      </c>
      <c r="AC179" s="3">
        <f>+AB179-PRODUCTOS[[#This Row],[PPTO_ACTUALIZADO]]</f>
        <v>0</v>
      </c>
    </row>
    <row r="180" spans="1:29" x14ac:dyDescent="0.25">
      <c r="A180">
        <v>302048</v>
      </c>
      <c r="B180" t="s">
        <v>126</v>
      </c>
      <c r="C180" t="s">
        <v>533</v>
      </c>
      <c r="D180" t="s">
        <v>240</v>
      </c>
      <c r="E180" t="s">
        <v>403</v>
      </c>
      <c r="F180" s="2">
        <v>13710.694960999999</v>
      </c>
      <c r="G180" s="6" t="s">
        <v>20</v>
      </c>
      <c r="H180" s="2">
        <v>0</v>
      </c>
      <c r="I180" t="b">
        <v>0</v>
      </c>
      <c r="J180" t="str">
        <f>+_xlfn.XLOOKUP(PRODUCTOS[[#This Row],[CODIGO]],P_CRITICOS[CODIGO],P_CRITICOS[DESC CORTA],"",0)</f>
        <v>PINO 2X8X4</v>
      </c>
      <c r="K180" t="str">
        <f>+IFERROR(IF(VLOOKUP(PRODUCTOS[[#This Row],[CODIGO]],P_CRITICOS[],3,0)="*","PRODUCTO CRITICO","NO CRITICO"),"NO CRITICO")</f>
        <v>PRODUCTO CRITICO</v>
      </c>
      <c r="L180" s="15">
        <f>+_xlfn.XLOOKUP(PRODUCTOS[[#This Row],[CODIGO]],BD_MODULO[Artículo],BD_MODULO[CUB_ACTUALIZADA],"",0)</f>
        <v>35.174999999999997</v>
      </c>
      <c r="M180" s="2">
        <f>+IFERROR(PRODUCTOS[[#This Row],[PPTO]]*PRODUCTOS[[#This Row],[CANT X MODULO]],"")</f>
        <v>482273.69525317493</v>
      </c>
      <c r="N180" s="2">
        <f>+IFERROR(PRODUCTOS[[#This Row],[PPTO X MODULO]]*32,"")</f>
        <v>15432758.248101598</v>
      </c>
      <c r="O180" s="2">
        <f>+IFERROR(PRODUCTOS[[#This Row],[PPTO X TORRE]]*22,"")</f>
        <v>339520681.45823514</v>
      </c>
      <c r="P180" s="3">
        <f>+IFERROR(PRODUCTOS[[#This Row],[CANT X MODULO]]*702,"")</f>
        <v>24692.85</v>
      </c>
      <c r="Q180" s="3">
        <f>+SUMIFS(DETALLE_GD_1[CANTIDAD SOLICITADA],DETALLE_GD_1[CODIGO],PRODUCTOS[[#This Row],[CODIGO]])</f>
        <v>2922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2922</v>
      </c>
      <c r="T180" s="3">
        <f>+IFERROR(PRODUCTOS[[#This Row],[CANTIDAD RECIBIDA]]/PRODUCTOS[[#This Row],[CANT X MODULO]],"")</f>
        <v>83.070362473347558</v>
      </c>
      <c r="U180" s="3">
        <f>+SUMIFS(DETALLE_GD_1[VALOR TOTAL POR ITEM GD],DETALLE_GD_1[CODIGO],PRODUCTOS[[#This Row],[CODIGO]])</f>
        <v>40233792</v>
      </c>
      <c r="V180" s="3">
        <f>+IFERROR(PRODUCTOS[[#This Row],[PRECIO DE COMPRA]]/PRODUCTOS[[#This Row],[CANT. COMPRADA]],"")</f>
        <v>13769.264887063655</v>
      </c>
      <c r="W180" s="3">
        <f>+IFERROR(PRODUCTOS[[#This Row],[PRECIO COMPRA UNITARIO]]*PRODUCTOS[[#This Row],[PPTO FALTANTE]],"")</f>
        <v>300737268.25133467</v>
      </c>
      <c r="X180" s="7">
        <f>+IFERROR(PRODUCTOS[[#This Row],[PROYECCION COMPRA]]/PRODUCTOS[[#This Row],[PPTO TOTAL]]-1,"")</f>
        <v>-0.11422989916351023</v>
      </c>
      <c r="Y180" s="3">
        <f>+IFERROR((PRODUCTOS[[#This Row],[CANT X MODULO]]*704)-PRODUCTOS[[#This Row],[CANT. COMPRADA]],"")</f>
        <v>21841.199999999997</v>
      </c>
      <c r="Z180" s="17">
        <f>+IFERROR(PRODUCTOS[[#This Row],[CANT. COMPRADA]]/PRODUCTOS[[#This Row],[PPTO FALTANTE]],"")</f>
        <v>0.1337838580297786</v>
      </c>
      <c r="AA180" s="3">
        <f>+IFERROR(PRODUCTOS[[#This Row],[PROYECCION COMPRA]]-(PRODUCTOS[[#This Row],[PPTO FALTANTE]]*PRODUCTOS[[#This Row],[PPTO]]),"")</f>
        <v>1279237.4691415429</v>
      </c>
      <c r="AB180" s="3">
        <f>+_xlfn.XLOOKUP(PRODUCTOS[[#This Row],[CODIGO]],DETALLE_GD_1[CODIGO],DETALLE_GD_1[VALOR PPTO],"",0)</f>
        <v>13710.695</v>
      </c>
      <c r="AC180" s="3">
        <f>+AB180-PRODUCTOS[[#This Row],[PPTO_ACTUALIZADO]]</f>
        <v>13710.695</v>
      </c>
    </row>
    <row r="181" spans="1:29" x14ac:dyDescent="0.25">
      <c r="A181">
        <v>1703006</v>
      </c>
      <c r="B181" t="s">
        <v>48</v>
      </c>
      <c r="C181" t="s">
        <v>567</v>
      </c>
      <c r="D181" t="s">
        <v>258</v>
      </c>
      <c r="E181" t="s">
        <v>405</v>
      </c>
      <c r="F181" s="2">
        <v>1662</v>
      </c>
      <c r="G181" s="6" t="s">
        <v>31</v>
      </c>
      <c r="H181" s="2">
        <v>1662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872.55000000000007</v>
      </c>
      <c r="N181" s="2">
        <f>+IFERROR(PRODUCTOS[[#This Row],[PPTO X MODULO]]*32,"")</f>
        <v>27921.600000000002</v>
      </c>
      <c r="O181" s="2">
        <f>+IFERROR(PRODUCTOS[[#This Row],[PPTO X TORRE]]*22,"")</f>
        <v>614275.20000000007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43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43</v>
      </c>
      <c r="T181" s="3">
        <f>+IFERROR(PRODUCTOS[[#This Row],[CANTIDAD RECIBIDA]]/PRODUCTOS[[#This Row],[CANT X MODULO]],"")</f>
        <v>81.904761904761898</v>
      </c>
      <c r="U181" s="3">
        <f>+SUMIFS(DETALLE_GD_1[VALOR TOTAL POR ITEM GD],DETALLE_GD_1[CODIGO],PRODUCTOS[[#This Row],[CODIGO]])</f>
        <v>71478</v>
      </c>
      <c r="V181" s="3">
        <f>+IFERROR(PRODUCTOS[[#This Row],[PRECIO DE COMPRA]]/PRODUCTOS[[#This Row],[CANT. COMPRADA]],"")</f>
        <v>1662.2790697674418</v>
      </c>
      <c r="W181" s="3">
        <f>+IFERROR(PRODUCTOS[[#This Row],[PRECIO COMPRA UNITARIO]]*PRODUCTOS[[#This Row],[PPTO FALTANTE]],"")</f>
        <v>542900.34418604651</v>
      </c>
      <c r="X181" s="7">
        <f>+IFERROR(PRODUCTOS[[#This Row],[PROYECCION COMPRA]]/PRODUCTOS[[#This Row],[PPTO TOTAL]]-1,"")</f>
        <v>-0.11619361454597799</v>
      </c>
      <c r="Y181" s="3">
        <f>+IFERROR((PRODUCTOS[[#This Row],[CANT X MODULO]]*704)-PRODUCTOS[[#This Row],[CANT. COMPRADA]],"")</f>
        <v>326.60000000000002</v>
      </c>
      <c r="Z181" s="17">
        <f>+IFERROR(PRODUCTOS[[#This Row],[CANT. COMPRADA]]/PRODUCTOS[[#This Row],[PPTO FALTANTE]],"")</f>
        <v>0.1316595223515003</v>
      </c>
      <c r="AA181" s="3">
        <f>+IFERROR(PRODUCTOS[[#This Row],[PROYECCION COMPRA]]-(PRODUCTOS[[#This Row],[PPTO FALTANTE]]*PRODUCTOS[[#This Row],[PPTO]]),"")</f>
        <v>91.144186046440154</v>
      </c>
      <c r="AB181" s="3">
        <f>+_xlfn.XLOOKUP(PRODUCTOS[[#This Row],[CODIGO]],DETALLE_GD_1[CODIGO],DETALLE_GD_1[VALOR PPTO],"",0)</f>
        <v>1662</v>
      </c>
      <c r="AC181" s="3">
        <f>+AB181-PRODUCTOS[[#This Row],[PPTO_ACTUALIZADO]]</f>
        <v>0</v>
      </c>
    </row>
    <row r="182" spans="1:29" x14ac:dyDescent="0.25">
      <c r="A182">
        <v>1206002</v>
      </c>
      <c r="B182" t="s">
        <v>192</v>
      </c>
      <c r="C182">
        <v>0</v>
      </c>
      <c r="D182" t="s">
        <v>244</v>
      </c>
      <c r="E182" t="s">
        <v>406</v>
      </c>
      <c r="F182" s="2">
        <v>15783.483871</v>
      </c>
      <c r="G182" s="6" t="s">
        <v>31</v>
      </c>
      <c r="H182" s="2">
        <v>15783.483871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8286.3290322749999</v>
      </c>
      <c r="N182" s="2">
        <f>+IFERROR(PRODUCTOS[[#This Row],[PPTO X MODULO]]*32,"")</f>
        <v>265162.5290328</v>
      </c>
      <c r="O182" s="2">
        <f>+IFERROR(PRODUCTOS[[#This Row],[PPTO X TORRE]]*22,"")</f>
        <v>5833575.6387216002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43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43</v>
      </c>
      <c r="T182" s="3">
        <f>+IFERROR(PRODUCTOS[[#This Row],[CANTIDAD RECIBIDA]]/PRODUCTOS[[#This Row],[CANT X MODULO]],"")</f>
        <v>81.904761904761898</v>
      </c>
      <c r="U182" s="3">
        <f>+SUMIFS(DETALLE_GD_1[VALOR TOTAL POR ITEM GD],DETALLE_GD_1[CODIGO],PRODUCTOS[[#This Row],[CODIGO]])</f>
        <v>865168</v>
      </c>
      <c r="V182" s="3">
        <f>+IFERROR(PRODUCTOS[[#This Row],[PRECIO DE COMPRA]]/PRODUCTOS[[#This Row],[CANT. COMPRADA]],"")</f>
        <v>20120.18604651163</v>
      </c>
      <c r="W182" s="3">
        <f>+IFERROR(PRODUCTOS[[#This Row],[PRECIO COMPRA UNITARIO]]*PRODUCTOS[[#This Row],[PPTO FALTANTE]],"")</f>
        <v>6571252.7627906986</v>
      </c>
      <c r="X182" s="7">
        <f>+IFERROR(PRODUCTOS[[#This Row],[PROYECCION COMPRA]]/PRODUCTOS[[#This Row],[PPTO TOTAL]]-1,"")</f>
        <v>0.12645368291320502</v>
      </c>
      <c r="Y182" s="3">
        <f>+IFERROR((PRODUCTOS[[#This Row],[CANT X MODULO]]*704)-PRODUCTOS[[#This Row],[CANT. COMPRADA]],"")</f>
        <v>326.60000000000002</v>
      </c>
      <c r="Z182" s="17">
        <f>+IFERROR(PRODUCTOS[[#This Row],[CANT. COMPRADA]]/PRODUCTOS[[#This Row],[PPTO FALTANTE]],"")</f>
        <v>0.1316595223515003</v>
      </c>
      <c r="AA182" s="3">
        <f>+IFERROR(PRODUCTOS[[#This Row],[PROYECCION COMPRA]]-(PRODUCTOS[[#This Row],[PPTO FALTANTE]]*PRODUCTOS[[#This Row],[PPTO]]),"")</f>
        <v>1416366.9305220982</v>
      </c>
      <c r="AB182" s="3">
        <f>+_xlfn.XLOOKUP(PRODUCTOS[[#This Row],[CODIGO]],DETALLE_GD_1[CODIGO],DETALLE_GD_1[VALOR PPTO],"",0)</f>
        <v>15783.483899999999</v>
      </c>
      <c r="AC182" s="3">
        <f>+AB182-PRODUCTOS[[#This Row],[PPTO_ACTUALIZADO]]</f>
        <v>2.8999998903600499E-5</v>
      </c>
    </row>
    <row r="183" spans="1:29" x14ac:dyDescent="0.25">
      <c r="A183">
        <v>1808156</v>
      </c>
      <c r="B183" t="s">
        <v>277</v>
      </c>
      <c r="C183" t="s">
        <v>653</v>
      </c>
      <c r="D183" t="s">
        <v>244</v>
      </c>
      <c r="E183">
        <v>0</v>
      </c>
      <c r="F183" s="2">
        <v>1943.6823529999999</v>
      </c>
      <c r="G183" s="6" t="s">
        <v>31</v>
      </c>
      <c r="H183" s="2">
        <v>1916</v>
      </c>
      <c r="I183" t="b">
        <v>0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1020.4332353250001</v>
      </c>
      <c r="N183" s="2">
        <f>+IFERROR(PRODUCTOS[[#This Row],[PPTO X MODULO]]*32,"")</f>
        <v>32653.863530400002</v>
      </c>
      <c r="O183" s="2">
        <f>+IFERROR(PRODUCTOS[[#This Row],[PPTO X TORRE]]*22,"")</f>
        <v>718384.99766880006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43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43</v>
      </c>
      <c r="T183" s="3">
        <f>+IFERROR(PRODUCTOS[[#This Row],[CANTIDAD RECIBIDA]]/PRODUCTOS[[#This Row],[CANT X MODULO]],"")</f>
        <v>81.904761904761898</v>
      </c>
      <c r="U183" s="3">
        <f>+SUMIFS(DETALLE_GD_1[VALOR TOTAL POR ITEM GD],DETALLE_GD_1[CODIGO],PRODUCTOS[[#This Row],[CODIGO]])</f>
        <v>83059</v>
      </c>
      <c r="V183" s="3">
        <f>+IFERROR(PRODUCTOS[[#This Row],[PRECIO DE COMPRA]]/PRODUCTOS[[#This Row],[CANT. COMPRADA]],"")</f>
        <v>1931.6046511627908</v>
      </c>
      <c r="W183" s="3">
        <f>+IFERROR(PRODUCTOS[[#This Row],[PRECIO COMPRA UNITARIO]]*PRODUCTOS[[#This Row],[PPTO FALTANTE]],"")</f>
        <v>630862.0790697675</v>
      </c>
      <c r="X183" s="7">
        <f>+IFERROR(PRODUCTOS[[#This Row],[PROYECCION COMPRA]]/PRODUCTOS[[#This Row],[PPTO TOTAL]]-1,"")</f>
        <v>-0.1218328874949357</v>
      </c>
      <c r="Y183" s="3">
        <f>+IFERROR((PRODUCTOS[[#This Row],[CANT X MODULO]]*704)-PRODUCTOS[[#This Row],[CANT. COMPRADA]],"")</f>
        <v>326.60000000000002</v>
      </c>
      <c r="Z183" s="17">
        <f>+IFERROR(PRODUCTOS[[#This Row],[CANT. COMPRADA]]/PRODUCTOS[[#This Row],[PPTO FALTANTE]],"")</f>
        <v>0.1316595223515003</v>
      </c>
      <c r="AA183" s="3">
        <f>+IFERROR(PRODUCTOS[[#This Row],[PROYECCION COMPRA]]-(PRODUCTOS[[#This Row],[PPTO FALTANTE]]*PRODUCTOS[[#This Row],[PPTO]]),"")</f>
        <v>-3944.5774200324668</v>
      </c>
      <c r="AB183" s="3">
        <f>+_xlfn.XLOOKUP(PRODUCTOS[[#This Row],[CODIGO]],DETALLE_GD_1[CODIGO],DETALLE_GD_1[VALOR PPTO],"",0)</f>
        <v>1916</v>
      </c>
      <c r="AC183" s="3">
        <f>+AB183-PRODUCTOS[[#This Row],[PPTO_ACTUALIZADO]]</f>
        <v>0</v>
      </c>
    </row>
    <row r="184" spans="1:29" x14ac:dyDescent="0.25">
      <c r="A184">
        <v>1802172</v>
      </c>
      <c r="B184" t="s">
        <v>266</v>
      </c>
      <c r="C184" t="s">
        <v>655</v>
      </c>
      <c r="D184" t="s">
        <v>244</v>
      </c>
      <c r="E184" t="s">
        <v>406</v>
      </c>
      <c r="F184" s="2">
        <v>3029.864865</v>
      </c>
      <c r="G184" s="6" t="s">
        <v>31</v>
      </c>
      <c r="H184" s="2">
        <v>3035</v>
      </c>
      <c r="I184" t="b">
        <v>0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1590.679054125</v>
      </c>
      <c r="N184" s="2">
        <f>+IFERROR(PRODUCTOS[[#This Row],[PPTO X MODULO]]*32,"")</f>
        <v>50901.729732</v>
      </c>
      <c r="O184" s="2">
        <f>+IFERROR(PRODUCTOS[[#This Row],[PPTO X TORRE]]*22,"")</f>
        <v>1119838.0541040001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43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43</v>
      </c>
      <c r="T184" s="3">
        <f>+IFERROR(PRODUCTOS[[#This Row],[CANTIDAD RECIBIDA]]/PRODUCTOS[[#This Row],[CANT X MODULO]],"")</f>
        <v>81.904761904761898</v>
      </c>
      <c r="U184" s="3">
        <f>+SUMIFS(DETALLE_GD_1[VALOR TOTAL POR ITEM GD],DETALLE_GD_1[CODIGO],PRODUCTOS[[#This Row],[CODIGO]])</f>
        <v>130393</v>
      </c>
      <c r="V184" s="3">
        <f>+IFERROR(PRODUCTOS[[#This Row],[PRECIO DE COMPRA]]/PRODUCTOS[[#This Row],[CANT. COMPRADA]],"")</f>
        <v>3032.3953488372094</v>
      </c>
      <c r="W184" s="3">
        <f>+IFERROR(PRODUCTOS[[#This Row],[PRECIO COMPRA UNITARIO]]*PRODUCTOS[[#This Row],[PPTO FALTANTE]],"")</f>
        <v>990380.32093023264</v>
      </c>
      <c r="X184" s="7">
        <f>+IFERROR(PRODUCTOS[[#This Row],[PROYECCION COMPRA]]/PRODUCTOS[[#This Row],[PPTO TOTAL]]-1,"")</f>
        <v>-0.11560397746739248</v>
      </c>
      <c r="Y184" s="3">
        <f>+IFERROR((PRODUCTOS[[#This Row],[CANT X MODULO]]*704)-PRODUCTOS[[#This Row],[CANT. COMPRADA]],"")</f>
        <v>326.60000000000002</v>
      </c>
      <c r="Z184" s="17">
        <f>+IFERROR(PRODUCTOS[[#This Row],[CANT. COMPRADA]]/PRODUCTOS[[#This Row],[PPTO FALTANTE]],"")</f>
        <v>0.1316595223515003</v>
      </c>
      <c r="AA184" s="3">
        <f>+IFERROR(PRODUCTOS[[#This Row],[PROYECCION COMPRA]]-(PRODUCTOS[[#This Row],[PPTO FALTANTE]]*PRODUCTOS[[#This Row],[PPTO]]),"")</f>
        <v>826.45602123253047</v>
      </c>
      <c r="AB184" s="3">
        <f>+_xlfn.XLOOKUP(PRODUCTOS[[#This Row],[CODIGO]],DETALLE_GD_1[CODIGO],DETALLE_GD_1[VALOR PPTO],"",0)</f>
        <v>3035</v>
      </c>
      <c r="AC184" s="3">
        <f>+AB184-PRODUCTOS[[#This Row],[PPTO_ACTUALIZADO]]</f>
        <v>0</v>
      </c>
    </row>
    <row r="185" spans="1:29" x14ac:dyDescent="0.25">
      <c r="A185">
        <v>2508994</v>
      </c>
      <c r="B185" t="s">
        <v>486</v>
      </c>
      <c r="C185" t="s">
        <v>682</v>
      </c>
      <c r="D185" t="s">
        <v>355</v>
      </c>
      <c r="E185" t="s">
        <v>355</v>
      </c>
      <c r="F185" s="2">
        <v>4139.7142860000004</v>
      </c>
      <c r="G185" s="6" t="s">
        <v>355</v>
      </c>
      <c r="H185" s="2">
        <v>1598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2173.3500001500001</v>
      </c>
      <c r="N185" s="2">
        <f>+IFERROR(PRODUCTOS[[#This Row],[PPTO X MODULO]]*32,"")</f>
        <v>69547.200004800005</v>
      </c>
      <c r="O185" s="2">
        <f>+IFERROR(PRODUCTOS[[#This Row],[PPTO X TORRE]]*22,"")</f>
        <v>1530038.4001056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43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43</v>
      </c>
      <c r="T185" s="3">
        <f>+IFERROR(PRODUCTOS[[#This Row],[CANTIDAD RECIBIDA]]/PRODUCTOS[[#This Row],[CANT X MODULO]],"")</f>
        <v>81.904761904761898</v>
      </c>
      <c r="U185" s="3">
        <f>+SUMIFS(DETALLE_GD_1[VALOR TOTAL POR ITEM GD],DETALLE_GD_1[CODIGO],PRODUCTOS[[#This Row],[CODIGO]])</f>
        <v>74137</v>
      </c>
      <c r="V185" s="3">
        <f>+IFERROR(PRODUCTOS[[#This Row],[PRECIO DE COMPRA]]/PRODUCTOS[[#This Row],[CANT. COMPRADA]],"")</f>
        <v>1724.1162790697674</v>
      </c>
      <c r="W185" s="3">
        <f>+IFERROR(PRODUCTOS[[#This Row],[PRECIO COMPRA UNITARIO]]*PRODUCTOS[[#This Row],[PPTO FALTANTE]],"")</f>
        <v>563096.37674418604</v>
      </c>
      <c r="X185" s="7">
        <f>+IFERROR(PRODUCTOS[[#This Row],[PROYECCION COMPRA]]/PRODUCTOS[[#This Row],[PPTO TOTAL]]-1,"")</f>
        <v>-0.6319723892515885</v>
      </c>
      <c r="Y185" s="3">
        <f>+IFERROR((PRODUCTOS[[#This Row],[CANT X MODULO]]*704)-PRODUCTOS[[#This Row],[CANT. COMPRADA]],"")</f>
        <v>326.60000000000002</v>
      </c>
      <c r="Z185" s="17">
        <f>+IFERROR(PRODUCTOS[[#This Row],[CANT. COMPRADA]]/PRODUCTOS[[#This Row],[PPTO FALTANTE]],"")</f>
        <v>0.1316595223515003</v>
      </c>
      <c r="AA185" s="3">
        <f>+IFERROR(PRODUCTOS[[#This Row],[PROYECCION COMPRA]]-(PRODUCTOS[[#This Row],[PPTO FALTANTE]]*PRODUCTOS[[#This Row],[PPTO]]),"")</f>
        <v>-788934.30906341411</v>
      </c>
      <c r="AB185" s="3">
        <f>+_xlfn.XLOOKUP(PRODUCTOS[[#This Row],[CODIGO]],DETALLE_GD_1[CODIGO],DETALLE_GD_1[VALOR PPTO],"",0)</f>
        <v>1598</v>
      </c>
      <c r="AC185" s="3">
        <f>+AB185-PRODUCTOS[[#This Row],[PPTO_ACTUALIZADO]]</f>
        <v>0</v>
      </c>
    </row>
    <row r="186" spans="1:29" x14ac:dyDescent="0.25">
      <c r="A186">
        <v>2508993</v>
      </c>
      <c r="B186" t="s">
        <v>485</v>
      </c>
      <c r="C186" t="s">
        <v>681</v>
      </c>
      <c r="D186" t="s">
        <v>355</v>
      </c>
      <c r="E186" t="s">
        <v>355</v>
      </c>
      <c r="F186" s="2">
        <v>4139.7142860000004</v>
      </c>
      <c r="G186" s="6" t="s">
        <v>355</v>
      </c>
      <c r="H186" s="2">
        <v>1410</v>
      </c>
      <c r="I186" t="b">
        <v>0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1.05</v>
      </c>
      <c r="M186" s="2">
        <f>+IFERROR(PRODUCTOS[[#This Row],[PPTO]]*PRODUCTOS[[#This Row],[CANT X MODULO]],"")</f>
        <v>4346.7000003000003</v>
      </c>
      <c r="N186" s="2">
        <f>+IFERROR(PRODUCTOS[[#This Row],[PPTO X MODULO]]*32,"")</f>
        <v>139094.40000960001</v>
      </c>
      <c r="O186" s="2">
        <f>+IFERROR(PRODUCTOS[[#This Row],[PPTO X TORRE]]*22,"")</f>
        <v>3060076.8002112</v>
      </c>
      <c r="P186" s="3">
        <f>+IFERROR(PRODUCTOS[[#This Row],[CANT X MODULO]]*702,"")</f>
        <v>737.1</v>
      </c>
      <c r="Q186" s="3">
        <f>+SUMIFS(DETALLE_GD_1[CANTIDAD SOLICITADA],DETALLE_GD_1[CODIGO],PRODUCTOS[[#This Row],[CODIGO]])</f>
        <v>84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84</v>
      </c>
      <c r="T186" s="3">
        <f>+IFERROR(PRODUCTOS[[#This Row],[CANTIDAD RECIBIDA]]/PRODUCTOS[[#This Row],[CANT X MODULO]],"")</f>
        <v>80</v>
      </c>
      <c r="U186" s="3">
        <f>+SUMIFS(DETALLE_GD_1[VALOR TOTAL POR ITEM GD],DETALLE_GD_1[CODIGO],PRODUCTOS[[#This Row],[CODIGO]])</f>
        <v>123923</v>
      </c>
      <c r="V186" s="3">
        <f>+IFERROR(PRODUCTOS[[#This Row],[PRECIO DE COMPRA]]/PRODUCTOS[[#This Row],[CANT. COMPRADA]],"")</f>
        <v>1475.2738095238096</v>
      </c>
      <c r="W186" s="3">
        <f>+IFERROR(PRODUCTOS[[#This Row],[PRECIO COMPRA UNITARIO]]*PRODUCTOS[[#This Row],[PPTO FALTANTE]],"")</f>
        <v>966599.40000000014</v>
      </c>
      <c r="X186" s="7">
        <f>+IFERROR(PRODUCTOS[[#This Row],[PROYECCION COMPRA]]/PRODUCTOS[[#This Row],[PPTO TOTAL]]-1,"")</f>
        <v>-0.68412577098284344</v>
      </c>
      <c r="Y186" s="3">
        <f>+IFERROR((PRODUCTOS[[#This Row],[CANT X MODULO]]*704)-PRODUCTOS[[#This Row],[CANT. COMPRADA]],"")</f>
        <v>655.20000000000005</v>
      </c>
      <c r="Z186" s="17">
        <f>+IFERROR(PRODUCTOS[[#This Row],[CANT. COMPRADA]]/PRODUCTOS[[#This Row],[PPTO FALTANTE]],"")</f>
        <v>0.12820512820512819</v>
      </c>
      <c r="AA186" s="3">
        <f>+IFERROR(PRODUCTOS[[#This Row],[PROYECCION COMPRA]]-(PRODUCTOS[[#This Row],[PPTO FALTANTE]]*PRODUCTOS[[#This Row],[PPTO]]),"")</f>
        <v>-1745741.4001872002</v>
      </c>
      <c r="AB186" s="3">
        <f>+_xlfn.XLOOKUP(PRODUCTOS[[#This Row],[CODIGO]],DETALLE_GD_1[CODIGO],DETALLE_GD_1[VALOR PPTO],"",0)</f>
        <v>1410</v>
      </c>
      <c r="AC186" s="3">
        <f>+AB186-PRODUCTOS[[#This Row],[PPTO_ACTUALIZADO]]</f>
        <v>0</v>
      </c>
    </row>
    <row r="187" spans="1:29" x14ac:dyDescent="0.25">
      <c r="A187">
        <v>2508990</v>
      </c>
      <c r="B187" t="s">
        <v>482</v>
      </c>
      <c r="C187" t="s">
        <v>678</v>
      </c>
      <c r="D187" t="s">
        <v>355</v>
      </c>
      <c r="E187" t="s">
        <v>355</v>
      </c>
      <c r="F187" s="2">
        <v>4139.7142860000004</v>
      </c>
      <c r="G187" s="6" t="s">
        <v>355</v>
      </c>
      <c r="H187" s="2">
        <v>6738</v>
      </c>
      <c r="I187" t="b">
        <v>0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1.05</v>
      </c>
      <c r="M187" s="2">
        <f>+IFERROR(PRODUCTOS[[#This Row],[PPTO]]*PRODUCTOS[[#This Row],[CANT X MODULO]],"")</f>
        <v>4346.7000003000003</v>
      </c>
      <c r="N187" s="2">
        <f>+IFERROR(PRODUCTOS[[#This Row],[PPTO X MODULO]]*32,"")</f>
        <v>139094.40000960001</v>
      </c>
      <c r="O187" s="2">
        <f>+IFERROR(PRODUCTOS[[#This Row],[PPTO X TORRE]]*22,"")</f>
        <v>3060076.8002112</v>
      </c>
      <c r="P187" s="3">
        <f>+IFERROR(PRODUCTOS[[#This Row],[CANT X MODULO]]*702,"")</f>
        <v>737.1</v>
      </c>
      <c r="Q187" s="3">
        <f>+SUMIFS(DETALLE_GD_1[CANTIDAD SOLICITADA],DETALLE_GD_1[CODIGO],PRODUCTOS[[#This Row],[CODIGO]])</f>
        <v>82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82</v>
      </c>
      <c r="T187" s="3">
        <f>+IFERROR(PRODUCTOS[[#This Row],[CANTIDAD RECIBIDA]]/PRODUCTOS[[#This Row],[CANT X MODULO]],"")</f>
        <v>78.095238095238088</v>
      </c>
      <c r="U187" s="3">
        <f>+SUMIFS(DETALLE_GD_1[VALOR TOTAL POR ITEM GD],DETALLE_GD_1[CODIGO],PRODUCTOS[[#This Row],[CODIGO]])</f>
        <v>547489</v>
      </c>
      <c r="V187" s="3">
        <f>+IFERROR(PRODUCTOS[[#This Row],[PRECIO DE COMPRA]]/PRODUCTOS[[#This Row],[CANT. COMPRADA]],"")</f>
        <v>6676.6951219512193</v>
      </c>
      <c r="W187" s="3">
        <f>+IFERROR(PRODUCTOS[[#This Row],[PRECIO COMPRA UNITARIO]]*PRODUCTOS[[#This Row],[PPTO FALTANTE]],"")</f>
        <v>4387924.0341463415</v>
      </c>
      <c r="X187" s="7">
        <f>+IFERROR(PRODUCTOS[[#This Row],[PROYECCION COMPRA]]/PRODUCTOS[[#This Row],[PPTO TOTAL]]-1,"")</f>
        <v>0.43392611382939683</v>
      </c>
      <c r="Y187" s="3">
        <f>+IFERROR((PRODUCTOS[[#This Row],[CANT X MODULO]]*704)-PRODUCTOS[[#This Row],[CANT. COMPRADA]],"")</f>
        <v>657.2</v>
      </c>
      <c r="Z187" s="17">
        <f>+IFERROR(PRODUCTOS[[#This Row],[CANT. COMPRADA]]/PRODUCTOS[[#This Row],[PPTO FALTANTE]],"")</f>
        <v>0.1247717589774802</v>
      </c>
      <c r="AA187" s="3">
        <f>+IFERROR(PRODUCTOS[[#This Row],[PROYECCION COMPRA]]-(PRODUCTOS[[#This Row],[PPTO FALTANTE]]*PRODUCTOS[[#This Row],[PPTO]]),"")</f>
        <v>1667303.8053871412</v>
      </c>
      <c r="AB187" s="3">
        <f>+_xlfn.XLOOKUP(PRODUCTOS[[#This Row],[CODIGO]],DETALLE_GD_1[CODIGO],DETALLE_GD_1[VALOR PPTO],"",0)</f>
        <v>6738</v>
      </c>
      <c r="AC187" s="3">
        <f>+AB187-PRODUCTOS[[#This Row],[PPTO_ACTUALIZADO]]</f>
        <v>0</v>
      </c>
    </row>
    <row r="188" spans="1:29" x14ac:dyDescent="0.25">
      <c r="A188">
        <v>2508991</v>
      </c>
      <c r="B188" t="s">
        <v>483</v>
      </c>
      <c r="C188" t="s">
        <v>679</v>
      </c>
      <c r="D188" t="s">
        <v>355</v>
      </c>
      <c r="E188" t="s">
        <v>355</v>
      </c>
      <c r="F188" s="2">
        <v>4139.7142860000004</v>
      </c>
      <c r="G188" s="6" t="s">
        <v>355</v>
      </c>
      <c r="H188" s="2">
        <v>4798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1.05</v>
      </c>
      <c r="M188" s="2">
        <f>+IFERROR(PRODUCTOS[[#This Row],[PPTO]]*PRODUCTOS[[#This Row],[CANT X MODULO]],"")</f>
        <v>4346.7000003000003</v>
      </c>
      <c r="N188" s="2">
        <f>+IFERROR(PRODUCTOS[[#This Row],[PPTO X MODULO]]*32,"")</f>
        <v>139094.40000960001</v>
      </c>
      <c r="O188" s="2">
        <f>+IFERROR(PRODUCTOS[[#This Row],[PPTO X TORRE]]*22,"")</f>
        <v>3060076.8002112</v>
      </c>
      <c r="P188" s="3">
        <f>+IFERROR(PRODUCTOS[[#This Row],[CANT X MODULO]]*702,"")</f>
        <v>737.1</v>
      </c>
      <c r="Q188" s="3">
        <f>+SUMIFS(DETALLE_GD_1[CANTIDAD SOLICITADA],DETALLE_GD_1[CODIGO],PRODUCTOS[[#This Row],[CODIGO]])</f>
        <v>82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82</v>
      </c>
      <c r="T188" s="3">
        <f>+IFERROR(PRODUCTOS[[#This Row],[CANTIDAD RECIBIDA]]/PRODUCTOS[[#This Row],[CANT X MODULO]],"")</f>
        <v>78.095238095238088</v>
      </c>
      <c r="U188" s="3">
        <f>+SUMIFS(DETALLE_GD_1[VALOR TOTAL POR ITEM GD],DETALLE_GD_1[CODIGO],PRODUCTOS[[#This Row],[CODIGO]])</f>
        <v>392172</v>
      </c>
      <c r="V188" s="3">
        <f>+IFERROR(PRODUCTOS[[#This Row],[PRECIO DE COMPRA]]/PRODUCTOS[[#This Row],[CANT. COMPRADA]],"")</f>
        <v>4782.5853658536589</v>
      </c>
      <c r="W188" s="3">
        <f>+IFERROR(PRODUCTOS[[#This Row],[PRECIO COMPRA UNITARIO]]*PRODUCTOS[[#This Row],[PPTO FALTANTE]],"")</f>
        <v>3143115.102439025</v>
      </c>
      <c r="X188" s="7">
        <f>+IFERROR(PRODUCTOS[[#This Row],[PROYECCION COMPRA]]/PRODUCTOS[[#This Row],[PPTO TOTAL]]-1,"")</f>
        <v>2.7136019011710255E-2</v>
      </c>
      <c r="Y188" s="3">
        <f>+IFERROR((PRODUCTOS[[#This Row],[CANT X MODULO]]*704)-PRODUCTOS[[#This Row],[CANT. COMPRADA]],"")</f>
        <v>657.2</v>
      </c>
      <c r="Z188" s="17">
        <f>+IFERROR(PRODUCTOS[[#This Row],[CANT. COMPRADA]]/PRODUCTOS[[#This Row],[PPTO FALTANTE]],"")</f>
        <v>0.1247717589774802</v>
      </c>
      <c r="AA188" s="3">
        <f>+IFERROR(PRODUCTOS[[#This Row],[PROYECCION COMPRA]]-(PRODUCTOS[[#This Row],[PPTO FALTANTE]]*PRODUCTOS[[#This Row],[PPTO]]),"")</f>
        <v>422494.87367982464</v>
      </c>
      <c r="AB188" s="3">
        <f>+_xlfn.XLOOKUP(PRODUCTOS[[#This Row],[CODIGO]],DETALLE_GD_1[CODIGO],DETALLE_GD_1[VALOR PPTO],"",0)</f>
        <v>4798</v>
      </c>
      <c r="AC188" s="3">
        <f>+AB188-PRODUCTOS[[#This Row],[PPTO_ACTUALIZADO]]</f>
        <v>0</v>
      </c>
    </row>
    <row r="189" spans="1:29" x14ac:dyDescent="0.25">
      <c r="A189">
        <v>2302118</v>
      </c>
      <c r="B189" t="s">
        <v>228</v>
      </c>
      <c r="C189">
        <v>0</v>
      </c>
      <c r="D189">
        <v>0</v>
      </c>
      <c r="E189">
        <v>0</v>
      </c>
      <c r="F189" s="2">
        <v>0</v>
      </c>
      <c r="G189" s="6" t="s">
        <v>31</v>
      </c>
      <c r="H189" s="2">
        <v>101250</v>
      </c>
      <c r="I189" t="b">
        <v>0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0.31171874999999999</v>
      </c>
      <c r="M189" s="2">
        <f>+IFERROR(PRODUCTOS[[#This Row],[PPTO]]*PRODUCTOS[[#This Row],[CANT X MODULO]],"")</f>
        <v>0</v>
      </c>
      <c r="N189" s="2">
        <f>+IFERROR(PRODUCTOS[[#This Row],[PPTO X MODULO]]*32,"")</f>
        <v>0</v>
      </c>
      <c r="O189" s="2">
        <f>+IFERROR(PRODUCTOS[[#This Row],[PPTO X TORRE]]*22,"")</f>
        <v>0</v>
      </c>
      <c r="P189" s="3">
        <f>+IFERROR(PRODUCTOS[[#This Row],[CANT X MODULO]]*702,"")</f>
        <v>218.82656249999999</v>
      </c>
      <c r="Q189" s="3">
        <f>+SUMIFS(DETALLE_GD_1[CANTIDAD SOLICITADA],DETALLE_GD_1[CODIGO],PRODUCTOS[[#This Row],[CODIGO]])</f>
        <v>24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24</v>
      </c>
      <c r="T189" s="3">
        <f>+IFERROR(PRODUCTOS[[#This Row],[CANTIDAD RECIBIDA]]/PRODUCTOS[[#This Row],[CANT X MODULO]],"")</f>
        <v>76.992481203007515</v>
      </c>
      <c r="U189" s="3">
        <f>+SUMIFS(DETALLE_GD_1[VALOR TOTAL POR ITEM GD],DETALLE_GD_1[CODIGO],PRODUCTOS[[#This Row],[CODIGO]])</f>
        <v>1992878</v>
      </c>
      <c r="V189" s="3">
        <f>+IFERROR(PRODUCTOS[[#This Row],[PRECIO DE COMPRA]]/PRODUCTOS[[#This Row],[CANT. COMPRADA]],"")</f>
        <v>83036.583333333328</v>
      </c>
      <c r="W189" s="3">
        <f>+IFERROR(PRODUCTOS[[#This Row],[PRECIO COMPRA UNITARIO]]*PRODUCTOS[[#This Row],[PPTO FALTANTE]],"")</f>
        <v>16229500.212499999</v>
      </c>
      <c r="X189" s="7" t="str">
        <f>+IFERROR(PRODUCTOS[[#This Row],[PROYECCION COMPRA]]/PRODUCTOS[[#This Row],[PPTO TOTAL]]-1,"")</f>
        <v/>
      </c>
      <c r="Y189" s="3">
        <f>+IFERROR((PRODUCTOS[[#This Row],[CANT X MODULO]]*704)-PRODUCTOS[[#This Row],[CANT. COMPRADA]],"")</f>
        <v>195.45</v>
      </c>
      <c r="Z189" s="17">
        <f>+IFERROR(PRODUCTOS[[#This Row],[CANT. COMPRADA]]/PRODUCTOS[[#This Row],[PPTO FALTANTE]],"")</f>
        <v>0.12279355333844974</v>
      </c>
      <c r="AA189" s="3">
        <f>+IFERROR(PRODUCTOS[[#This Row],[PROYECCION COMPRA]]-(PRODUCTOS[[#This Row],[PPTO FALTANTE]]*PRODUCTOS[[#This Row],[PPTO]]),"")</f>
        <v>16229500.212499999</v>
      </c>
      <c r="AB189" s="3">
        <f>+_xlfn.XLOOKUP(PRODUCTOS[[#This Row],[CODIGO]],DETALLE_GD_1[CODIGO],DETALLE_GD_1[VALOR PPTO],"",0)</f>
        <v>101250</v>
      </c>
      <c r="AC189" s="3">
        <f>+AB189-PRODUCTOS[[#This Row],[PPTO_ACTUALIZADO]]</f>
        <v>0</v>
      </c>
    </row>
    <row r="190" spans="1:29" x14ac:dyDescent="0.25">
      <c r="A190">
        <v>5316507</v>
      </c>
      <c r="B190" t="s">
        <v>55</v>
      </c>
      <c r="C190" t="s">
        <v>575</v>
      </c>
      <c r="D190" t="s">
        <v>280</v>
      </c>
      <c r="E190" t="s">
        <v>405</v>
      </c>
      <c r="F190" s="2">
        <v>41419.666666999998</v>
      </c>
      <c r="G190" s="6" t="s">
        <v>31</v>
      </c>
      <c r="H190" s="2">
        <v>41419.666666999998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21745.325000174998</v>
      </c>
      <c r="N190" s="2">
        <f>+IFERROR(PRODUCTOS[[#This Row],[PPTO X MODULO]]*32,"")</f>
        <v>695850.40000559995</v>
      </c>
      <c r="O190" s="2">
        <f>+IFERROR(PRODUCTOS[[#This Row],[PPTO X TORRE]]*22,"")</f>
        <v>15308708.8001232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39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39</v>
      </c>
      <c r="T190" s="3">
        <f>+IFERROR(PRODUCTOS[[#This Row],[CANTIDAD RECIBIDA]]/PRODUCTOS[[#This Row],[CANT X MODULO]],"")</f>
        <v>74.285714285714278</v>
      </c>
      <c r="U190" s="3">
        <f>+SUMIFS(DETALLE_GD_1[VALOR TOTAL POR ITEM GD],DETALLE_GD_1[CODIGO],PRODUCTOS[[#This Row],[CODIGO]])</f>
        <v>1618693</v>
      </c>
      <c r="V190" s="3">
        <f>+IFERROR(PRODUCTOS[[#This Row],[PRECIO DE COMPRA]]/PRODUCTOS[[#This Row],[CANT. COMPRADA]],"")</f>
        <v>41504.948717948719</v>
      </c>
      <c r="W190" s="3">
        <f>+IFERROR(PRODUCTOS[[#This Row],[PRECIO COMPRA UNITARIO]]*PRODUCTOS[[#This Row],[PPTO FALTANTE]],"")</f>
        <v>13721536.046153847</v>
      </c>
      <c r="X190" s="7">
        <f>+IFERROR(PRODUCTOS[[#This Row],[PROYECCION COMPRA]]/PRODUCTOS[[#This Row],[PPTO TOTAL]]-1,"")</f>
        <v>-0.10367776764795344</v>
      </c>
      <c r="Y190" s="3">
        <f>+IFERROR((PRODUCTOS[[#This Row],[CANT X MODULO]]*704)-PRODUCTOS[[#This Row],[CANT. COMPRADA]],"")</f>
        <v>330.6</v>
      </c>
      <c r="Z190" s="17">
        <f>+IFERROR(PRODUCTOS[[#This Row],[CANT. COMPRADA]]/PRODUCTOS[[#This Row],[PPTO FALTANTE]],"")</f>
        <v>0.11796733212341197</v>
      </c>
      <c r="AA190" s="3">
        <f>+IFERROR(PRODUCTOS[[#This Row],[PROYECCION COMPRA]]-(PRODUCTOS[[#This Row],[PPTO FALTANTE]]*PRODUCTOS[[#This Row],[PPTO]]),"")</f>
        <v>28194.246043646708</v>
      </c>
      <c r="AB190" s="3">
        <f>+_xlfn.XLOOKUP(PRODUCTOS[[#This Row],[CODIGO]],DETALLE_GD_1[CODIGO],DETALLE_GD_1[VALOR PPTO],"",0)</f>
        <v>41419.666700000002</v>
      </c>
      <c r="AC190" s="3">
        <f>+AB190-PRODUCTOS[[#This Row],[PPTO_ACTUALIZADO]]</f>
        <v>3.300000389572233E-5</v>
      </c>
    </row>
    <row r="191" spans="1:29" x14ac:dyDescent="0.25">
      <c r="A191">
        <v>1901466</v>
      </c>
      <c r="B191" t="s">
        <v>496</v>
      </c>
      <c r="C191" t="s">
        <v>687</v>
      </c>
      <c r="D191" t="s">
        <v>355</v>
      </c>
      <c r="E191" t="s">
        <v>355</v>
      </c>
      <c r="G191" s="6" t="s">
        <v>26</v>
      </c>
      <c r="H191" s="2">
        <v>2112.795779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29.529275999999999</v>
      </c>
      <c r="M191" s="2">
        <f>+IFERROR(PRODUCTOS[[#This Row],[PPTO]]*PRODUCTOS[[#This Row],[CANT X MODULO]],"")</f>
        <v>0</v>
      </c>
      <c r="N191" s="2">
        <f>+IFERROR(PRODUCTOS[[#This Row],[PPTO X MODULO]]*32,"")</f>
        <v>0</v>
      </c>
      <c r="O191" s="2">
        <f>+IFERROR(PRODUCTOS[[#This Row],[PPTO X TORRE]]*22,"")</f>
        <v>0</v>
      </c>
      <c r="P191" s="3">
        <f>+IFERROR(PRODUCTOS[[#This Row],[CANT X MODULO]]*702,"")</f>
        <v>20729.551751999999</v>
      </c>
      <c r="Q191" s="3">
        <f>+SUMIFS(DETALLE_GD_1[CANTIDAD SOLICITADA],DETALLE_GD_1[CODIGO],PRODUCTOS[[#This Row],[CODIGO]])</f>
        <v>2159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2159</v>
      </c>
      <c r="T191" s="3">
        <f>+IFERROR(PRODUCTOS[[#This Row],[CANTIDAD RECIBIDA]]/PRODUCTOS[[#This Row],[CANT X MODULO]],"")</f>
        <v>73.113881965815892</v>
      </c>
      <c r="U191" s="3">
        <f>+SUMIFS(DETALLE_GD_1[VALOR TOTAL POR ITEM GD],DETALLE_GD_1[CODIGO],PRODUCTOS[[#This Row],[CODIGO]])</f>
        <v>4255200</v>
      </c>
      <c r="V191" s="3">
        <f>+IFERROR(PRODUCTOS[[#This Row],[PRECIO DE COMPRA]]/PRODUCTOS[[#This Row],[CANT. COMPRADA]],"")</f>
        <v>1970.9124594719779</v>
      </c>
      <c r="W191" s="3">
        <f>+IFERROR(PRODUCTOS[[#This Row],[PRECIO COMPRA UNITARIO]]*PRODUCTOS[[#This Row],[PPTO FALTANTE]],"")</f>
        <v>36717331.063261136</v>
      </c>
      <c r="X191" s="7" t="str">
        <f>+IFERROR(PRODUCTOS[[#This Row],[PROYECCION COMPRA]]/PRODUCTOS[[#This Row],[PPTO TOTAL]]-1,"")</f>
        <v/>
      </c>
      <c r="Y191" s="3">
        <f>+IFERROR((PRODUCTOS[[#This Row],[CANT X MODULO]]*704)-PRODUCTOS[[#This Row],[CANT. COMPRADA]],"")</f>
        <v>18629.610303999998</v>
      </c>
      <c r="Z191" s="17">
        <f>+IFERROR(PRODUCTOS[[#This Row],[CANT. COMPRADA]]/PRODUCTOS[[#This Row],[PPTO FALTANTE]],"")</f>
        <v>0.11589077628405556</v>
      </c>
      <c r="AA191" s="3">
        <f>+IFERROR(PRODUCTOS[[#This Row],[PROYECCION COMPRA]]-(PRODUCTOS[[#This Row],[PPTO FALTANTE]]*PRODUCTOS[[#This Row],[PPTO]]),"")</f>
        <v>36717331.063261136</v>
      </c>
      <c r="AB191" s="3">
        <f>+_xlfn.XLOOKUP(PRODUCTOS[[#This Row],[CODIGO]],DETALLE_GD_1[CODIGO],DETALLE_GD_1[VALOR PPTO],"",0)</f>
        <v>2112.7957999999999</v>
      </c>
      <c r="AC191" s="3">
        <f>+AB191-PRODUCTOS[[#This Row],[PPTO_ACTUALIZADO]]</f>
        <v>2.0999999833293259E-5</v>
      </c>
    </row>
    <row r="192" spans="1:29" x14ac:dyDescent="0.25">
      <c r="A192">
        <v>2302017</v>
      </c>
      <c r="B192" t="s">
        <v>156</v>
      </c>
      <c r="C192">
        <v>0</v>
      </c>
      <c r="D192" t="s">
        <v>244</v>
      </c>
      <c r="E192" t="s">
        <v>399</v>
      </c>
      <c r="F192" s="2">
        <v>81197.881578999994</v>
      </c>
      <c r="G192" s="6" t="s">
        <v>25</v>
      </c>
      <c r="H192" s="2">
        <v>81197.881578999979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0.7875000000000002</v>
      </c>
      <c r="M192" s="2">
        <f>+IFERROR(PRODUCTOS[[#This Row],[PPTO]]*PRODUCTOS[[#This Row],[CANT X MODULO]],"")</f>
        <v>63943.331743462513</v>
      </c>
      <c r="N192" s="2">
        <f>+IFERROR(PRODUCTOS[[#This Row],[PPTO X MODULO]]*32,"")</f>
        <v>2046186.6157908004</v>
      </c>
      <c r="O192" s="2">
        <f>+IFERROR(PRODUCTOS[[#This Row],[PPTO X TORRE]]*22,"")</f>
        <v>45016105.547397606</v>
      </c>
      <c r="P192" s="3">
        <f>+IFERROR(PRODUCTOS[[#This Row],[CANT X MODULO]]*702,"")</f>
        <v>552.82500000000016</v>
      </c>
      <c r="Q192" s="3">
        <f>+SUMIFS(DETALLE_GD_1[CANTIDAD SOLICITADA],DETALLE_GD_1[CODIGO],PRODUCTOS[[#This Row],[CODIGO]])</f>
        <v>56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56</v>
      </c>
      <c r="T192" s="3">
        <f>+IFERROR(PRODUCTOS[[#This Row],[CANTIDAD RECIBIDA]]/PRODUCTOS[[#This Row],[CANT X MODULO]],"")</f>
        <v>71.1111111111111</v>
      </c>
      <c r="U192" s="3">
        <f>+SUMIFS(DETALLE_GD_1[VALOR TOTAL POR ITEM GD],DETALLE_GD_1[CODIGO],PRODUCTOS[[#This Row],[CODIGO]])</f>
        <v>4676698</v>
      </c>
      <c r="V192" s="3">
        <f>+IFERROR(PRODUCTOS[[#This Row],[PRECIO DE COMPRA]]/PRODUCTOS[[#This Row],[CANT. COMPRADA]],"")</f>
        <v>83512.46428571429</v>
      </c>
      <c r="W192" s="3">
        <f>+IFERROR(PRODUCTOS[[#This Row],[PRECIO COMPRA UNITARIO]]*PRODUCTOS[[#This Row],[PPTO FALTANTE]],"")</f>
        <v>41622612.20000001</v>
      </c>
      <c r="X192" s="7">
        <f>+IFERROR(PRODUCTOS[[#This Row],[PROYECCION COMPRA]]/PRODUCTOS[[#This Row],[PPTO TOTAL]]-1,"")</f>
        <v>-7.5383983268489829E-2</v>
      </c>
      <c r="Y192" s="3">
        <f>+IFERROR((PRODUCTOS[[#This Row],[CANT X MODULO]]*704)-PRODUCTOS[[#This Row],[CANT. COMPRADA]],"")</f>
        <v>498.40000000000009</v>
      </c>
      <c r="Z192" s="17">
        <f>+IFERROR(PRODUCTOS[[#This Row],[CANT. COMPRADA]]/PRODUCTOS[[#This Row],[PPTO FALTANTE]],"")</f>
        <v>0.11235955056179774</v>
      </c>
      <c r="AA192" s="3">
        <f>+IFERROR(PRODUCTOS[[#This Row],[PROYECCION COMPRA]]-(PRODUCTOS[[#This Row],[PPTO FALTANTE]]*PRODUCTOS[[#This Row],[PPTO]]),"")</f>
        <v>1153588.0210264027</v>
      </c>
      <c r="AB192" s="3">
        <f>+_xlfn.XLOOKUP(PRODUCTOS[[#This Row],[CODIGO]],DETALLE_GD_1[CODIGO],DETALLE_GD_1[VALOR PPTO],"",0)</f>
        <v>81197.881599999993</v>
      </c>
      <c r="AC192" s="3">
        <f>+AB192-PRODUCTOS[[#This Row],[PPTO_ACTUALIZADO]]</f>
        <v>2.1000014385208488E-5</v>
      </c>
    </row>
    <row r="193" spans="1:29" x14ac:dyDescent="0.25">
      <c r="A193">
        <v>617055</v>
      </c>
      <c r="B193" t="s">
        <v>182</v>
      </c>
      <c r="C193">
        <v>0</v>
      </c>
      <c r="D193">
        <v>0</v>
      </c>
      <c r="E193">
        <v>0</v>
      </c>
      <c r="F193" s="2">
        <v>920.35378100000003</v>
      </c>
      <c r="G193" s="6" t="s">
        <v>31</v>
      </c>
      <c r="H193" s="2">
        <v>0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2.1</v>
      </c>
      <c r="M193" s="2">
        <f>+IFERROR(PRODUCTOS[[#This Row],[PPTO]]*PRODUCTOS[[#This Row],[CANT X MODULO]],"")</f>
        <v>1932.7429401000002</v>
      </c>
      <c r="N193" s="2">
        <f>+IFERROR(PRODUCTOS[[#This Row],[PPTO X MODULO]]*32,"")</f>
        <v>61847.774083200005</v>
      </c>
      <c r="O193" s="2">
        <f>+IFERROR(PRODUCTOS[[#This Row],[PPTO X TORRE]]*22,"")</f>
        <v>1360651.0298304001</v>
      </c>
      <c r="P193" s="3">
        <f>+IFERROR(PRODUCTOS[[#This Row],[CANT X MODULO]]*702,"")</f>
        <v>1474.2</v>
      </c>
      <c r="Q193" s="3">
        <f>+SUMIFS(DETALLE_GD_1[CANTIDAD SOLICITADA],DETALLE_GD_1[CODIGO],PRODUCTOS[[#This Row],[CODIGO]])</f>
        <v>149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149</v>
      </c>
      <c r="T193" s="3">
        <f>+IFERROR(PRODUCTOS[[#This Row],[CANTIDAD RECIBIDA]]/PRODUCTOS[[#This Row],[CANT X MODULO]],"")</f>
        <v>70.952380952380949</v>
      </c>
      <c r="U193" s="3">
        <f>+SUMIFS(DETALLE_GD_1[VALOR TOTAL POR ITEM GD],DETALLE_GD_1[CODIGO],PRODUCTOS[[#This Row],[CODIGO]])</f>
        <v>113746</v>
      </c>
      <c r="V193" s="3">
        <f>+IFERROR(PRODUCTOS[[#This Row],[PRECIO DE COMPRA]]/PRODUCTOS[[#This Row],[CANT. COMPRADA]],"")</f>
        <v>763.39597315436242</v>
      </c>
      <c r="W193" s="3">
        <f>+IFERROR(PRODUCTOS[[#This Row],[PRECIO COMPRA UNITARIO]]*PRODUCTOS[[#This Row],[PPTO FALTANTE]],"")</f>
        <v>1014858.6067114095</v>
      </c>
      <c r="X193" s="7">
        <f>+IFERROR(PRODUCTOS[[#This Row],[PROYECCION COMPRA]]/PRODUCTOS[[#This Row],[PPTO TOTAL]]-1,"")</f>
        <v>-0.25413747944033249</v>
      </c>
      <c r="Y193" s="3">
        <f>+IFERROR((PRODUCTOS[[#This Row],[CANT X MODULO]]*704)-PRODUCTOS[[#This Row],[CANT. COMPRADA]],"")</f>
        <v>1329.4</v>
      </c>
      <c r="Z193" s="17">
        <f>+IFERROR(PRODUCTOS[[#This Row],[CANT. COMPRADA]]/PRODUCTOS[[#This Row],[PPTO FALTANTE]],"")</f>
        <v>0.11208063788175116</v>
      </c>
      <c r="AA193" s="3">
        <f>+IFERROR(PRODUCTOS[[#This Row],[PROYECCION COMPRA]]-(PRODUCTOS[[#This Row],[PPTO FALTANTE]]*PRODUCTOS[[#This Row],[PPTO]]),"")</f>
        <v>-208659.70974999061</v>
      </c>
      <c r="AB193" s="3">
        <f>+_xlfn.XLOOKUP(PRODUCTOS[[#This Row],[CODIGO]],DETALLE_GD_1[CODIGO],DETALLE_GD_1[VALOR PPTO],"",0)</f>
        <v>920.35379999999998</v>
      </c>
      <c r="AC193" s="3">
        <f>+AB193-PRODUCTOS[[#This Row],[PPTO_ACTUALIZADO]]</f>
        <v>920.35379999999998</v>
      </c>
    </row>
    <row r="194" spans="1:29" x14ac:dyDescent="0.25">
      <c r="A194">
        <v>1801229</v>
      </c>
      <c r="B194" t="s">
        <v>259</v>
      </c>
      <c r="C194" t="s">
        <v>570</v>
      </c>
      <c r="D194" t="s">
        <v>258</v>
      </c>
      <c r="E194" t="s">
        <v>406</v>
      </c>
      <c r="F194" s="2">
        <v>4675.5185190000002</v>
      </c>
      <c r="G194" s="6" t="s">
        <v>31</v>
      </c>
      <c r="H194" s="2">
        <v>4675.5185190000002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2454.647222475</v>
      </c>
      <c r="N194" s="2">
        <f>+IFERROR(PRODUCTOS[[#This Row],[PPTO X MODULO]]*32,"")</f>
        <v>78548.711119200001</v>
      </c>
      <c r="O194" s="2">
        <f>+IFERROR(PRODUCTOS[[#This Row],[PPTO X TORRE]]*22,"")</f>
        <v>1728071.6446223999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36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36</v>
      </c>
      <c r="T194" s="3">
        <f>+IFERROR(PRODUCTOS[[#This Row],[CANTIDAD RECIBIDA]]/PRODUCTOS[[#This Row],[CANT X MODULO]],"")</f>
        <v>68.571428571428569</v>
      </c>
      <c r="U194" s="3">
        <f>+SUMIFS(DETALLE_GD_1[VALOR TOTAL POR ITEM GD],DETALLE_GD_1[CODIGO],PRODUCTOS[[#This Row],[CODIGO]])</f>
        <v>183773</v>
      </c>
      <c r="V194" s="3">
        <f>+IFERROR(PRODUCTOS[[#This Row],[PRECIO DE COMPRA]]/PRODUCTOS[[#This Row],[CANT. COMPRADA]],"")</f>
        <v>5104.8055555555557</v>
      </c>
      <c r="W194" s="3">
        <f>+IFERROR(PRODUCTOS[[#This Row],[PRECIO COMPRA UNITARIO]]*PRODUCTOS[[#This Row],[PPTO FALTANTE]],"")</f>
        <v>1702963.1333333335</v>
      </c>
      <c r="X194" s="7">
        <f>+IFERROR(PRODUCTOS[[#This Row],[PROYECCION COMPRA]]/PRODUCTOS[[#This Row],[PPTO TOTAL]]-1,"")</f>
        <v>-1.4529786057888128E-2</v>
      </c>
      <c r="Y194" s="3">
        <f>+IFERROR((PRODUCTOS[[#This Row],[CANT X MODULO]]*704)-PRODUCTOS[[#This Row],[CANT. COMPRADA]],"")</f>
        <v>333.6</v>
      </c>
      <c r="Z194" s="17">
        <f>+IFERROR(PRODUCTOS[[#This Row],[CANT. COMPRADA]]/PRODUCTOS[[#This Row],[PPTO FALTANTE]],"")</f>
        <v>0.1079136690647482</v>
      </c>
      <c r="AA194" s="3">
        <f>+IFERROR(PRODUCTOS[[#This Row],[PROYECCION COMPRA]]-(PRODUCTOS[[#This Row],[PPTO FALTANTE]]*PRODUCTOS[[#This Row],[PPTO]]),"")</f>
        <v>143210.15539493342</v>
      </c>
      <c r="AB194" s="3">
        <f>+_xlfn.XLOOKUP(PRODUCTOS[[#This Row],[CODIGO]],DETALLE_GD_1[CODIGO],DETALLE_GD_1[VALOR PPTO],"",0)</f>
        <v>4675.5185000000001</v>
      </c>
      <c r="AC194" s="3">
        <f>+AB194-PRODUCTOS[[#This Row],[PPTO_ACTUALIZADO]]</f>
        <v>-1.9000000065716449E-5</v>
      </c>
    </row>
    <row r="195" spans="1:29" x14ac:dyDescent="0.25">
      <c r="A195">
        <v>404252</v>
      </c>
      <c r="B195" t="s">
        <v>181</v>
      </c>
      <c r="C195">
        <v>0</v>
      </c>
      <c r="D195" t="s">
        <v>355</v>
      </c>
      <c r="E195" t="s">
        <v>355</v>
      </c>
      <c r="F195" s="2">
        <v>1110.043876</v>
      </c>
      <c r="G195" s="6" t="s">
        <v>355</v>
      </c>
      <c r="H195" s="2">
        <v>0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3.6749999999999998</v>
      </c>
      <c r="M195" s="2">
        <f>+IFERROR(PRODUCTOS[[#This Row],[PPTO]]*PRODUCTOS[[#This Row],[CANT X MODULO]],"")</f>
        <v>4079.4112442999995</v>
      </c>
      <c r="N195" s="2">
        <f>+IFERROR(PRODUCTOS[[#This Row],[PPTO X MODULO]]*32,"")</f>
        <v>130541.15981759998</v>
      </c>
      <c r="O195" s="2">
        <f>+IFERROR(PRODUCTOS[[#This Row],[PPTO X TORRE]]*22,"")</f>
        <v>2871905.5159871997</v>
      </c>
      <c r="P195" s="3">
        <f>+IFERROR(PRODUCTOS[[#This Row],[CANT X MODULO]]*702,"")</f>
        <v>2579.85</v>
      </c>
      <c r="Q195" s="3">
        <f>+SUMIFS(DETALLE_GD_1[CANTIDAD SOLICITADA],DETALLE_GD_1[CODIGO],PRODUCTOS[[#This Row],[CODIGO]])</f>
        <v>247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247</v>
      </c>
      <c r="T195" s="3">
        <f>+IFERROR(PRODUCTOS[[#This Row],[CANTIDAD RECIBIDA]]/PRODUCTOS[[#This Row],[CANT X MODULO]],"")</f>
        <v>67.210884353741505</v>
      </c>
      <c r="U195" s="3">
        <f>+SUMIFS(DETALLE_GD_1[VALOR TOTAL POR ITEM GD],DETALLE_GD_1[CODIGO],PRODUCTOS[[#This Row],[CODIGO]])</f>
        <v>363526</v>
      </c>
      <c r="V195" s="3">
        <f>+IFERROR(PRODUCTOS[[#This Row],[PRECIO DE COMPRA]]/PRODUCTOS[[#This Row],[CANT. COMPRADA]],"")</f>
        <v>1471.7651821862348</v>
      </c>
      <c r="W195" s="3">
        <f>+IFERROR(PRODUCTOS[[#This Row],[PRECIO COMPRA UNITARIO]]*PRODUCTOS[[#This Row],[PPTO FALTANTE]],"")</f>
        <v>3444224.8793522264</v>
      </c>
      <c r="X195" s="7">
        <f>+IFERROR(PRODUCTOS[[#This Row],[PROYECCION COMPRA]]/PRODUCTOS[[#This Row],[PPTO TOTAL]]-1,"")</f>
        <v>0.19928210039608341</v>
      </c>
      <c r="Y195" s="3">
        <f>+IFERROR((PRODUCTOS[[#This Row],[CANT X MODULO]]*704)-PRODUCTOS[[#This Row],[CANT. COMPRADA]],"")</f>
        <v>2340.1999999999998</v>
      </c>
      <c r="Z195" s="17">
        <f>+IFERROR(PRODUCTOS[[#This Row],[CANT. COMPRADA]]/PRODUCTOS[[#This Row],[PPTO FALTANTE]],"")</f>
        <v>0.10554653448423212</v>
      </c>
      <c r="AA195" s="3">
        <f>+IFERROR(PRODUCTOS[[#This Row],[PROYECCION COMPRA]]-(PRODUCTOS[[#This Row],[PPTO FALTANTE]]*PRODUCTOS[[#This Row],[PPTO]]),"")</f>
        <v>846500.20073702652</v>
      </c>
      <c r="AB195" s="3">
        <f>+_xlfn.XLOOKUP(PRODUCTOS[[#This Row],[CODIGO]],DETALLE_GD_1[CODIGO],DETALLE_GD_1[VALOR PPTO],"",0)</f>
        <v>1110.0438999999999</v>
      </c>
      <c r="AC195" s="3">
        <f>+AB195-PRODUCTOS[[#This Row],[PPTO_ACTUALIZADO]]</f>
        <v>1110.0438999999999</v>
      </c>
    </row>
    <row r="196" spans="1:29" x14ac:dyDescent="0.25">
      <c r="A196">
        <v>1808006</v>
      </c>
      <c r="B196" t="s">
        <v>194</v>
      </c>
      <c r="C196">
        <v>0</v>
      </c>
      <c r="D196" t="s">
        <v>244</v>
      </c>
      <c r="E196" t="s">
        <v>406</v>
      </c>
      <c r="F196" s="2">
        <v>2906.671096</v>
      </c>
      <c r="G196" s="6" t="s">
        <v>31</v>
      </c>
      <c r="H196" s="2">
        <v>2906.671096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0.65625</v>
      </c>
      <c r="M196" s="2">
        <f>+IFERROR(PRODUCTOS[[#This Row],[PPTO]]*PRODUCTOS[[#This Row],[CANT X MODULO]],"")</f>
        <v>1907.50290675</v>
      </c>
      <c r="N196" s="2">
        <f>+IFERROR(PRODUCTOS[[#This Row],[PPTO X MODULO]]*32,"")</f>
        <v>61040.093015999999</v>
      </c>
      <c r="O196" s="2">
        <f>+IFERROR(PRODUCTOS[[#This Row],[PPTO X TORRE]]*22,"")</f>
        <v>1342882.046352</v>
      </c>
      <c r="P196" s="3">
        <f>+IFERROR(PRODUCTOS[[#This Row],[CANT X MODULO]]*702,"")</f>
        <v>460.6875</v>
      </c>
      <c r="Q196" s="3">
        <f>+SUMIFS(DETALLE_GD_1[CANTIDAD SOLICITADA],DETALLE_GD_1[CODIGO],PRODUCTOS[[#This Row],[CODIGO]])</f>
        <v>44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44</v>
      </c>
      <c r="T196" s="3">
        <f>+IFERROR(PRODUCTOS[[#This Row],[CANTIDAD RECIBIDA]]/PRODUCTOS[[#This Row],[CANT X MODULO]],"")</f>
        <v>67.047619047619051</v>
      </c>
      <c r="U196" s="3">
        <f>+SUMIFS(DETALLE_GD_1[VALOR TOTAL POR ITEM GD],DETALLE_GD_1[CODIGO],PRODUCTOS[[#This Row],[CODIGO]])</f>
        <v>127894</v>
      </c>
      <c r="V196" s="3">
        <f>+IFERROR(PRODUCTOS[[#This Row],[PRECIO DE COMPRA]]/PRODUCTOS[[#This Row],[CANT. COMPRADA]],"")</f>
        <v>2906.681818181818</v>
      </c>
      <c r="W196" s="3">
        <f>+IFERROR(PRODUCTOS[[#This Row],[PRECIO COMPRA UNITARIO]]*PRODUCTOS[[#This Row],[PPTO FALTANTE]],"")</f>
        <v>1214993</v>
      </c>
      <c r="X196" s="7">
        <f>+IFERROR(PRODUCTOS[[#This Row],[PROYECCION COMPRA]]/PRODUCTOS[[#This Row],[PPTO TOTAL]]-1,"")</f>
        <v>-9.5234757735734421E-2</v>
      </c>
      <c r="Y196" s="3">
        <f>+IFERROR((PRODUCTOS[[#This Row],[CANT X MODULO]]*704)-PRODUCTOS[[#This Row],[CANT. COMPRADA]],"")</f>
        <v>418</v>
      </c>
      <c r="Z196" s="17">
        <f>+IFERROR(PRODUCTOS[[#This Row],[CANT. COMPRADA]]/PRODUCTOS[[#This Row],[PPTO FALTANTE]],"")</f>
        <v>0.10526315789473684</v>
      </c>
      <c r="AA196" s="3">
        <f>+IFERROR(PRODUCTOS[[#This Row],[PROYECCION COMPRA]]-(PRODUCTOS[[#This Row],[PPTO FALTANTE]]*PRODUCTOS[[#This Row],[PPTO]]),"")</f>
        <v>4.4818720000330359</v>
      </c>
      <c r="AB196" s="3">
        <f>+_xlfn.XLOOKUP(PRODUCTOS[[#This Row],[CODIGO]],DETALLE_GD_1[CODIGO],DETALLE_GD_1[VALOR PPTO],"",0)</f>
        <v>2906.6711</v>
      </c>
      <c r="AC196" s="3">
        <f>+AB196-PRODUCTOS[[#This Row],[PPTO_ACTUALIZADO]]</f>
        <v>3.9999999899009708E-6</v>
      </c>
    </row>
    <row r="197" spans="1:29" x14ac:dyDescent="0.25">
      <c r="A197">
        <v>1802176</v>
      </c>
      <c r="B197" t="s">
        <v>196</v>
      </c>
      <c r="C197">
        <v>0</v>
      </c>
      <c r="D197" t="s">
        <v>258</v>
      </c>
      <c r="E197" t="s">
        <v>406</v>
      </c>
      <c r="F197" s="2">
        <v>2199</v>
      </c>
      <c r="G197" s="6" t="s">
        <v>31</v>
      </c>
      <c r="H197" s="2">
        <v>2199</v>
      </c>
      <c r="I197" t="b">
        <v>1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1154.4750000000001</v>
      </c>
      <c r="N197" s="2">
        <f>+IFERROR(PRODUCTOS[[#This Row],[PPTO X MODULO]]*32,"")</f>
        <v>36943.200000000004</v>
      </c>
      <c r="O197" s="2">
        <f>+IFERROR(PRODUCTOS[[#This Row],[PPTO X TORRE]]*22,"")</f>
        <v>812750.40000000014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35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35</v>
      </c>
      <c r="T197" s="3">
        <f>+IFERROR(PRODUCTOS[[#This Row],[CANTIDAD RECIBIDA]]/PRODUCTOS[[#This Row],[CANT X MODULO]],"")</f>
        <v>66.666666666666657</v>
      </c>
      <c r="U197" s="3">
        <f>+SUMIFS(DETALLE_GD_1[VALOR TOTAL POR ITEM GD],DETALLE_GD_1[CODIGO],PRODUCTOS[[#This Row],[CODIGO]])</f>
        <v>76965</v>
      </c>
      <c r="V197" s="3">
        <f>+IFERROR(PRODUCTOS[[#This Row],[PRECIO DE COMPRA]]/PRODUCTOS[[#This Row],[CANT. COMPRADA]],"")</f>
        <v>2199</v>
      </c>
      <c r="W197" s="3">
        <f>+IFERROR(PRODUCTOS[[#This Row],[PRECIO COMPRA UNITARIO]]*PRODUCTOS[[#This Row],[PPTO FALTANTE]],"")</f>
        <v>735785.4</v>
      </c>
      <c r="X197" s="7">
        <f>+IFERROR(PRODUCTOS[[#This Row],[PROYECCION COMPRA]]/PRODUCTOS[[#This Row],[PPTO TOTAL]]-1,"")</f>
        <v>-9.4696969696969835E-2</v>
      </c>
      <c r="Y197" s="3">
        <f>+IFERROR((PRODUCTOS[[#This Row],[CANT X MODULO]]*704)-PRODUCTOS[[#This Row],[CANT. COMPRADA]],"")</f>
        <v>334.6</v>
      </c>
      <c r="Z197" s="17">
        <f>+IFERROR(PRODUCTOS[[#This Row],[CANT. COMPRADA]]/PRODUCTOS[[#This Row],[PPTO FALTANTE]],"")</f>
        <v>0.10460251046025104</v>
      </c>
      <c r="AA197" s="3">
        <f>+IFERROR(PRODUCTOS[[#This Row],[PROYECCION COMPRA]]-(PRODUCTOS[[#This Row],[PPTO FALTANTE]]*PRODUCTOS[[#This Row],[PPTO]]),"")</f>
        <v>0</v>
      </c>
      <c r="AB197" s="3">
        <f>+_xlfn.XLOOKUP(PRODUCTOS[[#This Row],[CODIGO]],DETALLE_GD_1[CODIGO],DETALLE_GD_1[VALOR PPTO],"",0)</f>
        <v>2199</v>
      </c>
      <c r="AC197" s="3">
        <f>+AB197-PRODUCTOS[[#This Row],[PPTO_ACTUALIZADO]]</f>
        <v>0</v>
      </c>
    </row>
    <row r="198" spans="1:29" x14ac:dyDescent="0.25">
      <c r="A198">
        <v>1802173</v>
      </c>
      <c r="B198" t="s">
        <v>267</v>
      </c>
      <c r="C198" t="s">
        <v>642</v>
      </c>
      <c r="D198" t="s">
        <v>258</v>
      </c>
      <c r="E198" t="s">
        <v>406</v>
      </c>
      <c r="F198" s="2">
        <v>11972.2</v>
      </c>
      <c r="G198" s="6" t="s">
        <v>31</v>
      </c>
      <c r="H198" s="2">
        <v>11996</v>
      </c>
      <c r="I198" t="b">
        <v>0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6285.4050000000007</v>
      </c>
      <c r="N198" s="2">
        <f>+IFERROR(PRODUCTOS[[#This Row],[PPTO X MODULO]]*32,"")</f>
        <v>201132.96000000002</v>
      </c>
      <c r="O198" s="2">
        <f>+IFERROR(PRODUCTOS[[#This Row],[PPTO X TORRE]]*22,"")</f>
        <v>4424925.12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35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35</v>
      </c>
      <c r="T198" s="3">
        <f>+IFERROR(PRODUCTOS[[#This Row],[CANTIDAD RECIBIDA]]/PRODUCTOS[[#This Row],[CANT X MODULO]],"")</f>
        <v>66.666666666666657</v>
      </c>
      <c r="U198" s="3">
        <f>+SUMIFS(DETALLE_GD_1[VALOR TOTAL POR ITEM GD],DETALLE_GD_1[CODIGO],PRODUCTOS[[#This Row],[CODIGO]])</f>
        <v>419463</v>
      </c>
      <c r="V198" s="3">
        <f>+IFERROR(PRODUCTOS[[#This Row],[PRECIO DE COMPRA]]/PRODUCTOS[[#This Row],[CANT. COMPRADA]],"")</f>
        <v>11984.657142857142</v>
      </c>
      <c r="W198" s="3">
        <f>+IFERROR(PRODUCTOS[[#This Row],[PRECIO COMPRA UNITARIO]]*PRODUCTOS[[#This Row],[PPTO FALTANTE]],"")</f>
        <v>4010066.2800000003</v>
      </c>
      <c r="X198" s="7">
        <f>+IFERROR(PRODUCTOS[[#This Row],[PROYECCION COMPRA]]/PRODUCTOS[[#This Row],[PPTO TOTAL]]-1,"")</f>
        <v>-9.3754996694723647E-2</v>
      </c>
      <c r="Y198" s="3">
        <f>+IFERROR((PRODUCTOS[[#This Row],[CANT X MODULO]]*704)-PRODUCTOS[[#This Row],[CANT. COMPRADA]],"")</f>
        <v>334.6</v>
      </c>
      <c r="Z198" s="17">
        <f>+IFERROR(PRODUCTOS[[#This Row],[CANT. COMPRADA]]/PRODUCTOS[[#This Row],[PPTO FALTANTE]],"")</f>
        <v>0.10460251046025104</v>
      </c>
      <c r="AA198" s="3">
        <f>+IFERROR(PRODUCTOS[[#This Row],[PROYECCION COMPRA]]-(PRODUCTOS[[#This Row],[PPTO FALTANTE]]*PRODUCTOS[[#This Row],[PPTO]]),"")</f>
        <v>4168.1599999996834</v>
      </c>
      <c r="AB198" s="3">
        <f>+_xlfn.XLOOKUP(PRODUCTOS[[#This Row],[CODIGO]],DETALLE_GD_1[CODIGO],DETALLE_GD_1[VALOR PPTO],"",0)</f>
        <v>11996</v>
      </c>
      <c r="AC198" s="3">
        <f>+AB198-PRODUCTOS[[#This Row],[PPTO_ACTUALIZADO]]</f>
        <v>0</v>
      </c>
    </row>
    <row r="199" spans="1:29" x14ac:dyDescent="0.25">
      <c r="A199">
        <v>1802166</v>
      </c>
      <c r="B199" t="s">
        <v>283</v>
      </c>
      <c r="C199" t="s">
        <v>659</v>
      </c>
      <c r="D199">
        <v>0</v>
      </c>
      <c r="E199">
        <v>0</v>
      </c>
      <c r="F199" s="2">
        <v>13869</v>
      </c>
      <c r="G199" s="6" t="s">
        <v>31</v>
      </c>
      <c r="H199" s="2">
        <v>13869</v>
      </c>
      <c r="I199" t="b">
        <v>1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7281.2250000000004</v>
      </c>
      <c r="N199" s="2">
        <f>+IFERROR(PRODUCTOS[[#This Row],[PPTO X MODULO]]*32,"")</f>
        <v>232999.2</v>
      </c>
      <c r="O199" s="2">
        <f>+IFERROR(PRODUCTOS[[#This Row],[PPTO X TORRE]]*22,"")</f>
        <v>5125982.4000000004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35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35</v>
      </c>
      <c r="T199" s="3">
        <f>+IFERROR(PRODUCTOS[[#This Row],[CANTIDAD RECIBIDA]]/PRODUCTOS[[#This Row],[CANT X MODULO]],"")</f>
        <v>66.666666666666657</v>
      </c>
      <c r="U199" s="3">
        <f>+SUMIFS(DETALLE_GD_1[VALOR TOTAL POR ITEM GD],DETALLE_GD_1[CODIGO],PRODUCTOS[[#This Row],[CODIGO]])</f>
        <v>485415</v>
      </c>
      <c r="V199" s="3">
        <f>+IFERROR(PRODUCTOS[[#This Row],[PRECIO DE COMPRA]]/PRODUCTOS[[#This Row],[CANT. COMPRADA]],"")</f>
        <v>13869</v>
      </c>
      <c r="W199" s="3">
        <f>+IFERROR(PRODUCTOS[[#This Row],[PRECIO COMPRA UNITARIO]]*PRODUCTOS[[#This Row],[PPTO FALTANTE]],"")</f>
        <v>4640567.4000000004</v>
      </c>
      <c r="X199" s="7">
        <f>+IFERROR(PRODUCTOS[[#This Row],[PROYECCION COMPRA]]/PRODUCTOS[[#This Row],[PPTO TOTAL]]-1,"")</f>
        <v>-9.4696969696969724E-2</v>
      </c>
      <c r="Y199" s="3">
        <f>+IFERROR((PRODUCTOS[[#This Row],[CANT X MODULO]]*704)-PRODUCTOS[[#This Row],[CANT. COMPRADA]],"")</f>
        <v>334.6</v>
      </c>
      <c r="Z199" s="17">
        <f>+IFERROR(PRODUCTOS[[#This Row],[CANT. COMPRADA]]/PRODUCTOS[[#This Row],[PPTO FALTANTE]],"")</f>
        <v>0.10460251046025104</v>
      </c>
      <c r="AA199" s="3">
        <f>+IFERROR(PRODUCTOS[[#This Row],[PROYECCION COMPRA]]-(PRODUCTOS[[#This Row],[PPTO FALTANTE]]*PRODUCTOS[[#This Row],[PPTO]]),"")</f>
        <v>0</v>
      </c>
      <c r="AB199" s="3">
        <f>+_xlfn.XLOOKUP(PRODUCTOS[[#This Row],[CODIGO]],DETALLE_GD_1[CODIGO],DETALLE_GD_1[VALOR PPTO],"",0)</f>
        <v>13869</v>
      </c>
      <c r="AC199" s="3">
        <f>+AB199-PRODUCTOS[[#This Row],[PPTO_ACTUALIZADO]]</f>
        <v>0</v>
      </c>
    </row>
    <row r="200" spans="1:29" x14ac:dyDescent="0.25">
      <c r="A200">
        <v>408014</v>
      </c>
      <c r="B200" t="s">
        <v>108</v>
      </c>
      <c r="C200" t="s">
        <v>610</v>
      </c>
      <c r="D200" t="s">
        <v>240</v>
      </c>
      <c r="E200" t="s">
        <v>399</v>
      </c>
      <c r="F200" s="2">
        <v>16182.106761999999</v>
      </c>
      <c r="G200" s="6" t="s">
        <v>36</v>
      </c>
      <c r="H200" s="2">
        <v>16182.106762000009</v>
      </c>
      <c r="I200" t="b">
        <v>1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0.51449999999999996</v>
      </c>
      <c r="M200" s="2">
        <f>+IFERROR(PRODUCTOS[[#This Row],[PPTO]]*PRODUCTOS[[#This Row],[CANT X MODULO]],"")</f>
        <v>8325.6939290489991</v>
      </c>
      <c r="N200" s="2">
        <f>+IFERROR(PRODUCTOS[[#This Row],[PPTO X MODULO]]*32,"")</f>
        <v>266422.20572956797</v>
      </c>
      <c r="O200" s="2">
        <f>+IFERROR(PRODUCTOS[[#This Row],[PPTO X TORRE]]*22,"")</f>
        <v>5861288.526050495</v>
      </c>
      <c r="P200" s="3">
        <f>+IFERROR(PRODUCTOS[[#This Row],[CANT X MODULO]]*702,"")</f>
        <v>361.17899999999997</v>
      </c>
      <c r="Q200" s="3">
        <f>+SUMIFS(DETALLE_GD_1[CANTIDAD SOLICITADA],DETALLE_GD_1[CODIGO],PRODUCTOS[[#This Row],[CODIGO]])</f>
        <v>34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34</v>
      </c>
      <c r="T200" s="3">
        <f>+IFERROR(PRODUCTOS[[#This Row],[CANTIDAD RECIBIDA]]/PRODUCTOS[[#This Row],[CANT X MODULO]],"")</f>
        <v>66.08357628765792</v>
      </c>
      <c r="U200" s="3">
        <f>+SUMIFS(DETALLE_GD_1[VALOR TOTAL POR ITEM GD],DETALLE_GD_1[CODIGO],PRODUCTOS[[#This Row],[CODIGO]])</f>
        <v>548607</v>
      </c>
      <c r="V200" s="3">
        <f>+IFERROR(PRODUCTOS[[#This Row],[PRECIO DE COMPRA]]/PRODUCTOS[[#This Row],[CANT. COMPRADA]],"")</f>
        <v>16135.5</v>
      </c>
      <c r="W200" s="3">
        <f>+IFERROR(PRODUCTOS[[#This Row],[PRECIO COMPRA UNITARIO]]*PRODUCTOS[[#This Row],[PPTO FALTANTE]],"")</f>
        <v>5295800.1839999994</v>
      </c>
      <c r="X200" s="7">
        <f>+IFERROR(PRODUCTOS[[#This Row],[PROYECCION COMPRA]]/PRODUCTOS[[#This Row],[PPTO TOTAL]]-1,"")</f>
        <v>-9.647850289866855E-2</v>
      </c>
      <c r="Y200" s="3">
        <f>+IFERROR((PRODUCTOS[[#This Row],[CANT X MODULO]]*704)-PRODUCTOS[[#This Row],[CANT. COMPRADA]],"")</f>
        <v>328.20799999999997</v>
      </c>
      <c r="Z200" s="17">
        <f>+IFERROR(PRODUCTOS[[#This Row],[CANT. COMPRADA]]/PRODUCTOS[[#This Row],[PPTO FALTANTE]],"")</f>
        <v>0.10359284356261883</v>
      </c>
      <c r="AA200" s="3">
        <f>+IFERROR(PRODUCTOS[[#This Row],[PROYECCION COMPRA]]-(PRODUCTOS[[#This Row],[PPTO FALTANTE]]*PRODUCTOS[[#This Row],[PPTO]]),"")</f>
        <v>-15296.712142495438</v>
      </c>
      <c r="AB200" s="3">
        <f>+_xlfn.XLOOKUP(PRODUCTOS[[#This Row],[CODIGO]],DETALLE_GD_1[CODIGO],DETALLE_GD_1[VALOR PPTO],"",0)</f>
        <v>16182.1068</v>
      </c>
      <c r="AC200" s="3">
        <f>+AB200-PRODUCTOS[[#This Row],[PPTO_ACTUALIZADO]]</f>
        <v>3.7999991036485881E-5</v>
      </c>
    </row>
    <row r="201" spans="1:29" x14ac:dyDescent="0.25">
      <c r="A201">
        <v>307030</v>
      </c>
      <c r="B201" t="s">
        <v>64</v>
      </c>
      <c r="C201" t="s">
        <v>580</v>
      </c>
      <c r="D201" t="s">
        <v>244</v>
      </c>
      <c r="E201" t="s">
        <v>402</v>
      </c>
      <c r="F201" s="2">
        <v>2729.9988560000002</v>
      </c>
      <c r="G201" s="6" t="s">
        <v>31</v>
      </c>
      <c r="H201" s="2">
        <v>2729.9988560000002</v>
      </c>
      <c r="I201" t="b">
        <v>1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7.35</v>
      </c>
      <c r="M201" s="2">
        <f>+IFERROR(PRODUCTOS[[#This Row],[PPTO]]*PRODUCTOS[[#This Row],[CANT X MODULO]],"")</f>
        <v>20065.491591599999</v>
      </c>
      <c r="N201" s="2">
        <f>+IFERROR(PRODUCTOS[[#This Row],[PPTO X MODULO]]*32,"")</f>
        <v>642095.73093119997</v>
      </c>
      <c r="O201" s="2">
        <f>+IFERROR(PRODUCTOS[[#This Row],[PPTO X TORRE]]*22,"")</f>
        <v>14126106.0804864</v>
      </c>
      <c r="P201" s="3">
        <f>+IFERROR(PRODUCTOS[[#This Row],[CANT X MODULO]]*702,"")</f>
        <v>5159.7</v>
      </c>
      <c r="Q201" s="3">
        <f>+SUMIFS(DETALLE_GD_1[CANTIDAD SOLICITADA],DETALLE_GD_1[CODIGO],PRODUCTOS[[#This Row],[CODIGO]])</f>
        <v>480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480</v>
      </c>
      <c r="T201" s="3">
        <f>+IFERROR(PRODUCTOS[[#This Row],[CANTIDAD RECIBIDA]]/PRODUCTOS[[#This Row],[CANT X MODULO]],"")</f>
        <v>65.306122448979593</v>
      </c>
      <c r="U201" s="3">
        <f>+SUMIFS(DETALLE_GD_1[VALOR TOTAL POR ITEM GD],DETALLE_GD_1[CODIGO],PRODUCTOS[[#This Row],[CODIGO]])</f>
        <v>1310400</v>
      </c>
      <c r="V201" s="3">
        <f>+IFERROR(PRODUCTOS[[#This Row],[PRECIO DE COMPRA]]/PRODUCTOS[[#This Row],[CANT. COMPRADA]],"")</f>
        <v>2730</v>
      </c>
      <c r="W201" s="3">
        <f>+IFERROR(PRODUCTOS[[#This Row],[PRECIO COMPRA UNITARIO]]*PRODUCTOS[[#This Row],[PPTO FALTANTE]],"")</f>
        <v>12815711.999999998</v>
      </c>
      <c r="X201" s="7">
        <f>+IFERROR(PRODUCTOS[[#This Row],[PROYECCION COMPRA]]/PRODUCTOS[[#This Row],[PPTO TOTAL]]-1,"")</f>
        <v>-9.2763998303577955E-2</v>
      </c>
      <c r="Y201" s="3">
        <f>+IFERROR((PRODUCTOS[[#This Row],[CANT X MODULO]]*704)-PRODUCTOS[[#This Row],[CANT. COMPRADA]],"")</f>
        <v>4694.3999999999996</v>
      </c>
      <c r="Z201" s="17">
        <f>+IFERROR(PRODUCTOS[[#This Row],[CANT. COMPRADA]]/PRODUCTOS[[#This Row],[PPTO FALTANTE]],"")</f>
        <v>0.10224948875255624</v>
      </c>
      <c r="AA201" s="3">
        <f>+IFERROR(PRODUCTOS[[#This Row],[PROYECCION COMPRA]]-(PRODUCTOS[[#This Row],[PPTO FALTANTE]]*PRODUCTOS[[#This Row],[PPTO]]),"")</f>
        <v>5.3703935984522104</v>
      </c>
      <c r="AB201" s="3">
        <f>+_xlfn.XLOOKUP(PRODUCTOS[[#This Row],[CODIGO]],DETALLE_GD_1[CODIGO],DETALLE_GD_1[VALOR PPTO],"",0)</f>
        <v>2729.9989</v>
      </c>
      <c r="AC201" s="3">
        <f>+AB201-PRODUCTOS[[#This Row],[PPTO_ACTUALIZADO]]</f>
        <v>4.3999999888910679E-5</v>
      </c>
    </row>
    <row r="202" spans="1:29" x14ac:dyDescent="0.25">
      <c r="A202">
        <v>1802174</v>
      </c>
      <c r="B202" t="s">
        <v>268</v>
      </c>
      <c r="C202" t="s">
        <v>643</v>
      </c>
      <c r="D202">
        <v>0</v>
      </c>
      <c r="E202">
        <v>0</v>
      </c>
      <c r="F202" s="2">
        <v>7694.5405410000003</v>
      </c>
      <c r="G202" s="6" t="s">
        <v>31</v>
      </c>
      <c r="H202" s="2">
        <v>7709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4039.6337840250003</v>
      </c>
      <c r="N202" s="2">
        <f>+IFERROR(PRODUCTOS[[#This Row],[PPTO X MODULO]]*32,"")</f>
        <v>129268.28108880001</v>
      </c>
      <c r="O202" s="2">
        <f>+IFERROR(PRODUCTOS[[#This Row],[PPTO X TORRE]]*22,"")</f>
        <v>2843902.1839536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34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34</v>
      </c>
      <c r="T202" s="3">
        <f>+IFERROR(PRODUCTOS[[#This Row],[CANTIDAD RECIBIDA]]/PRODUCTOS[[#This Row],[CANT X MODULO]],"")</f>
        <v>64.761904761904759</v>
      </c>
      <c r="U202" s="3">
        <f>+SUMIFS(DETALLE_GD_1[VALOR TOTAL POR ITEM GD],DETALLE_GD_1[CODIGO],PRODUCTOS[[#This Row],[CODIGO]])</f>
        <v>261858</v>
      </c>
      <c r="V202" s="3">
        <f>+IFERROR(PRODUCTOS[[#This Row],[PRECIO DE COMPRA]]/PRODUCTOS[[#This Row],[CANT. COMPRADA]],"")</f>
        <v>7701.7058823529414</v>
      </c>
      <c r="W202" s="3">
        <f>+IFERROR(PRODUCTOS[[#This Row],[PRECIO COMPRA UNITARIO]]*PRODUCTOS[[#This Row],[PPTO FALTANTE]],"")</f>
        <v>2584692.4941176474</v>
      </c>
      <c r="X202" s="7">
        <f>+IFERROR(PRODUCTOS[[#This Row],[PROYECCION COMPRA]]/PRODUCTOS[[#This Row],[PPTO TOTAL]]-1,"")</f>
        <v>-9.1145782473994408E-2</v>
      </c>
      <c r="Y202" s="3">
        <f>+IFERROR((PRODUCTOS[[#This Row],[CANT X MODULO]]*704)-PRODUCTOS[[#This Row],[CANT. COMPRADA]],"")</f>
        <v>335.6</v>
      </c>
      <c r="Z202" s="17">
        <f>+IFERROR(PRODUCTOS[[#This Row],[CANT. COMPRADA]]/PRODUCTOS[[#This Row],[PPTO FALTANTE]],"")</f>
        <v>0.10131108462455303</v>
      </c>
      <c r="AA202" s="3">
        <f>+IFERROR(PRODUCTOS[[#This Row],[PROYECCION COMPRA]]-(PRODUCTOS[[#This Row],[PPTO FALTANTE]]*PRODUCTOS[[#This Row],[PPTO]]),"")</f>
        <v>2404.6885580471717</v>
      </c>
      <c r="AB202" s="3">
        <f>+_xlfn.XLOOKUP(PRODUCTOS[[#This Row],[CODIGO]],DETALLE_GD_1[CODIGO],DETALLE_GD_1[VALOR PPTO],"",0)</f>
        <v>7709</v>
      </c>
      <c r="AC202" s="3">
        <f>+AB202-PRODUCTOS[[#This Row],[PPTO_ACTUALIZADO]]</f>
        <v>0</v>
      </c>
    </row>
    <row r="203" spans="1:29" x14ac:dyDescent="0.25">
      <c r="A203">
        <v>1802175</v>
      </c>
      <c r="B203" t="s">
        <v>269</v>
      </c>
      <c r="C203" t="s">
        <v>644</v>
      </c>
      <c r="D203" t="s">
        <v>258</v>
      </c>
      <c r="E203" t="s">
        <v>406</v>
      </c>
      <c r="F203" s="2">
        <v>1079</v>
      </c>
      <c r="G203" s="6" t="s">
        <v>31</v>
      </c>
      <c r="H203" s="2">
        <v>1079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0.52500000000000002</v>
      </c>
      <c r="M203" s="2">
        <f>+IFERROR(PRODUCTOS[[#This Row],[PPTO]]*PRODUCTOS[[#This Row],[CANT X MODULO]],"")</f>
        <v>566.47500000000002</v>
      </c>
      <c r="N203" s="2">
        <f>+IFERROR(PRODUCTOS[[#This Row],[PPTO X MODULO]]*32,"")</f>
        <v>18127.2</v>
      </c>
      <c r="O203" s="2">
        <f>+IFERROR(PRODUCTOS[[#This Row],[PPTO X TORRE]]*22,"")</f>
        <v>398798.4</v>
      </c>
      <c r="P203" s="3">
        <f>+IFERROR(PRODUCTOS[[#This Row],[CANT X MODULO]]*702,"")</f>
        <v>368.55</v>
      </c>
      <c r="Q203" s="3">
        <f>+SUMIFS(DETALLE_GD_1[CANTIDAD SOLICITADA],DETALLE_GD_1[CODIGO],PRODUCTOS[[#This Row],[CODIGO]])</f>
        <v>34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34</v>
      </c>
      <c r="T203" s="3">
        <f>+IFERROR(PRODUCTOS[[#This Row],[CANTIDAD RECIBIDA]]/PRODUCTOS[[#This Row],[CANT X MODULO]],"")</f>
        <v>64.761904761904759</v>
      </c>
      <c r="U203" s="3">
        <f>+SUMIFS(DETALLE_GD_1[VALOR TOTAL POR ITEM GD],DETALLE_GD_1[CODIGO],PRODUCTOS[[#This Row],[CODIGO]])</f>
        <v>36686</v>
      </c>
      <c r="V203" s="3">
        <f>+IFERROR(PRODUCTOS[[#This Row],[PRECIO DE COMPRA]]/PRODUCTOS[[#This Row],[CANT. COMPRADA]],"")</f>
        <v>1079</v>
      </c>
      <c r="W203" s="3">
        <f>+IFERROR(PRODUCTOS[[#This Row],[PRECIO COMPRA UNITARIO]]*PRODUCTOS[[#This Row],[PPTO FALTANTE]],"")</f>
        <v>362112.4</v>
      </c>
      <c r="X203" s="7">
        <f>+IFERROR(PRODUCTOS[[#This Row],[PROYECCION COMPRA]]/PRODUCTOS[[#This Row],[PPTO TOTAL]]-1,"")</f>
        <v>-9.1991341991341957E-2</v>
      </c>
      <c r="Y203" s="3">
        <f>+IFERROR((PRODUCTOS[[#This Row],[CANT X MODULO]]*704)-PRODUCTOS[[#This Row],[CANT. COMPRADA]],"")</f>
        <v>335.6</v>
      </c>
      <c r="Z203" s="17">
        <f>+IFERROR(PRODUCTOS[[#This Row],[CANT. COMPRADA]]/PRODUCTOS[[#This Row],[PPTO FALTANTE]],"")</f>
        <v>0.10131108462455303</v>
      </c>
      <c r="AA203" s="3">
        <f>+IFERROR(PRODUCTOS[[#This Row],[PROYECCION COMPRA]]-(PRODUCTOS[[#This Row],[PPTO FALTANTE]]*PRODUCTOS[[#This Row],[PPTO]]),"")</f>
        <v>0</v>
      </c>
      <c r="AB203" s="3">
        <f>+_xlfn.XLOOKUP(PRODUCTOS[[#This Row],[CODIGO]],DETALLE_GD_1[CODIGO],DETALLE_GD_1[VALOR PPTO],"",0)</f>
        <v>1079</v>
      </c>
      <c r="AC203" s="3">
        <f>+AB203-PRODUCTOS[[#This Row],[PPTO_ACTUALIZADO]]</f>
        <v>0</v>
      </c>
    </row>
    <row r="204" spans="1:29" x14ac:dyDescent="0.25">
      <c r="A204">
        <v>1802165</v>
      </c>
      <c r="B204" t="s">
        <v>261</v>
      </c>
      <c r="C204" t="s">
        <v>645</v>
      </c>
      <c r="D204" t="s">
        <v>244</v>
      </c>
      <c r="E204" t="s">
        <v>406</v>
      </c>
      <c r="F204" s="2">
        <v>9122</v>
      </c>
      <c r="G204" s="6" t="s">
        <v>31</v>
      </c>
      <c r="H204" s="2">
        <v>9122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4789.05</v>
      </c>
      <c r="N204" s="2">
        <f>+IFERROR(PRODUCTOS[[#This Row],[PPTO X MODULO]]*32,"")</f>
        <v>153249.60000000001</v>
      </c>
      <c r="O204" s="2">
        <f>+IFERROR(PRODUCTOS[[#This Row],[PPTO X TORRE]]*22,"")</f>
        <v>3371491.2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34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34</v>
      </c>
      <c r="T204" s="3">
        <f>+IFERROR(PRODUCTOS[[#This Row],[CANTIDAD RECIBIDA]]/PRODUCTOS[[#This Row],[CANT X MODULO]],"")</f>
        <v>64.761904761904759</v>
      </c>
      <c r="U204" s="3">
        <f>+SUMIFS(DETALLE_GD_1[VALOR TOTAL POR ITEM GD],DETALLE_GD_1[CODIGO],PRODUCTOS[[#This Row],[CODIGO]])</f>
        <v>310148</v>
      </c>
      <c r="V204" s="3">
        <f>+IFERROR(PRODUCTOS[[#This Row],[PRECIO DE COMPRA]]/PRODUCTOS[[#This Row],[CANT. COMPRADA]],"")</f>
        <v>9122</v>
      </c>
      <c r="W204" s="3">
        <f>+IFERROR(PRODUCTOS[[#This Row],[PRECIO COMPRA UNITARIO]]*PRODUCTOS[[#This Row],[PPTO FALTANTE]],"")</f>
        <v>3061343.2</v>
      </c>
      <c r="X204" s="7">
        <f>+IFERROR(PRODUCTOS[[#This Row],[PROYECCION COMPRA]]/PRODUCTOS[[#This Row],[PPTO TOTAL]]-1,"")</f>
        <v>-9.1991341991341957E-2</v>
      </c>
      <c r="Y204" s="3">
        <f>+IFERROR((PRODUCTOS[[#This Row],[CANT X MODULO]]*704)-PRODUCTOS[[#This Row],[CANT. COMPRADA]],"")</f>
        <v>335.6</v>
      </c>
      <c r="Z204" s="17">
        <f>+IFERROR(PRODUCTOS[[#This Row],[CANT. COMPRADA]]/PRODUCTOS[[#This Row],[PPTO FALTANTE]],"")</f>
        <v>0.10131108462455303</v>
      </c>
      <c r="AA204" s="3">
        <f>+IFERROR(PRODUCTOS[[#This Row],[PROYECCION COMPRA]]-(PRODUCTOS[[#This Row],[PPTO FALTANTE]]*PRODUCTOS[[#This Row],[PPTO]]),"")</f>
        <v>0</v>
      </c>
      <c r="AB204" s="3">
        <f>+_xlfn.XLOOKUP(PRODUCTOS[[#This Row],[CODIGO]],DETALLE_GD_1[CODIGO],DETALLE_GD_1[VALOR PPTO],"",0)</f>
        <v>9122</v>
      </c>
      <c r="AC204" s="3">
        <f>+AB204-PRODUCTOS[[#This Row],[PPTO_ACTUALIZADO]]</f>
        <v>0</v>
      </c>
    </row>
    <row r="205" spans="1:29" x14ac:dyDescent="0.25">
      <c r="A205">
        <v>1808144</v>
      </c>
      <c r="B205" t="s">
        <v>272</v>
      </c>
      <c r="C205" t="s">
        <v>647</v>
      </c>
      <c r="D205" t="s">
        <v>258</v>
      </c>
      <c r="E205" t="s">
        <v>406</v>
      </c>
      <c r="F205" s="2">
        <v>23397.569619999998</v>
      </c>
      <c r="G205" s="6" t="s">
        <v>31</v>
      </c>
      <c r="H205" s="2">
        <v>23228</v>
      </c>
      <c r="I205" t="b">
        <v>0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12283.724050499999</v>
      </c>
      <c r="N205" s="2">
        <f>+IFERROR(PRODUCTOS[[#This Row],[PPTO X MODULO]]*32,"")</f>
        <v>393079.16961599997</v>
      </c>
      <c r="O205" s="2">
        <f>+IFERROR(PRODUCTOS[[#This Row],[PPTO X TORRE]]*22,"")</f>
        <v>8647741.7315519992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34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34</v>
      </c>
      <c r="T205" s="3">
        <f>+IFERROR(PRODUCTOS[[#This Row],[CANTIDAD RECIBIDA]]/PRODUCTOS[[#This Row],[CANT X MODULO]],"")</f>
        <v>64.761904761904759</v>
      </c>
      <c r="U205" s="3">
        <f>+SUMIFS(DETALLE_GD_1[VALOR TOTAL POR ITEM GD],DETALLE_GD_1[CODIGO],PRODUCTOS[[#This Row],[CODIGO]])</f>
        <v>792769</v>
      </c>
      <c r="V205" s="3">
        <f>+IFERROR(PRODUCTOS[[#This Row],[PRECIO DE COMPRA]]/PRODUCTOS[[#This Row],[CANT. COMPRADA]],"")</f>
        <v>23316.735294117647</v>
      </c>
      <c r="W205" s="3">
        <f>+IFERROR(PRODUCTOS[[#This Row],[PRECIO COMPRA UNITARIO]]*PRODUCTOS[[#This Row],[PPTO FALTANTE]],"")</f>
        <v>7825096.364705883</v>
      </c>
      <c r="X205" s="7">
        <f>+IFERROR(PRODUCTOS[[#This Row],[PROYECCION COMPRA]]/PRODUCTOS[[#This Row],[PPTO TOTAL]]-1,"")</f>
        <v>-9.5128345917712465E-2</v>
      </c>
      <c r="Y205" s="3">
        <f>+IFERROR((PRODUCTOS[[#This Row],[CANT X MODULO]]*704)-PRODUCTOS[[#This Row],[CANT. COMPRADA]],"")</f>
        <v>335.6</v>
      </c>
      <c r="Z205" s="17">
        <f>+IFERROR(PRODUCTOS[[#This Row],[CANT. COMPRADA]]/PRODUCTOS[[#This Row],[PPTO FALTANTE]],"")</f>
        <v>0.10131108462455303</v>
      </c>
      <c r="AA205" s="3">
        <f>+IFERROR(PRODUCTOS[[#This Row],[PROYECCION COMPRA]]-(PRODUCTOS[[#This Row],[PPTO FALTANTE]]*PRODUCTOS[[#This Row],[PPTO]]),"")</f>
        <v>-27127.999766116962</v>
      </c>
      <c r="AB205" s="3">
        <f>+_xlfn.XLOOKUP(PRODUCTOS[[#This Row],[CODIGO]],DETALLE_GD_1[CODIGO],DETALLE_GD_1[VALOR PPTO],"",0)</f>
        <v>23228</v>
      </c>
      <c r="AC205" s="3">
        <f>+AB205-PRODUCTOS[[#This Row],[PPTO_ACTUALIZADO]]</f>
        <v>0</v>
      </c>
    </row>
    <row r="206" spans="1:29" x14ac:dyDescent="0.25">
      <c r="A206">
        <v>1808145</v>
      </c>
      <c r="B206" t="s">
        <v>273</v>
      </c>
      <c r="C206" t="s">
        <v>648</v>
      </c>
      <c r="D206" t="s">
        <v>258</v>
      </c>
      <c r="E206" t="s">
        <v>406</v>
      </c>
      <c r="F206" s="2">
        <v>16189.712963</v>
      </c>
      <c r="G206" s="6" t="s">
        <v>31</v>
      </c>
      <c r="H206" s="2">
        <v>17145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0.52500000000000002</v>
      </c>
      <c r="M206" s="2">
        <f>+IFERROR(PRODUCTOS[[#This Row],[PPTO]]*PRODUCTOS[[#This Row],[CANT X MODULO]],"")</f>
        <v>8499.5993055750005</v>
      </c>
      <c r="N206" s="2">
        <f>+IFERROR(PRODUCTOS[[#This Row],[PPTO X MODULO]]*32,"")</f>
        <v>271987.17777840002</v>
      </c>
      <c r="O206" s="2">
        <f>+IFERROR(PRODUCTOS[[#This Row],[PPTO X TORRE]]*22,"")</f>
        <v>5983717.9111248003</v>
      </c>
      <c r="P206" s="3">
        <f>+IFERROR(PRODUCTOS[[#This Row],[CANT X MODULO]]*702,"")</f>
        <v>368.55</v>
      </c>
      <c r="Q206" s="3">
        <f>+SUMIFS(DETALLE_GD_1[CANTIDAD SOLICITADA],DETALLE_GD_1[CODIGO],PRODUCTOS[[#This Row],[CODIGO]])</f>
        <v>34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34</v>
      </c>
      <c r="T206" s="3">
        <f>+IFERROR(PRODUCTOS[[#This Row],[CANTIDAD RECIBIDA]]/PRODUCTOS[[#This Row],[CANT X MODULO]],"")</f>
        <v>64.761904761904759</v>
      </c>
      <c r="U206" s="3">
        <f>+SUMIFS(DETALLE_GD_1[VALOR TOTAL POR ITEM GD],DETALLE_GD_1[CODIGO],PRODUCTOS[[#This Row],[CODIGO]])</f>
        <v>551614</v>
      </c>
      <c r="V206" s="3">
        <f>+IFERROR(PRODUCTOS[[#This Row],[PRECIO DE COMPRA]]/PRODUCTOS[[#This Row],[CANT. COMPRADA]],"")</f>
        <v>16223.941176470587</v>
      </c>
      <c r="W206" s="3">
        <f>+IFERROR(PRODUCTOS[[#This Row],[PRECIO COMPRA UNITARIO]]*PRODUCTOS[[#This Row],[PPTO FALTANTE]],"")</f>
        <v>5444754.6588235293</v>
      </c>
      <c r="X206" s="7">
        <f>+IFERROR(PRODUCTOS[[#This Row],[PROYECCION COMPRA]]/PRODUCTOS[[#This Row],[PPTO TOTAL]]-1,"")</f>
        <v>-9.0071634443067983E-2</v>
      </c>
      <c r="Y206" s="3">
        <f>+IFERROR((PRODUCTOS[[#This Row],[CANT X MODULO]]*704)-PRODUCTOS[[#This Row],[CANT. COMPRADA]],"")</f>
        <v>335.6</v>
      </c>
      <c r="Z206" s="17">
        <f>+IFERROR(PRODUCTOS[[#This Row],[CANT. COMPRADA]]/PRODUCTOS[[#This Row],[PPTO FALTANTE]],"")</f>
        <v>0.10131108462455303</v>
      </c>
      <c r="AA206" s="3">
        <f>+IFERROR(PRODUCTOS[[#This Row],[PROYECCION COMPRA]]-(PRODUCTOS[[#This Row],[PPTO FALTANTE]]*PRODUCTOS[[#This Row],[PPTO]]),"")</f>
        <v>11486.988440728746</v>
      </c>
      <c r="AB206" s="3">
        <f>+_xlfn.XLOOKUP(PRODUCTOS[[#This Row],[CODIGO]],DETALLE_GD_1[CODIGO],DETALLE_GD_1[VALOR PPTO],"",0)</f>
        <v>17145</v>
      </c>
      <c r="AC206" s="3">
        <f>+AB206-PRODUCTOS[[#This Row],[PPTO_ACTUALIZADO]]</f>
        <v>0</v>
      </c>
    </row>
    <row r="207" spans="1:29" x14ac:dyDescent="0.25">
      <c r="A207">
        <v>1808147</v>
      </c>
      <c r="B207" t="s">
        <v>275</v>
      </c>
      <c r="C207" t="s">
        <v>649</v>
      </c>
      <c r="D207" t="s">
        <v>258</v>
      </c>
      <c r="E207" t="s">
        <v>406</v>
      </c>
      <c r="F207" s="2">
        <v>2215.224044</v>
      </c>
      <c r="G207" s="6" t="s">
        <v>31</v>
      </c>
      <c r="H207" s="2">
        <v>2293</v>
      </c>
      <c r="I207" t="b">
        <v>0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0.52500000000000002</v>
      </c>
      <c r="M207" s="2">
        <f>+IFERROR(PRODUCTOS[[#This Row],[PPTO]]*PRODUCTOS[[#This Row],[CANT X MODULO]],"")</f>
        <v>1162.9926231000002</v>
      </c>
      <c r="N207" s="2">
        <f>+IFERROR(PRODUCTOS[[#This Row],[PPTO X MODULO]]*32,"")</f>
        <v>37215.763939200006</v>
      </c>
      <c r="O207" s="2">
        <f>+IFERROR(PRODUCTOS[[#This Row],[PPTO X TORRE]]*22,"")</f>
        <v>818746.80666240014</v>
      </c>
      <c r="P207" s="3">
        <f>+IFERROR(PRODUCTOS[[#This Row],[CANT X MODULO]]*702,"")</f>
        <v>368.55</v>
      </c>
      <c r="Q207" s="3">
        <f>+SUMIFS(DETALLE_GD_1[CANTIDAD SOLICITADA],DETALLE_GD_1[CODIGO],PRODUCTOS[[#This Row],[CODIGO]])</f>
        <v>34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34</v>
      </c>
      <c r="T207" s="3">
        <f>+IFERROR(PRODUCTOS[[#This Row],[CANTIDAD RECIBIDA]]/PRODUCTOS[[#This Row],[CANT X MODULO]],"")</f>
        <v>64.761904761904759</v>
      </c>
      <c r="U207" s="3">
        <f>+SUMIFS(DETALLE_GD_1[VALOR TOTAL POR ITEM GD],DETALLE_GD_1[CODIGO],PRODUCTOS[[#This Row],[CODIGO]])</f>
        <v>75397</v>
      </c>
      <c r="V207" s="3">
        <f>+IFERROR(PRODUCTOS[[#This Row],[PRECIO DE COMPRA]]/PRODUCTOS[[#This Row],[CANT. COMPRADA]],"")</f>
        <v>2217.5588235294117</v>
      </c>
      <c r="W207" s="3">
        <f>+IFERROR(PRODUCTOS[[#This Row],[PRECIO COMPRA UNITARIO]]*PRODUCTOS[[#This Row],[PPTO FALTANTE]],"")</f>
        <v>744212.74117647065</v>
      </c>
      <c r="X207" s="7">
        <f>+IFERROR(PRODUCTOS[[#This Row],[PROYECCION COMPRA]]/PRODUCTOS[[#This Row],[PPTO TOTAL]]-1,"")</f>
        <v>-9.1034328170103818E-2</v>
      </c>
      <c r="Y207" s="3">
        <f>+IFERROR((PRODUCTOS[[#This Row],[CANT X MODULO]]*704)-PRODUCTOS[[#This Row],[CANT. COMPRADA]],"")</f>
        <v>335.6</v>
      </c>
      <c r="Z207" s="17">
        <f>+IFERROR(PRODUCTOS[[#This Row],[CANT. COMPRADA]]/PRODUCTOS[[#This Row],[PPTO FALTANTE]],"")</f>
        <v>0.10131108462455303</v>
      </c>
      <c r="AA207" s="3">
        <f>+IFERROR(PRODUCTOS[[#This Row],[PROYECCION COMPRA]]-(PRODUCTOS[[#This Row],[PPTO FALTANTE]]*PRODUCTOS[[#This Row],[PPTO]]),"")</f>
        <v>783.55201007053256</v>
      </c>
      <c r="AB207" s="3">
        <f>+_xlfn.XLOOKUP(PRODUCTOS[[#This Row],[CODIGO]],DETALLE_GD_1[CODIGO],DETALLE_GD_1[VALOR PPTO],"",0)</f>
        <v>2293</v>
      </c>
      <c r="AC207" s="3">
        <f>+AB207-PRODUCTOS[[#This Row],[PPTO_ACTUALIZADO]]</f>
        <v>0</v>
      </c>
    </row>
    <row r="208" spans="1:29" x14ac:dyDescent="0.25">
      <c r="A208">
        <v>1802167</v>
      </c>
      <c r="B208" t="s">
        <v>262</v>
      </c>
      <c r="C208" t="s">
        <v>652</v>
      </c>
      <c r="D208" t="s">
        <v>244</v>
      </c>
      <c r="E208" t="s">
        <v>406</v>
      </c>
      <c r="F208" s="2">
        <v>14972</v>
      </c>
      <c r="G208" s="6" t="s">
        <v>31</v>
      </c>
      <c r="H208" s="2">
        <v>14972</v>
      </c>
      <c r="I208" t="b">
        <v>1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0.52500000000000002</v>
      </c>
      <c r="M208" s="2">
        <f>+IFERROR(PRODUCTOS[[#This Row],[PPTO]]*PRODUCTOS[[#This Row],[CANT X MODULO]],"")</f>
        <v>7860.3</v>
      </c>
      <c r="N208" s="2">
        <f>+IFERROR(PRODUCTOS[[#This Row],[PPTO X MODULO]]*32,"")</f>
        <v>251529.60000000001</v>
      </c>
      <c r="O208" s="2">
        <f>+IFERROR(PRODUCTOS[[#This Row],[PPTO X TORRE]]*22,"")</f>
        <v>5533651.2000000002</v>
      </c>
      <c r="P208" s="3">
        <f>+IFERROR(PRODUCTOS[[#This Row],[CANT X MODULO]]*702,"")</f>
        <v>368.55</v>
      </c>
      <c r="Q208" s="3">
        <f>+SUMIFS(DETALLE_GD_1[CANTIDAD SOLICITADA],DETALLE_GD_1[CODIGO],PRODUCTOS[[#This Row],[CODIGO]])</f>
        <v>34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34</v>
      </c>
      <c r="T208" s="3">
        <f>+IFERROR(PRODUCTOS[[#This Row],[CANTIDAD RECIBIDA]]/PRODUCTOS[[#This Row],[CANT X MODULO]],"")</f>
        <v>64.761904761904759</v>
      </c>
      <c r="U208" s="3">
        <f>+SUMIFS(DETALLE_GD_1[VALOR TOTAL POR ITEM GD],DETALLE_GD_1[CODIGO],PRODUCTOS[[#This Row],[CODIGO]])</f>
        <v>509048</v>
      </c>
      <c r="V208" s="3">
        <f>+IFERROR(PRODUCTOS[[#This Row],[PRECIO DE COMPRA]]/PRODUCTOS[[#This Row],[CANT. COMPRADA]],"")</f>
        <v>14972</v>
      </c>
      <c r="W208" s="3">
        <f>+IFERROR(PRODUCTOS[[#This Row],[PRECIO COMPRA UNITARIO]]*PRODUCTOS[[#This Row],[PPTO FALTANTE]],"")</f>
        <v>5024603.2</v>
      </c>
      <c r="X208" s="7">
        <f>+IFERROR(PRODUCTOS[[#This Row],[PROYECCION COMPRA]]/PRODUCTOS[[#This Row],[PPTO TOTAL]]-1,"")</f>
        <v>-9.1991341991341957E-2</v>
      </c>
      <c r="Y208" s="3">
        <f>+IFERROR((PRODUCTOS[[#This Row],[CANT X MODULO]]*704)-PRODUCTOS[[#This Row],[CANT. COMPRADA]],"")</f>
        <v>335.6</v>
      </c>
      <c r="Z208" s="17">
        <f>+IFERROR(PRODUCTOS[[#This Row],[CANT. COMPRADA]]/PRODUCTOS[[#This Row],[PPTO FALTANTE]],"")</f>
        <v>0.10131108462455303</v>
      </c>
      <c r="AA208" s="3">
        <f>+IFERROR(PRODUCTOS[[#This Row],[PROYECCION COMPRA]]-(PRODUCTOS[[#This Row],[PPTO FALTANTE]]*PRODUCTOS[[#This Row],[PPTO]]),"")</f>
        <v>0</v>
      </c>
      <c r="AB208" s="3">
        <f>+_xlfn.XLOOKUP(PRODUCTOS[[#This Row],[CODIGO]],DETALLE_GD_1[CODIGO],DETALLE_GD_1[VALOR PPTO],"",0)</f>
        <v>14972</v>
      </c>
      <c r="AC208" s="3">
        <f>+AB208-PRODUCTOS[[#This Row],[PPTO_ACTUALIZADO]]</f>
        <v>0</v>
      </c>
    </row>
    <row r="209" spans="1:29" x14ac:dyDescent="0.25">
      <c r="A209">
        <v>1808146</v>
      </c>
      <c r="B209" t="s">
        <v>274</v>
      </c>
      <c r="C209" t="s">
        <v>654</v>
      </c>
      <c r="D209" t="s">
        <v>258</v>
      </c>
      <c r="E209" t="s">
        <v>406</v>
      </c>
      <c r="F209" s="2">
        <v>3318.025157</v>
      </c>
      <c r="G209" s="6" t="s">
        <v>31</v>
      </c>
      <c r="H209" s="2">
        <v>3404</v>
      </c>
      <c r="I209" t="b">
        <v>0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0.52500000000000002</v>
      </c>
      <c r="M209" s="2">
        <f>+IFERROR(PRODUCTOS[[#This Row],[PPTO]]*PRODUCTOS[[#This Row],[CANT X MODULO]],"")</f>
        <v>1741.9632074250001</v>
      </c>
      <c r="N209" s="2">
        <f>+IFERROR(PRODUCTOS[[#This Row],[PPTO X MODULO]]*32,"")</f>
        <v>55742.822637600002</v>
      </c>
      <c r="O209" s="2">
        <f>+IFERROR(PRODUCTOS[[#This Row],[PPTO X TORRE]]*22,"")</f>
        <v>1226342.0980272</v>
      </c>
      <c r="P209" s="3">
        <f>+IFERROR(PRODUCTOS[[#This Row],[CANT X MODULO]]*702,"")</f>
        <v>368.55</v>
      </c>
      <c r="Q209" s="3">
        <f>+SUMIFS(DETALLE_GD_1[CANTIDAD SOLICITADA],DETALLE_GD_1[CODIGO],PRODUCTOS[[#This Row],[CODIGO]])</f>
        <v>34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34</v>
      </c>
      <c r="T209" s="3">
        <f>+IFERROR(PRODUCTOS[[#This Row],[CANTIDAD RECIBIDA]]/PRODUCTOS[[#This Row],[CANT X MODULO]],"")</f>
        <v>64.761904761904759</v>
      </c>
      <c r="U209" s="3">
        <f>+SUMIFS(DETALLE_GD_1[VALOR TOTAL POR ITEM GD],DETALLE_GD_1[CODIGO],PRODUCTOS[[#This Row],[CODIGO]])</f>
        <v>112890</v>
      </c>
      <c r="V209" s="3">
        <f>+IFERROR(PRODUCTOS[[#This Row],[PRECIO DE COMPRA]]/PRODUCTOS[[#This Row],[CANT. COMPRADA]],"")</f>
        <v>3320.294117647059</v>
      </c>
      <c r="W209" s="3">
        <f>+IFERROR(PRODUCTOS[[#This Row],[PRECIO COMPRA UNITARIO]]*PRODUCTOS[[#This Row],[PPTO FALTANTE]],"")</f>
        <v>1114290.705882353</v>
      </c>
      <c r="X209" s="7">
        <f>+IFERROR(PRODUCTOS[[#This Row],[PROYECCION COMPRA]]/PRODUCTOS[[#This Row],[PPTO TOTAL]]-1,"")</f>
        <v>-9.1370419661122693E-2</v>
      </c>
      <c r="Y209" s="3">
        <f>+IFERROR((PRODUCTOS[[#This Row],[CANT X MODULO]]*704)-PRODUCTOS[[#This Row],[CANT. COMPRADA]],"")</f>
        <v>335.6</v>
      </c>
      <c r="Z209" s="17">
        <f>+IFERROR(PRODUCTOS[[#This Row],[CANT. COMPRADA]]/PRODUCTOS[[#This Row],[PPTO FALTANTE]],"")</f>
        <v>0.10131108462455303</v>
      </c>
      <c r="AA209" s="3">
        <f>+IFERROR(PRODUCTOS[[#This Row],[PROYECCION COMPRA]]-(PRODUCTOS[[#This Row],[PPTO FALTANTE]]*PRODUCTOS[[#This Row],[PPTO]]),"")</f>
        <v>761.46319315303117</v>
      </c>
      <c r="AB209" s="3">
        <f>+_xlfn.XLOOKUP(PRODUCTOS[[#This Row],[CODIGO]],DETALLE_GD_1[CODIGO],DETALLE_GD_1[VALOR PPTO],"",0)</f>
        <v>3404</v>
      </c>
      <c r="AC209" s="3">
        <f>+AB209-PRODUCTOS[[#This Row],[PPTO_ACTUALIZADO]]</f>
        <v>0</v>
      </c>
    </row>
    <row r="210" spans="1:29" x14ac:dyDescent="0.25">
      <c r="A210">
        <v>1802169</v>
      </c>
      <c r="B210" t="s">
        <v>263</v>
      </c>
      <c r="C210" t="s">
        <v>657</v>
      </c>
      <c r="D210" t="s">
        <v>258</v>
      </c>
      <c r="E210" t="s">
        <v>405</v>
      </c>
      <c r="F210" s="2">
        <v>10719.324323999999</v>
      </c>
      <c r="G210" s="6" t="s">
        <v>31</v>
      </c>
      <c r="H210" s="2">
        <v>10741</v>
      </c>
      <c r="I210" t="b">
        <v>0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0.52500000000000002</v>
      </c>
      <c r="M210" s="2">
        <f>+IFERROR(PRODUCTOS[[#This Row],[PPTO]]*PRODUCTOS[[#This Row],[CANT X MODULO]],"")</f>
        <v>5627.6452700999998</v>
      </c>
      <c r="N210" s="2">
        <f>+IFERROR(PRODUCTOS[[#This Row],[PPTO X MODULO]]*32,"")</f>
        <v>180084.64864319999</v>
      </c>
      <c r="O210" s="2">
        <f>+IFERROR(PRODUCTOS[[#This Row],[PPTO X TORRE]]*22,"")</f>
        <v>3961862.2701503998</v>
      </c>
      <c r="P210" s="3">
        <f>+IFERROR(PRODUCTOS[[#This Row],[CANT X MODULO]]*702,"")</f>
        <v>368.55</v>
      </c>
      <c r="Q210" s="3">
        <f>+SUMIFS(DETALLE_GD_1[CANTIDAD SOLICITADA],DETALLE_GD_1[CODIGO],PRODUCTOS[[#This Row],[CODIGO]])</f>
        <v>34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34</v>
      </c>
      <c r="T210" s="3">
        <f>+IFERROR(PRODUCTOS[[#This Row],[CANTIDAD RECIBIDA]]/PRODUCTOS[[#This Row],[CANT X MODULO]],"")</f>
        <v>64.761904761904759</v>
      </c>
      <c r="U210" s="3">
        <f>+SUMIFS(DETALLE_GD_1[VALOR TOTAL POR ITEM GD],DETALLE_GD_1[CODIGO],PRODUCTOS[[#This Row],[CODIGO]])</f>
        <v>364820</v>
      </c>
      <c r="V210" s="3">
        <f>+IFERROR(PRODUCTOS[[#This Row],[PRECIO DE COMPRA]]/PRODUCTOS[[#This Row],[CANT. COMPRADA]],"")</f>
        <v>10730</v>
      </c>
      <c r="W210" s="3">
        <f>+IFERROR(PRODUCTOS[[#This Row],[PRECIO COMPRA UNITARIO]]*PRODUCTOS[[#This Row],[PPTO FALTANTE]],"")</f>
        <v>3600988.0000000005</v>
      </c>
      <c r="X210" s="7">
        <f>+IFERROR(PRODUCTOS[[#This Row],[PROYECCION COMPRA]]/PRODUCTOS[[#This Row],[PPTO TOTAL]]-1,"")</f>
        <v>-9.1087030679817049E-2</v>
      </c>
      <c r="Y210" s="3">
        <f>+IFERROR((PRODUCTOS[[#This Row],[CANT X MODULO]]*704)-PRODUCTOS[[#This Row],[CANT. COMPRADA]],"")</f>
        <v>335.6</v>
      </c>
      <c r="Z210" s="17">
        <f>+IFERROR(PRODUCTOS[[#This Row],[CANT. COMPRADA]]/PRODUCTOS[[#This Row],[PPTO FALTANTE]],"")</f>
        <v>0.10131108462455303</v>
      </c>
      <c r="AA210" s="3">
        <f>+IFERROR(PRODUCTOS[[#This Row],[PROYECCION COMPRA]]-(PRODUCTOS[[#This Row],[PPTO FALTANTE]]*PRODUCTOS[[#This Row],[PPTO]]),"")</f>
        <v>3582.7568656005897</v>
      </c>
      <c r="AB210" s="3">
        <f>+_xlfn.XLOOKUP(PRODUCTOS[[#This Row],[CODIGO]],DETALLE_GD_1[CODIGO],DETALLE_GD_1[VALOR PPTO],"",0)</f>
        <v>10741</v>
      </c>
      <c r="AC210" s="3">
        <f>+AB210-PRODUCTOS[[#This Row],[PPTO_ACTUALIZADO]]</f>
        <v>0</v>
      </c>
    </row>
    <row r="211" spans="1:29" x14ac:dyDescent="0.25">
      <c r="A211">
        <v>1802170</v>
      </c>
      <c r="B211" t="s">
        <v>264</v>
      </c>
      <c r="C211">
        <v>0</v>
      </c>
      <c r="D211" t="s">
        <v>258</v>
      </c>
      <c r="E211" t="s">
        <v>405</v>
      </c>
      <c r="F211" s="2">
        <v>2043</v>
      </c>
      <c r="G211" s="6" t="s">
        <v>31</v>
      </c>
      <c r="H211" s="2">
        <v>2043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0.52500000000000002</v>
      </c>
      <c r="M211" s="2">
        <f>+IFERROR(PRODUCTOS[[#This Row],[PPTO]]*PRODUCTOS[[#This Row],[CANT X MODULO]],"")</f>
        <v>1072.575</v>
      </c>
      <c r="N211" s="2">
        <f>+IFERROR(PRODUCTOS[[#This Row],[PPTO X MODULO]]*32,"")</f>
        <v>34322.400000000001</v>
      </c>
      <c r="O211" s="2">
        <f>+IFERROR(PRODUCTOS[[#This Row],[PPTO X TORRE]]*22,"")</f>
        <v>755092.8</v>
      </c>
      <c r="P211" s="3">
        <f>+IFERROR(PRODUCTOS[[#This Row],[CANT X MODULO]]*702,"")</f>
        <v>368.55</v>
      </c>
      <c r="Q211" s="3">
        <f>+SUMIFS(DETALLE_GD_1[CANTIDAD SOLICITADA],DETALLE_GD_1[CODIGO],PRODUCTOS[[#This Row],[CODIGO]])</f>
        <v>34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34</v>
      </c>
      <c r="T211" s="3">
        <f>+IFERROR(PRODUCTOS[[#This Row],[CANTIDAD RECIBIDA]]/PRODUCTOS[[#This Row],[CANT X MODULO]],"")</f>
        <v>64.761904761904759</v>
      </c>
      <c r="U211" s="3">
        <f>+SUMIFS(DETALLE_GD_1[VALOR TOTAL POR ITEM GD],DETALLE_GD_1[CODIGO],PRODUCTOS[[#This Row],[CODIGO]])</f>
        <v>69462</v>
      </c>
      <c r="V211" s="3">
        <f>+IFERROR(PRODUCTOS[[#This Row],[PRECIO DE COMPRA]]/PRODUCTOS[[#This Row],[CANT. COMPRADA]],"")</f>
        <v>2043</v>
      </c>
      <c r="W211" s="3">
        <f>+IFERROR(PRODUCTOS[[#This Row],[PRECIO COMPRA UNITARIO]]*PRODUCTOS[[#This Row],[PPTO FALTANTE]],"")</f>
        <v>685630.8</v>
      </c>
      <c r="X211" s="7">
        <f>+IFERROR(PRODUCTOS[[#This Row],[PROYECCION COMPRA]]/PRODUCTOS[[#This Row],[PPTO TOTAL]]-1,"")</f>
        <v>-9.1991341991341957E-2</v>
      </c>
      <c r="Y211" s="3">
        <f>+IFERROR((PRODUCTOS[[#This Row],[CANT X MODULO]]*704)-PRODUCTOS[[#This Row],[CANT. COMPRADA]],"")</f>
        <v>335.6</v>
      </c>
      <c r="Z211" s="17">
        <f>+IFERROR(PRODUCTOS[[#This Row],[CANT. COMPRADA]]/PRODUCTOS[[#This Row],[PPTO FALTANTE]],"")</f>
        <v>0.10131108462455303</v>
      </c>
      <c r="AA211" s="3">
        <f>+IFERROR(PRODUCTOS[[#This Row],[PROYECCION COMPRA]]-(PRODUCTOS[[#This Row],[PPTO FALTANTE]]*PRODUCTOS[[#This Row],[PPTO]]),"")</f>
        <v>0</v>
      </c>
      <c r="AB211" s="3">
        <f>+_xlfn.XLOOKUP(PRODUCTOS[[#This Row],[CODIGO]],DETALLE_GD_1[CODIGO],DETALLE_GD_1[VALOR PPTO],"",0)</f>
        <v>2043</v>
      </c>
      <c r="AC211" s="3">
        <f>+AB211-PRODUCTOS[[#This Row],[PPTO_ACTUALIZADO]]</f>
        <v>0</v>
      </c>
    </row>
    <row r="212" spans="1:29" x14ac:dyDescent="0.25">
      <c r="A212">
        <v>407795</v>
      </c>
      <c r="B212" t="s">
        <v>325</v>
      </c>
      <c r="C212" t="s">
        <v>673</v>
      </c>
      <c r="D212" t="s">
        <v>258</v>
      </c>
      <c r="E212" t="s">
        <v>406</v>
      </c>
      <c r="F212" s="2">
        <v>1610.93361</v>
      </c>
      <c r="G212" s="6" t="s">
        <v>31</v>
      </c>
      <c r="H212" s="2">
        <v>0</v>
      </c>
      <c r="I212" t="b">
        <v>0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0.52500000000000002</v>
      </c>
      <c r="M212" s="2">
        <f>+IFERROR(PRODUCTOS[[#This Row],[PPTO]]*PRODUCTOS[[#This Row],[CANT X MODULO]],"")</f>
        <v>845.74014525000007</v>
      </c>
      <c r="N212" s="2">
        <f>+IFERROR(PRODUCTOS[[#This Row],[PPTO X MODULO]]*32,"")</f>
        <v>27063.684648000002</v>
      </c>
      <c r="O212" s="2">
        <f>+IFERROR(PRODUCTOS[[#This Row],[PPTO X TORRE]]*22,"")</f>
        <v>595401.062256</v>
      </c>
      <c r="P212" s="3">
        <f>+IFERROR(PRODUCTOS[[#This Row],[CANT X MODULO]]*702,"")</f>
        <v>368.55</v>
      </c>
      <c r="Q212" s="3">
        <f>+SUMIFS(DETALLE_GD_1[CANTIDAD SOLICITADA],DETALLE_GD_1[CODIGO],PRODUCTOS[[#This Row],[CODIGO]])</f>
        <v>33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33</v>
      </c>
      <c r="T212" s="3">
        <f>+IFERROR(PRODUCTOS[[#This Row],[CANTIDAD RECIBIDA]]/PRODUCTOS[[#This Row],[CANT X MODULO]],"")</f>
        <v>62.857142857142854</v>
      </c>
      <c r="U212" s="3">
        <f>+SUMIFS(DETALLE_GD_1[VALOR TOTAL POR ITEM GD],DETALLE_GD_1[CODIGO],PRODUCTOS[[#This Row],[CODIGO]])</f>
        <v>49587</v>
      </c>
      <c r="V212" s="3">
        <f>+IFERROR(PRODUCTOS[[#This Row],[PRECIO DE COMPRA]]/PRODUCTOS[[#This Row],[CANT. COMPRADA]],"")</f>
        <v>1502.6363636363637</v>
      </c>
      <c r="W212" s="3">
        <f>+IFERROR(PRODUCTOS[[#This Row],[PRECIO COMPRA UNITARIO]]*PRODUCTOS[[#This Row],[PPTO FALTANTE]],"")</f>
        <v>505787.40000000008</v>
      </c>
      <c r="X212" s="7">
        <f>+IFERROR(PRODUCTOS[[#This Row],[PROYECCION COMPRA]]/PRODUCTOS[[#This Row],[PPTO TOTAL]]-1,"")</f>
        <v>-0.15050974534114858</v>
      </c>
      <c r="Y212" s="3">
        <f>+IFERROR((PRODUCTOS[[#This Row],[CANT X MODULO]]*704)-PRODUCTOS[[#This Row],[CANT. COMPRADA]],"")</f>
        <v>336.6</v>
      </c>
      <c r="Z212" s="17">
        <f>+IFERROR(PRODUCTOS[[#This Row],[CANT. COMPRADA]]/PRODUCTOS[[#This Row],[PPTO FALTANTE]],"")</f>
        <v>9.8039215686274508E-2</v>
      </c>
      <c r="AA212" s="3">
        <f>+IFERROR(PRODUCTOS[[#This Row],[PROYECCION COMPRA]]-(PRODUCTOS[[#This Row],[PPTO FALTANTE]]*PRODUCTOS[[#This Row],[PPTO]]),"")</f>
        <v>-36452.853125999973</v>
      </c>
      <c r="AB212" s="3">
        <f>+_xlfn.XLOOKUP(PRODUCTOS[[#This Row],[CODIGO]],DETALLE_GD_1[CODIGO],DETALLE_GD_1[VALOR PPTO],"",0)</f>
        <v>1610.9336000000001</v>
      </c>
      <c r="AC212" s="3">
        <f>+AB212-PRODUCTOS[[#This Row],[PPTO_ACTUALIZADO]]</f>
        <v>1610.9336000000001</v>
      </c>
    </row>
    <row r="213" spans="1:29" x14ac:dyDescent="0.25">
      <c r="A213">
        <v>704021</v>
      </c>
      <c r="B213" t="s">
        <v>329</v>
      </c>
      <c r="C213" t="s">
        <v>665</v>
      </c>
      <c r="D213" t="s">
        <v>240</v>
      </c>
      <c r="E213" t="s">
        <v>402</v>
      </c>
      <c r="F213" s="2">
        <v>487</v>
      </c>
      <c r="G213" s="6" t="s">
        <v>31</v>
      </c>
      <c r="H213" s="2">
        <v>487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21</v>
      </c>
      <c r="M213" s="2">
        <f>+IFERROR(PRODUCTOS[[#This Row],[PPTO]]*PRODUCTOS[[#This Row],[CANT X MODULO]],"")</f>
        <v>10227</v>
      </c>
      <c r="N213" s="2">
        <f>+IFERROR(PRODUCTOS[[#This Row],[PPTO X MODULO]]*32,"")</f>
        <v>327264</v>
      </c>
      <c r="O213" s="2">
        <f>+IFERROR(PRODUCTOS[[#This Row],[PPTO X TORRE]]*22,"")</f>
        <v>7199808</v>
      </c>
      <c r="P213" s="3">
        <f>+IFERROR(PRODUCTOS[[#This Row],[CANT X MODULO]]*702,"")</f>
        <v>14742</v>
      </c>
      <c r="Q213" s="3">
        <f>+SUMIFS(DETALLE_GD_1[CANTIDAD SOLICITADA],DETALLE_GD_1[CODIGO],PRODUCTOS[[#This Row],[CODIGO]])</f>
        <v>1318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1318</v>
      </c>
      <c r="T213" s="3">
        <f>+IFERROR(PRODUCTOS[[#This Row],[CANTIDAD RECIBIDA]]/PRODUCTOS[[#This Row],[CANT X MODULO]],"")</f>
        <v>62.761904761904759</v>
      </c>
      <c r="U213" s="3">
        <f>+SUMIFS(DETALLE_GD_1[VALOR TOTAL POR ITEM GD],DETALLE_GD_1[CODIGO],PRODUCTOS[[#This Row],[CODIGO]])</f>
        <v>641866</v>
      </c>
      <c r="V213" s="3">
        <f>+IFERROR(PRODUCTOS[[#This Row],[PRECIO DE COMPRA]]/PRODUCTOS[[#This Row],[CANT. COMPRADA]],"")</f>
        <v>487</v>
      </c>
      <c r="W213" s="3">
        <f>+IFERROR(PRODUCTOS[[#This Row],[PRECIO COMPRA UNITARIO]]*PRODUCTOS[[#This Row],[PPTO FALTANTE]],"")</f>
        <v>6557942</v>
      </c>
      <c r="X213" s="7">
        <f>+IFERROR(PRODUCTOS[[#This Row],[PROYECCION COMPRA]]/PRODUCTOS[[#This Row],[PPTO TOTAL]]-1,"")</f>
        <v>-8.9150432900432897E-2</v>
      </c>
      <c r="Y213" s="3">
        <f>+IFERROR((PRODUCTOS[[#This Row],[CANT X MODULO]]*704)-PRODUCTOS[[#This Row],[CANT. COMPRADA]],"")</f>
        <v>13466</v>
      </c>
      <c r="Z213" s="17">
        <f>+IFERROR(PRODUCTOS[[#This Row],[CANT. COMPRADA]]/PRODUCTOS[[#This Row],[PPTO FALTANTE]],"")</f>
        <v>9.787613248180603E-2</v>
      </c>
      <c r="AA213" s="3">
        <f>+IFERROR(PRODUCTOS[[#This Row],[PROYECCION COMPRA]]-(PRODUCTOS[[#This Row],[PPTO FALTANTE]]*PRODUCTOS[[#This Row],[PPTO]]),"")</f>
        <v>0</v>
      </c>
      <c r="AB213" s="3">
        <f>+_xlfn.XLOOKUP(PRODUCTOS[[#This Row],[CODIGO]],DETALLE_GD_1[CODIGO],DETALLE_GD_1[VALOR PPTO],"",0)</f>
        <v>487</v>
      </c>
      <c r="AC213" s="3">
        <f>+AB213-PRODUCTOS[[#This Row],[PPTO_ACTUALIZADO]]</f>
        <v>0</v>
      </c>
    </row>
    <row r="214" spans="1:29" x14ac:dyDescent="0.25">
      <c r="A214">
        <v>302028</v>
      </c>
      <c r="B214" t="s">
        <v>246</v>
      </c>
      <c r="C214" t="s">
        <v>535</v>
      </c>
      <c r="D214" t="s">
        <v>240</v>
      </c>
      <c r="E214" t="s">
        <v>403</v>
      </c>
      <c r="F214" s="2">
        <v>5123.8025269999998</v>
      </c>
      <c r="G214" s="6" t="s">
        <v>20</v>
      </c>
      <c r="H214" s="2">
        <v>5123.8025270000016</v>
      </c>
      <c r="I214" t="b">
        <v>1</v>
      </c>
      <c r="J214" t="str">
        <f>+_xlfn.XLOOKUP(PRODUCTOS[[#This Row],[CODIGO]],P_CRITICOS[CODIGO],P_CRITICOS[DESC CORTA],"",0)</f>
        <v>PINO 2X4X320</v>
      </c>
      <c r="K214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172.72499999999994</v>
      </c>
      <c r="M214" s="2">
        <f>+IFERROR(PRODUCTOS[[#This Row],[PPTO]]*PRODUCTOS[[#This Row],[CANT X MODULO]],"")</f>
        <v>885008.79147607461</v>
      </c>
      <c r="N214" s="2">
        <f>+IFERROR(PRODUCTOS[[#This Row],[PPTO X MODULO]]*32,"")</f>
        <v>28320281.327234387</v>
      </c>
      <c r="O214" s="2">
        <f>+IFERROR(PRODUCTOS[[#This Row],[PPTO X TORRE]]*22,"")</f>
        <v>623046189.19915652</v>
      </c>
      <c r="P214" s="3">
        <f>+IFERROR(PRODUCTOS[[#This Row],[CANT X MODULO]]*702,"")</f>
        <v>121252.94999999995</v>
      </c>
      <c r="Q214" s="3">
        <f>+SUMIFS(DETALLE_GD_1[CANTIDAD SOLICITADA],DETALLE_GD_1[CODIGO],PRODUCTOS[[#This Row],[CODIGO]])</f>
        <v>11161</v>
      </c>
      <c r="R214" s="3">
        <f>+SUMIFS(DETALLE_GD_1[DEVOLUCIÓN],DETALLE_GD_1[CODIGO],PRODUCTOS[[#This Row],[CODIGO]])</f>
        <v>600</v>
      </c>
      <c r="S214" s="3">
        <f>+PRODUCTOS[[#This Row],[CANT. COMPRADA]]-PRODUCTOS[[#This Row],[DEVOLUCIONES]]</f>
        <v>10561</v>
      </c>
      <c r="T214" s="3">
        <f>+IFERROR(PRODUCTOS[[#This Row],[CANTIDAD RECIBIDA]]/PRODUCTOS[[#This Row],[CANT X MODULO]],"")</f>
        <v>61.143436097843413</v>
      </c>
      <c r="U214" s="3">
        <f>+SUMIFS(DETALLE_GD_1[VALOR TOTAL POR ITEM GD],DETALLE_GD_1[CODIGO],PRODUCTOS[[#This Row],[CODIGO]])</f>
        <v>53232521</v>
      </c>
      <c r="V214" s="3">
        <f>+IFERROR(PRODUCTOS[[#This Row],[PRECIO DE COMPRA]]/PRODUCTOS[[#This Row],[CANT. COMPRADA]],"")</f>
        <v>4769.5117820983787</v>
      </c>
      <c r="W214" s="3">
        <f>+IFERROR(PRODUCTOS[[#This Row],[PRECIO COMPRA UNITARIO]]*PRODUCTOS[[#This Row],[PPTO FALTANTE]],"")</f>
        <v>526732480.48431128</v>
      </c>
      <c r="X214" s="7">
        <f>+IFERROR(PRODUCTOS[[#This Row],[PROYECCION COMPRA]]/PRODUCTOS[[#This Row],[PPTO TOTAL]]-1,"")</f>
        <v>-0.15458518226175777</v>
      </c>
      <c r="Y214" s="3">
        <f>+IFERROR((PRODUCTOS[[#This Row],[CANT X MODULO]]*704)-PRODUCTOS[[#This Row],[CANT. COMPRADA]],"")</f>
        <v>110437.39999999995</v>
      </c>
      <c r="Z214" s="17">
        <f>+IFERROR(PRODUCTOS[[#This Row],[CANT. COMPRADA]]/PRODUCTOS[[#This Row],[PPTO FALTANTE]],"")</f>
        <v>0.10106177798463206</v>
      </c>
      <c r="AA214" s="3">
        <f>+IFERROR(PRODUCTOS[[#This Row],[PROYECCION COMPRA]]-(PRODUCTOS[[#This Row],[PPTO FALTANTE]]*PRODUCTOS[[#This Row],[PPTO]]),"")</f>
        <v>-39126948.710998237</v>
      </c>
      <c r="AB214" s="3">
        <f>+_xlfn.XLOOKUP(PRODUCTOS[[#This Row],[CODIGO]],DETALLE_GD_1[CODIGO],DETALLE_GD_1[VALOR PPTO],"",0)</f>
        <v>5123.8024999999998</v>
      </c>
      <c r="AC214" s="3">
        <f>+AB214-PRODUCTOS[[#This Row],[PPTO_ACTUALIZADO]]</f>
        <v>-2.7000001864507794E-5</v>
      </c>
    </row>
    <row r="215" spans="1:29" x14ac:dyDescent="0.25">
      <c r="A215">
        <v>1808148</v>
      </c>
      <c r="B215" t="s">
        <v>276</v>
      </c>
      <c r="C215" t="s">
        <v>650</v>
      </c>
      <c r="D215" t="s">
        <v>258</v>
      </c>
      <c r="E215" t="s">
        <v>406</v>
      </c>
      <c r="F215" s="2">
        <v>1108.0958900000001</v>
      </c>
      <c r="G215" s="6" t="s">
        <v>31</v>
      </c>
      <c r="H215" s="2">
        <v>1089</v>
      </c>
      <c r="I215" t="b">
        <v>0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0.52500000000000002</v>
      </c>
      <c r="M215" s="2">
        <f>+IFERROR(PRODUCTOS[[#This Row],[PPTO]]*PRODUCTOS[[#This Row],[CANT X MODULO]],"")</f>
        <v>581.75034225000002</v>
      </c>
      <c r="N215" s="2">
        <f>+IFERROR(PRODUCTOS[[#This Row],[PPTO X MODULO]]*32,"")</f>
        <v>18616.010952000001</v>
      </c>
      <c r="O215" s="2">
        <f>+IFERROR(PRODUCTOS[[#This Row],[PPTO X TORRE]]*22,"")</f>
        <v>409552.24094400002</v>
      </c>
      <c r="P215" s="3">
        <f>+IFERROR(PRODUCTOS[[#This Row],[CANT X MODULO]]*702,"")</f>
        <v>368.55</v>
      </c>
      <c r="Q215" s="3">
        <f>+SUMIFS(DETALLE_GD_1[CANTIDAD SOLICITADA],DETALLE_GD_1[CODIGO],PRODUCTOS[[#This Row],[CODIGO]])</f>
        <v>31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31</v>
      </c>
      <c r="T215" s="3">
        <f>+IFERROR(PRODUCTOS[[#This Row],[CANTIDAD RECIBIDA]]/PRODUCTOS[[#This Row],[CANT X MODULO]],"")</f>
        <v>59.047619047619044</v>
      </c>
      <c r="U215" s="3">
        <f>+SUMIFS(DETALLE_GD_1[VALOR TOTAL POR ITEM GD],DETALLE_GD_1[CODIGO],PRODUCTOS[[#This Row],[CODIGO]])</f>
        <v>34057</v>
      </c>
      <c r="V215" s="3">
        <f>+IFERROR(PRODUCTOS[[#This Row],[PRECIO DE COMPRA]]/PRODUCTOS[[#This Row],[CANT. COMPRADA]],"")</f>
        <v>1098.6129032258063</v>
      </c>
      <c r="W215" s="3">
        <f>+IFERROR(PRODUCTOS[[#This Row],[PRECIO COMPRA UNITARIO]]*PRODUCTOS[[#This Row],[PPTO FALTANTE]],"")</f>
        <v>371990.32903225807</v>
      </c>
      <c r="X215" s="7">
        <f>+IFERROR(PRODUCTOS[[#This Row],[PROYECCION COMPRA]]/PRODUCTOS[[#This Row],[PPTO TOTAL]]-1,"")</f>
        <v>-9.1714580355276243E-2</v>
      </c>
      <c r="Y215" s="3">
        <f>+IFERROR((PRODUCTOS[[#This Row],[CANT X MODULO]]*704)-PRODUCTOS[[#This Row],[CANT. COMPRADA]],"")</f>
        <v>338.6</v>
      </c>
      <c r="Z215" s="17">
        <f>+IFERROR(PRODUCTOS[[#This Row],[CANT. COMPRADA]]/PRODUCTOS[[#This Row],[PPTO FALTANTE]],"")</f>
        <v>9.1553455404607201E-2</v>
      </c>
      <c r="AA215" s="3">
        <f>+IFERROR(PRODUCTOS[[#This Row],[PROYECCION COMPRA]]-(PRODUCTOS[[#This Row],[PPTO FALTANTE]]*PRODUCTOS[[#This Row],[PPTO]]),"")</f>
        <v>-3210.9393217419856</v>
      </c>
      <c r="AB215" s="3">
        <f>+_xlfn.XLOOKUP(PRODUCTOS[[#This Row],[CODIGO]],DETALLE_GD_1[CODIGO],DETALLE_GD_1[VALOR PPTO],"",0)</f>
        <v>1089</v>
      </c>
      <c r="AC215" s="3">
        <f>+AB215-PRODUCTOS[[#This Row],[PPTO_ACTUALIZADO]]</f>
        <v>0</v>
      </c>
    </row>
    <row r="216" spans="1:29" x14ac:dyDescent="0.25">
      <c r="A216">
        <v>1805340</v>
      </c>
      <c r="B216" t="s">
        <v>298</v>
      </c>
      <c r="C216" t="s">
        <v>641</v>
      </c>
      <c r="D216" t="s">
        <v>244</v>
      </c>
      <c r="E216" t="s">
        <v>410</v>
      </c>
      <c r="F216" s="2">
        <v>19400</v>
      </c>
      <c r="G216" s="6" t="s">
        <v>31</v>
      </c>
      <c r="H216" s="2">
        <v>19400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1.05</v>
      </c>
      <c r="M216" s="2">
        <f>+IFERROR(PRODUCTOS[[#This Row],[PPTO]]*PRODUCTOS[[#This Row],[CANT X MODULO]],"")</f>
        <v>20370</v>
      </c>
      <c r="N216" s="2">
        <f>+IFERROR(PRODUCTOS[[#This Row],[PPTO X MODULO]]*32,"")</f>
        <v>651840</v>
      </c>
      <c r="O216" s="2">
        <f>+IFERROR(PRODUCTOS[[#This Row],[PPTO X TORRE]]*22,"")</f>
        <v>14340480</v>
      </c>
      <c r="P216" s="3">
        <f>+IFERROR(PRODUCTOS[[#This Row],[CANT X MODULO]]*702,"")</f>
        <v>737.1</v>
      </c>
      <c r="Q216" s="3">
        <f>+SUMIFS(DETALLE_GD_1[CANTIDAD SOLICITADA],DETALLE_GD_1[CODIGO],PRODUCTOS[[#This Row],[CODIGO]])</f>
        <v>60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60</v>
      </c>
      <c r="T216" s="3">
        <f>+IFERROR(PRODUCTOS[[#This Row],[CANTIDAD RECIBIDA]]/PRODUCTOS[[#This Row],[CANT X MODULO]],"")</f>
        <v>57.142857142857139</v>
      </c>
      <c r="U216" s="3">
        <f>+SUMIFS(DETALLE_GD_1[VALOR TOTAL POR ITEM GD],DETALLE_GD_1[CODIGO],PRODUCTOS[[#This Row],[CODIGO]])</f>
        <v>1164000</v>
      </c>
      <c r="V216" s="3">
        <f>+IFERROR(PRODUCTOS[[#This Row],[PRECIO DE COMPRA]]/PRODUCTOS[[#This Row],[CANT. COMPRADA]],"")</f>
        <v>19400</v>
      </c>
      <c r="W216" s="3">
        <f>+IFERROR(PRODUCTOS[[#This Row],[PRECIO COMPRA UNITARIO]]*PRODUCTOS[[#This Row],[PPTO FALTANTE]],"")</f>
        <v>13176480</v>
      </c>
      <c r="X216" s="7">
        <f>+IFERROR(PRODUCTOS[[#This Row],[PROYECCION COMPRA]]/PRODUCTOS[[#This Row],[PPTO TOTAL]]-1,"")</f>
        <v>-8.1168831168831224E-2</v>
      </c>
      <c r="Y216" s="3">
        <f>+IFERROR((PRODUCTOS[[#This Row],[CANT X MODULO]]*704)-PRODUCTOS[[#This Row],[CANT. COMPRADA]],"")</f>
        <v>679.2</v>
      </c>
      <c r="Z216" s="17">
        <f>+IFERROR(PRODUCTOS[[#This Row],[CANT. COMPRADA]]/PRODUCTOS[[#This Row],[PPTO FALTANTE]],"")</f>
        <v>8.8339222614840979E-2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19400</v>
      </c>
      <c r="AC216" s="3">
        <f>+AB216-PRODUCTOS[[#This Row],[PPTO_ACTUALIZADO]]</f>
        <v>0</v>
      </c>
    </row>
    <row r="217" spans="1:29" x14ac:dyDescent="0.25">
      <c r="A217">
        <v>1901038</v>
      </c>
      <c r="B217" t="s">
        <v>39</v>
      </c>
      <c r="C217" t="s">
        <v>541</v>
      </c>
      <c r="D217" t="s">
        <v>240</v>
      </c>
      <c r="E217" t="s">
        <v>404</v>
      </c>
      <c r="F217" s="2">
        <v>4197.4178750000001</v>
      </c>
      <c r="G217" s="6" t="s">
        <v>26</v>
      </c>
      <c r="H217" s="2">
        <v>4197.417875000001</v>
      </c>
      <c r="I217" t="b">
        <v>1</v>
      </c>
      <c r="J217" t="str">
        <f>+_xlfn.XLOOKUP(PRODUCTOS[[#This Row],[CODIGO]],P_CRITICOS[CODIGO],P_CRITICOS[DESC CORTA],"",0)</f>
        <v>AISLAN ROCA 90MM</v>
      </c>
      <c r="K217" t="str">
        <f>+IFERROR(IF(VLOOKUP(PRODUCTOS[[#This Row],[CODIGO]],P_CRITICOS[],3,0)="*","PRODUCTO CRITICO","NO CRITICO"),"NO CRITICO")</f>
        <v>PRODUCTO CRITICO</v>
      </c>
      <c r="L217" s="15">
        <f>+_xlfn.XLOOKUP(PRODUCTOS[[#This Row],[CODIGO]],BD_MODULO[Artículo],BD_MODULO[CUB_ACTUALIZADA],"",0)</f>
        <v>40.010249999999999</v>
      </c>
      <c r="M217" s="2">
        <f>+IFERROR(PRODUCTOS[[#This Row],[PPTO]]*PRODUCTOS[[#This Row],[CANT X MODULO]],"")</f>
        <v>167939.73853321874</v>
      </c>
      <c r="N217" s="2">
        <f>+IFERROR(PRODUCTOS[[#This Row],[PPTO X MODULO]]*32,"")</f>
        <v>5374071.6330629997</v>
      </c>
      <c r="O217" s="2">
        <f>+IFERROR(PRODUCTOS[[#This Row],[PPTO X TORRE]]*22,"")</f>
        <v>118229575.92738599</v>
      </c>
      <c r="P217" s="3">
        <f>+IFERROR(PRODUCTOS[[#This Row],[CANT X MODULO]]*702,"")</f>
        <v>28087.195499999998</v>
      </c>
      <c r="Q217" s="3">
        <f>+SUMIFS(DETALLE_GD_1[CANTIDAD SOLICITADA],DETALLE_GD_1[CODIGO],PRODUCTOS[[#This Row],[CODIGO]])</f>
        <v>2266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2266</v>
      </c>
      <c r="T217" s="3">
        <f>+IFERROR(PRODUCTOS[[#This Row],[CANTIDAD RECIBIDA]]/PRODUCTOS[[#This Row],[CANT X MODULO]],"")</f>
        <v>56.635487156416168</v>
      </c>
      <c r="U217" s="3">
        <f>+SUMIFS(DETALLE_GD_1[VALOR TOTAL POR ITEM GD],DETALLE_GD_1[CODIGO],PRODUCTOS[[#This Row],[CODIGO]])</f>
        <v>10474240</v>
      </c>
      <c r="V217" s="3">
        <f>+IFERROR(PRODUCTOS[[#This Row],[PRECIO DE COMPRA]]/PRODUCTOS[[#This Row],[CANT. COMPRADA]],"")</f>
        <v>4622.3477493380406</v>
      </c>
      <c r="W217" s="3">
        <f>+IFERROR(PRODUCTOS[[#This Row],[PRECIO COMPRA UNITARIO]]*PRODUCTOS[[#This Row],[PPTO FALTANTE]],"")</f>
        <v>119724427.48271845</v>
      </c>
      <c r="X217" s="7">
        <f>+IFERROR(PRODUCTOS[[#This Row],[PROYECCION COMPRA]]/PRODUCTOS[[#This Row],[PPTO TOTAL]]-1,"")</f>
        <v>1.2643634586413155E-2</v>
      </c>
      <c r="Y217" s="3">
        <f>+IFERROR((PRODUCTOS[[#This Row],[CANT X MODULO]]*704)-PRODUCTOS[[#This Row],[CANT. COMPRADA]],"")</f>
        <v>25901.216</v>
      </c>
      <c r="Z217" s="17">
        <f>+IFERROR(PRODUCTOS[[#This Row],[CANT. COMPRADA]]/PRODUCTOS[[#This Row],[PPTO FALTANTE]],"")</f>
        <v>8.7486240028267395E-2</v>
      </c>
      <c r="AA217" s="3">
        <f>+IFERROR(PRODUCTOS[[#This Row],[PROYECCION COMPRA]]-(PRODUCTOS[[#This Row],[PPTO FALTANTE]]*PRODUCTOS[[#This Row],[PPTO]]),"")</f>
        <v>11006200.460082442</v>
      </c>
      <c r="AB217" s="3">
        <f>+_xlfn.XLOOKUP(PRODUCTOS[[#This Row],[CODIGO]],DETALLE_GD_1[CODIGO],DETALLE_GD_1[VALOR PPTO],"",0)</f>
        <v>4197.4179000000004</v>
      </c>
      <c r="AC217" s="3">
        <f>+AB217-PRODUCTOS[[#This Row],[PPTO_ACTUALIZADO]]</f>
        <v>2.4999999368446879E-5</v>
      </c>
    </row>
    <row r="218" spans="1:29" x14ac:dyDescent="0.25">
      <c r="A218">
        <v>407170</v>
      </c>
      <c r="B218" t="s">
        <v>107</v>
      </c>
      <c r="C218" t="s">
        <v>609</v>
      </c>
      <c r="D218" t="s">
        <v>240</v>
      </c>
      <c r="E218" t="s">
        <v>399</v>
      </c>
      <c r="F218" s="2">
        <v>4.8802159999999999</v>
      </c>
      <c r="G218" s="6" t="s">
        <v>31</v>
      </c>
      <c r="H218" s="2">
        <v>4.8802160000000008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151.19999999999999</v>
      </c>
      <c r="M218" s="2">
        <f>+IFERROR(PRODUCTOS[[#This Row],[PPTO]]*PRODUCTOS[[#This Row],[CANT X MODULO]],"")</f>
        <v>737.88865919999989</v>
      </c>
      <c r="N218" s="2">
        <f>+IFERROR(PRODUCTOS[[#This Row],[PPTO X MODULO]]*32,"")</f>
        <v>23612.437094399997</v>
      </c>
      <c r="O218" s="2">
        <f>+IFERROR(PRODUCTOS[[#This Row],[PPTO X TORRE]]*22,"")</f>
        <v>519473.61607679992</v>
      </c>
      <c r="P218" s="3">
        <f>+IFERROR(PRODUCTOS[[#This Row],[CANT X MODULO]]*702,"")</f>
        <v>106142.39999999999</v>
      </c>
      <c r="Q218" s="3">
        <f>+SUMIFS(DETALLE_GD_1[CANTIDAD SOLICITADA],DETALLE_GD_1[CODIGO],PRODUCTOS[[#This Row],[CODIGO]])</f>
        <v>8404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8404</v>
      </c>
      <c r="T218" s="3">
        <f>+IFERROR(PRODUCTOS[[#This Row],[CANTIDAD RECIBIDA]]/PRODUCTOS[[#This Row],[CANT X MODULO]],"")</f>
        <v>55.582010582010589</v>
      </c>
      <c r="U218" s="3">
        <f>+SUMIFS(DETALLE_GD_1[VALOR TOTAL POR ITEM GD],DETALLE_GD_1[CODIGO],PRODUCTOS[[#This Row],[CODIGO]])</f>
        <v>41777</v>
      </c>
      <c r="V218" s="3">
        <f>+IFERROR(PRODUCTOS[[#This Row],[PRECIO DE COMPRA]]/PRODUCTOS[[#This Row],[CANT. COMPRADA]],"")</f>
        <v>4.9710851975249879</v>
      </c>
      <c r="W218" s="3">
        <f>+IFERROR(PRODUCTOS[[#This Row],[PRECIO COMPRA UNITARIO]]*PRODUCTOS[[#This Row],[PPTO FALTANTE]],"")</f>
        <v>487369.16963350779</v>
      </c>
      <c r="X218" s="7">
        <f>+IFERROR(PRODUCTOS[[#This Row],[PROYECCION COMPRA]]/PRODUCTOS[[#This Row],[PPTO TOTAL]]-1,"")</f>
        <v>-6.1801880691753519E-2</v>
      </c>
      <c r="Y218" s="3">
        <f>+IFERROR((PRODUCTOS[[#This Row],[CANT X MODULO]]*704)-PRODUCTOS[[#This Row],[CANT. COMPRADA]],"")</f>
        <v>98040.799999999988</v>
      </c>
      <c r="Z218" s="17">
        <f>+IFERROR(PRODUCTOS[[#This Row],[CANT. COMPRADA]]/PRODUCTOS[[#This Row],[PPTO FALTANTE]],"")</f>
        <v>8.5719414774257263E-2</v>
      </c>
      <c r="AA218" s="3">
        <f>+IFERROR(PRODUCTOS[[#This Row],[PROYECCION COMPRA]]-(PRODUCTOS[[#This Row],[PPTO FALTANTE]]*PRODUCTOS[[#This Row],[PPTO]]),"")</f>
        <v>8908.8888207078562</v>
      </c>
      <c r="AB218" s="3">
        <f>+_xlfn.XLOOKUP(PRODUCTOS[[#This Row],[CODIGO]],DETALLE_GD_1[CODIGO],DETALLE_GD_1[VALOR PPTO],"",0)</f>
        <v>4.8802000000000003</v>
      </c>
      <c r="AC218" s="3">
        <f>+AB218-PRODUCTOS[[#This Row],[PPTO_ACTUALIZADO]]</f>
        <v>-1.6000000000460091E-5</v>
      </c>
    </row>
    <row r="219" spans="1:29" x14ac:dyDescent="0.25">
      <c r="A219">
        <v>704092</v>
      </c>
      <c r="B219" t="s">
        <v>116</v>
      </c>
      <c r="C219" t="s">
        <v>614</v>
      </c>
      <c r="D219" t="s">
        <v>244</v>
      </c>
      <c r="E219" t="s">
        <v>355</v>
      </c>
      <c r="F219" s="2">
        <v>273.47427099999999</v>
      </c>
      <c r="G219" s="6" t="s">
        <v>355</v>
      </c>
      <c r="H219" s="2">
        <v>0</v>
      </c>
      <c r="I219" t="b">
        <v>0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1</v>
      </c>
      <c r="M219" s="2">
        <f>+IFERROR(PRODUCTOS[[#This Row],[PPTO]]*PRODUCTOS[[#This Row],[CANT X MODULO]],"")</f>
        <v>273.47427099999999</v>
      </c>
      <c r="N219" s="2">
        <f>+IFERROR(PRODUCTOS[[#This Row],[PPTO X MODULO]]*32,"")</f>
        <v>8751.1766719999996</v>
      </c>
      <c r="O219" s="2">
        <f>+IFERROR(PRODUCTOS[[#This Row],[PPTO X TORRE]]*22,"")</f>
        <v>192525.886784</v>
      </c>
      <c r="P219" s="3">
        <f>+IFERROR(PRODUCTOS[[#This Row],[CANT X MODULO]]*702,"")</f>
        <v>702</v>
      </c>
      <c r="Q219" s="3">
        <f>+SUMIFS(DETALLE_GD_1[CANTIDAD SOLICITADA],DETALLE_GD_1[CODIGO],PRODUCTOS[[#This Row],[CODIGO]])</f>
        <v>54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54</v>
      </c>
      <c r="T219" s="3">
        <f>+IFERROR(PRODUCTOS[[#This Row],[CANTIDAD RECIBIDA]]/PRODUCTOS[[#This Row],[CANT X MODULO]],"")</f>
        <v>54</v>
      </c>
      <c r="U219" s="3">
        <f>+SUMIFS(DETALLE_GD_1[VALOR TOTAL POR ITEM GD],DETALLE_GD_1[CODIGO],PRODUCTOS[[#This Row],[CODIGO]])</f>
        <v>14768</v>
      </c>
      <c r="V219" s="3">
        <f>+IFERROR(PRODUCTOS[[#This Row],[PRECIO DE COMPRA]]/PRODUCTOS[[#This Row],[CANT. COMPRADA]],"")</f>
        <v>273.48148148148147</v>
      </c>
      <c r="W219" s="3">
        <f>+IFERROR(PRODUCTOS[[#This Row],[PRECIO COMPRA UNITARIO]]*PRODUCTOS[[#This Row],[PPTO FALTANTE]],"")</f>
        <v>177762.96296296295</v>
      </c>
      <c r="X219" s="7">
        <f>+IFERROR(PRODUCTOS[[#This Row],[PROYECCION COMPRA]]/PRODUCTOS[[#This Row],[PPTO TOTAL]]-1,"")</f>
        <v>-7.6680201647895685E-2</v>
      </c>
      <c r="Y219" s="3">
        <f>+IFERROR((PRODUCTOS[[#This Row],[CANT X MODULO]]*704)-PRODUCTOS[[#This Row],[CANT. COMPRADA]],"")</f>
        <v>650</v>
      </c>
      <c r="Z219" s="17">
        <f>+IFERROR(PRODUCTOS[[#This Row],[CANT. COMPRADA]]/PRODUCTOS[[#This Row],[PPTO FALTANTE]],"")</f>
        <v>8.3076923076923076E-2</v>
      </c>
      <c r="AA219" s="3">
        <f>+IFERROR(PRODUCTOS[[#This Row],[PROYECCION COMPRA]]-(PRODUCTOS[[#This Row],[PPTO FALTANTE]]*PRODUCTOS[[#This Row],[PPTO]]),"")</f>
        <v>4.6868129629583564</v>
      </c>
      <c r="AB219" s="3">
        <f>+_xlfn.XLOOKUP(PRODUCTOS[[#This Row],[CODIGO]],DETALLE_GD_1[CODIGO],DETALLE_GD_1[VALOR PPTO],"",0)</f>
        <v>273.47430000000003</v>
      </c>
      <c r="AC219" s="3">
        <f>+AB219-PRODUCTOS[[#This Row],[PPTO_ACTUALIZADO]]</f>
        <v>273.47430000000003</v>
      </c>
    </row>
    <row r="220" spans="1:29" x14ac:dyDescent="0.25">
      <c r="A220">
        <v>307096</v>
      </c>
      <c r="B220" t="s">
        <v>249</v>
      </c>
      <c r="C220" t="s">
        <v>540</v>
      </c>
      <c r="D220" t="s">
        <v>244</v>
      </c>
      <c r="E220" t="s">
        <v>402</v>
      </c>
      <c r="F220" s="2">
        <v>2095.3501289999999</v>
      </c>
      <c r="G220" s="6" t="s">
        <v>137</v>
      </c>
      <c r="H220" s="2">
        <v>2095.3501289999986</v>
      </c>
      <c r="I220" t="b">
        <v>1</v>
      </c>
      <c r="J220" t="str">
        <f>+_xlfn.XLOOKUP(PRODUCTOS[[#This Row],[CODIGO]],P_CRITICOS[CODIGO],P_CRITICOS[DESC CORTA],"",0)</f>
        <v>CUBREJUNTA</v>
      </c>
      <c r="K220" t="str">
        <f>+IFERROR(IF(VLOOKUP(PRODUCTOS[[#This Row],[CODIGO]],P_CRITICOS[],3,0)="*","PRODUCTO CRITICO","NO CRITICO"),"NO CRITICO")</f>
        <v>PRODUCTO CRITICO</v>
      </c>
      <c r="L220" s="15">
        <f>+_xlfn.XLOOKUP(PRODUCTOS[[#This Row],[CODIGO]],BD_MODULO[Artículo],BD_MODULO[CUB_ACTUALIZADA],"",0)</f>
        <v>65.100000000000023</v>
      </c>
      <c r="M220" s="2">
        <f>+IFERROR(PRODUCTOS[[#This Row],[PPTO]]*PRODUCTOS[[#This Row],[CANT X MODULO]],"")</f>
        <v>136407.29339790004</v>
      </c>
      <c r="N220" s="2">
        <f>+IFERROR(PRODUCTOS[[#This Row],[PPTO X MODULO]]*32,"")</f>
        <v>4365033.3887328012</v>
      </c>
      <c r="O220" s="2">
        <f>+IFERROR(PRODUCTOS[[#This Row],[PPTO X TORRE]]*22,"")</f>
        <v>96030734.552121624</v>
      </c>
      <c r="P220" s="3">
        <f>+IFERROR(PRODUCTOS[[#This Row],[CANT X MODULO]]*702,"")</f>
        <v>45700.200000000019</v>
      </c>
      <c r="Q220" s="3">
        <f>+SUMIFS(DETALLE_GD_1[CANTIDAD SOLICITADA],DETALLE_GD_1[CODIGO],PRODUCTOS[[#This Row],[CODIGO]])</f>
        <v>3439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3439</v>
      </c>
      <c r="T220" s="3">
        <f>+IFERROR(PRODUCTOS[[#This Row],[CANTIDAD RECIBIDA]]/PRODUCTOS[[#This Row],[CANT X MODULO]],"")</f>
        <v>52.826420890937001</v>
      </c>
      <c r="U220" s="3">
        <f>+SUMIFS(DETALLE_GD_1[VALOR TOTAL POR ITEM GD],DETALLE_GD_1[CODIGO],PRODUCTOS[[#This Row],[CODIGO]])</f>
        <v>5843293</v>
      </c>
      <c r="V220" s="3">
        <f>+IFERROR(PRODUCTOS[[#This Row],[PRECIO DE COMPRA]]/PRODUCTOS[[#This Row],[CANT. COMPRADA]],"")</f>
        <v>1699.1256179121838</v>
      </c>
      <c r="W220" s="3">
        <f>+IFERROR(PRODUCTOS[[#This Row],[PRECIO COMPRA UNITARIO]]*PRODUCTOS[[#This Row],[PPTO FALTANTE]],"")</f>
        <v>72028313.719162568</v>
      </c>
      <c r="X220" s="7">
        <f>+IFERROR(PRODUCTOS[[#This Row],[PROYECCION COMPRA]]/PRODUCTOS[[#This Row],[PPTO TOTAL]]-1,"")</f>
        <v>-0.24994519665921655</v>
      </c>
      <c r="Y220" s="3">
        <f>+IFERROR((PRODUCTOS[[#This Row],[CANT X MODULO]]*704)-PRODUCTOS[[#This Row],[CANT. COMPRADA]],"")</f>
        <v>42391.400000000016</v>
      </c>
      <c r="Z220" s="17">
        <f>+IFERROR(PRODUCTOS[[#This Row],[CANT. COMPRADA]]/PRODUCTOS[[#This Row],[PPTO FALTANTE]],"")</f>
        <v>8.1124945153969882E-2</v>
      </c>
      <c r="AA220" s="3">
        <f>+IFERROR(PRODUCTOS[[#This Row],[PROYECCION COMPRA]]-(PRODUCTOS[[#This Row],[PPTO FALTANTE]]*PRODUCTOS[[#This Row],[PPTO]]),"")</f>
        <v>-16796511.739328057</v>
      </c>
      <c r="AB220" s="3">
        <f>+_xlfn.XLOOKUP(PRODUCTOS[[#This Row],[CODIGO]],DETALLE_GD_1[CODIGO],DETALLE_GD_1[VALOR PPTO],"",0)</f>
        <v>2095.3501000000001</v>
      </c>
      <c r="AC220" s="3">
        <f>+AB220-PRODUCTOS[[#This Row],[PPTO_ACTUALIZADO]]</f>
        <v>-2.8999998448853148E-5</v>
      </c>
    </row>
    <row r="221" spans="1:29" x14ac:dyDescent="0.25">
      <c r="A221">
        <v>617016</v>
      </c>
      <c r="B221" t="s">
        <v>133</v>
      </c>
      <c r="C221" t="s">
        <v>625</v>
      </c>
      <c r="D221">
        <v>0</v>
      </c>
      <c r="E221">
        <v>0</v>
      </c>
      <c r="F221" s="2">
        <v>2857.5132739999999</v>
      </c>
      <c r="G221" s="6" t="s">
        <v>31</v>
      </c>
      <c r="H221" s="2">
        <v>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4.2</v>
      </c>
      <c r="M221" s="2">
        <f>+IFERROR(PRODUCTOS[[#This Row],[PPTO]]*PRODUCTOS[[#This Row],[CANT X MODULO]],"")</f>
        <v>12001.5557508</v>
      </c>
      <c r="N221" s="2">
        <f>+IFERROR(PRODUCTOS[[#This Row],[PPTO X MODULO]]*32,"")</f>
        <v>384049.78402560001</v>
      </c>
      <c r="O221" s="2">
        <f>+IFERROR(PRODUCTOS[[#This Row],[PPTO X TORRE]]*22,"")</f>
        <v>8449095.2485632002</v>
      </c>
      <c r="P221" s="3">
        <f>+IFERROR(PRODUCTOS[[#This Row],[CANT X MODULO]]*702,"")</f>
        <v>2948.4</v>
      </c>
      <c r="Q221" s="3">
        <f>+SUMIFS(DETALLE_GD_1[CANTIDAD SOLICITADA],DETALLE_GD_1[CODIGO],PRODUCTOS[[#This Row],[CODIGO]])</f>
        <v>218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218</v>
      </c>
      <c r="T221" s="3">
        <f>+IFERROR(PRODUCTOS[[#This Row],[CANTIDAD RECIBIDA]]/PRODUCTOS[[#This Row],[CANT X MODULO]],"")</f>
        <v>51.904761904761905</v>
      </c>
      <c r="U221" s="3">
        <f>+SUMIFS(DETALLE_GD_1[VALOR TOTAL POR ITEM GD],DETALLE_GD_1[CODIGO],PRODUCTOS[[#This Row],[CODIGO]])</f>
        <v>624335</v>
      </c>
      <c r="V221" s="3">
        <f>+IFERROR(PRODUCTOS[[#This Row],[PRECIO DE COMPRA]]/PRODUCTOS[[#This Row],[CANT. COMPRADA]],"")</f>
        <v>2863.9220183486241</v>
      </c>
      <c r="W221" s="3">
        <f>+IFERROR(PRODUCTOS[[#This Row],[PRECIO COMPRA UNITARIO]]*PRODUCTOS[[#This Row],[PPTO FALTANTE]],"")</f>
        <v>7843709.6238532122</v>
      </c>
      <c r="X221" s="7">
        <f>+IFERROR(PRODUCTOS[[#This Row],[PROYECCION COMPRA]]/PRODUCTOS[[#This Row],[PPTO TOTAL]]-1,"")</f>
        <v>-7.1650940946953567E-2</v>
      </c>
      <c r="Y221" s="3">
        <f>+IFERROR((PRODUCTOS[[#This Row],[CANT X MODULO]]*704)-PRODUCTOS[[#This Row],[CANT. COMPRADA]],"")</f>
        <v>2738.8</v>
      </c>
      <c r="Z221" s="17">
        <f>+IFERROR(PRODUCTOS[[#This Row],[CANT. COMPRADA]]/PRODUCTOS[[#This Row],[PPTO FALTANTE]],"")</f>
        <v>7.9596903753468673E-2</v>
      </c>
      <c r="AA221" s="3">
        <f>+IFERROR(PRODUCTOS[[#This Row],[PROYECCION COMPRA]]-(PRODUCTOS[[#This Row],[PPTO FALTANTE]]*PRODUCTOS[[#This Row],[PPTO]]),"")</f>
        <v>17552.269022012129</v>
      </c>
      <c r="AB221" s="3">
        <f>+_xlfn.XLOOKUP(PRODUCTOS[[#This Row],[CODIGO]],DETALLE_GD_1[CODIGO],DETALLE_GD_1[VALOR PPTO],"",0)</f>
        <v>2857.5133000000001</v>
      </c>
      <c r="AC221" s="3">
        <f>+AB221-PRODUCTOS[[#This Row],[PPTO_ACTUALIZADO]]</f>
        <v>2857.5133000000001</v>
      </c>
    </row>
    <row r="222" spans="1:29" x14ac:dyDescent="0.25">
      <c r="A222">
        <v>602258</v>
      </c>
      <c r="B222" t="s">
        <v>495</v>
      </c>
      <c r="C222" t="s">
        <v>686</v>
      </c>
      <c r="D222" t="s">
        <v>355</v>
      </c>
      <c r="E222" t="s">
        <v>355</v>
      </c>
      <c r="G222" s="6" t="s">
        <v>355</v>
      </c>
      <c r="H222" s="2">
        <v>84000</v>
      </c>
      <c r="I222" t="b">
        <v>0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8.1375000000000003E-2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57.125250000000001</v>
      </c>
      <c r="Q222" s="3">
        <f>+SUMIFS(DETALLE_GD_1[CANTIDAD SOLICITADA],DETALLE_GD_1[CODIGO],PRODUCTOS[[#This Row],[CODIGO]])</f>
        <v>4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4</v>
      </c>
      <c r="T222" s="3">
        <f>+IFERROR(PRODUCTOS[[#This Row],[CANTIDAD RECIBIDA]]/PRODUCTOS[[#This Row],[CANT X MODULO]],"")</f>
        <v>49.155145929339476</v>
      </c>
      <c r="U222" s="3">
        <f>+SUMIFS(DETALLE_GD_1[VALOR TOTAL POR ITEM GD],DETALLE_GD_1[CODIGO],PRODUCTOS[[#This Row],[CODIGO]])</f>
        <v>336000</v>
      </c>
      <c r="V222" s="3">
        <f>+IFERROR(PRODUCTOS[[#This Row],[PRECIO DE COMPRA]]/PRODUCTOS[[#This Row],[CANT. COMPRADA]],"")</f>
        <v>84000</v>
      </c>
      <c r="W222" s="3">
        <f>+IFERROR(PRODUCTOS[[#This Row],[PRECIO COMPRA UNITARIO]]*PRODUCTOS[[#This Row],[PPTO FALTANTE]],"")</f>
        <v>4476192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53.288000000000004</v>
      </c>
      <c r="Z222" s="17">
        <f>+IFERROR(PRODUCTOS[[#This Row],[CANT. COMPRADA]]/PRODUCTOS[[#This Row],[PPTO FALTANTE]],"")</f>
        <v>7.5063804233598555E-2</v>
      </c>
      <c r="AA222" s="3">
        <f>+IFERROR(PRODUCTOS[[#This Row],[PROYECCION COMPRA]]-(PRODUCTOS[[#This Row],[PPTO FALTANTE]]*PRODUCTOS[[#This Row],[PPTO]]),"")</f>
        <v>4476192</v>
      </c>
      <c r="AB222" s="3">
        <f>+_xlfn.XLOOKUP(PRODUCTOS[[#This Row],[CODIGO]],DETALLE_GD_1[CODIGO],DETALLE_GD_1[VALOR PPTO],"",0)</f>
        <v>84000</v>
      </c>
      <c r="AC222" s="3">
        <f>+AB222-PRODUCTOS[[#This Row],[PPTO_ACTUALIZADO]]</f>
        <v>0</v>
      </c>
    </row>
    <row r="223" spans="1:29" x14ac:dyDescent="0.25">
      <c r="A223" t="s">
        <v>94</v>
      </c>
      <c r="B223" t="s">
        <v>95</v>
      </c>
      <c r="C223" t="s">
        <v>598</v>
      </c>
      <c r="D223" t="s">
        <v>244</v>
      </c>
      <c r="E223" t="s">
        <v>409</v>
      </c>
      <c r="F223" s="2">
        <v>3021.2828690000001</v>
      </c>
      <c r="G223" s="6" t="s">
        <v>31</v>
      </c>
      <c r="H223" s="2">
        <v>3021.2828690000006</v>
      </c>
      <c r="I223" t="b">
        <v>1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3.1500000000000004</v>
      </c>
      <c r="M223" s="2">
        <f>+IFERROR(PRODUCTOS[[#This Row],[PPTO]]*PRODUCTOS[[#This Row],[CANT X MODULO]],"")</f>
        <v>9517.0410373500017</v>
      </c>
      <c r="N223" s="2">
        <f>+IFERROR(PRODUCTOS[[#This Row],[PPTO X MODULO]]*32,"")</f>
        <v>304545.31319520005</v>
      </c>
      <c r="O223" s="2">
        <f>+IFERROR(PRODUCTOS[[#This Row],[PPTO X TORRE]]*22,"")</f>
        <v>6699996.890294401</v>
      </c>
      <c r="P223" s="3">
        <f>+IFERROR(PRODUCTOS[[#This Row],[CANT X MODULO]]*702,"")</f>
        <v>2211.3000000000002</v>
      </c>
      <c r="Q223" s="3">
        <f>+SUMIFS(DETALLE_GD_1[CANTIDAD SOLICITADA],DETALLE_GD_1[CODIGO],PRODUCTOS[[#This Row],[CODIGO]])</f>
        <v>152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152</v>
      </c>
      <c r="T223" s="3">
        <f>+IFERROR(PRODUCTOS[[#This Row],[CANTIDAD RECIBIDA]]/PRODUCTOS[[#This Row],[CANT X MODULO]],"")</f>
        <v>48.253968253968246</v>
      </c>
      <c r="U223" s="3">
        <f>+SUMIFS(DETALLE_GD_1[VALOR TOTAL POR ITEM GD],DETALLE_GD_1[CODIGO],PRODUCTOS[[#This Row],[CODIGO]])</f>
        <v>459235</v>
      </c>
      <c r="V223" s="3">
        <f>+IFERROR(PRODUCTOS[[#This Row],[PRECIO DE COMPRA]]/PRODUCTOS[[#This Row],[CANT. COMPRADA]],"")</f>
        <v>3021.2828947368421</v>
      </c>
      <c r="W223" s="3">
        <f>+IFERROR(PRODUCTOS[[#This Row],[PRECIO COMPRA UNITARIO]]*PRODUCTOS[[#This Row],[PPTO FALTANTE]],"")</f>
        <v>6240761.9473684225</v>
      </c>
      <c r="X223" s="7">
        <f>+IFERROR(PRODUCTOS[[#This Row],[PROYECCION COMPRA]]/PRODUCTOS[[#This Row],[PPTO TOTAL]]-1,"")</f>
        <v>-6.8542560607934733E-2</v>
      </c>
      <c r="Y223" s="3">
        <f>+IFERROR((PRODUCTOS[[#This Row],[CANT X MODULO]]*704)-PRODUCTOS[[#This Row],[CANT. COMPRADA]],"")</f>
        <v>2065.6000000000004</v>
      </c>
      <c r="Z223" s="17">
        <f>+IFERROR(PRODUCTOS[[#This Row],[CANT. COMPRADA]]/PRODUCTOS[[#This Row],[PPTO FALTANTE]],"")</f>
        <v>7.3586367157242441E-2</v>
      </c>
      <c r="AA223" s="3">
        <f>+IFERROR(PRODUCTOS[[#This Row],[PROYECCION COMPRA]]-(PRODUCTOS[[#This Row],[PPTO FALTANTE]]*PRODUCTOS[[#This Row],[PPTO]]),"")</f>
        <v>5.3162021562457085E-2</v>
      </c>
      <c r="AB223" s="3">
        <f>+_xlfn.XLOOKUP(PRODUCTOS[[#This Row],[CODIGO]],DETALLE_GD_1[CODIGO],DETALLE_GD_1[VALOR PPTO],"",0)</f>
        <v>3021.2829000000002</v>
      </c>
      <c r="AC223" s="3">
        <f>+AB223-PRODUCTOS[[#This Row],[PPTO_ACTUALIZADO]]</f>
        <v>3.0999999580672011E-5</v>
      </c>
    </row>
    <row r="224" spans="1:29" x14ac:dyDescent="0.25">
      <c r="A224">
        <v>307031</v>
      </c>
      <c r="B224" t="s">
        <v>65</v>
      </c>
      <c r="C224" t="s">
        <v>581</v>
      </c>
      <c r="D224" t="s">
        <v>244</v>
      </c>
      <c r="E224" t="s">
        <v>402</v>
      </c>
      <c r="F224" s="2">
        <v>2699.9986050000002</v>
      </c>
      <c r="G224" s="6" t="s">
        <v>31</v>
      </c>
      <c r="H224" s="2">
        <v>2699.9986050000007</v>
      </c>
      <c r="I224" t="b">
        <v>1</v>
      </c>
      <c r="J224" t="str">
        <f>+_xlfn.XLOOKUP(PRODUCTOS[[#This Row],[CODIGO]],P_CRITICOS[CODIGO],P_CRITICOS[DESC CORTA],"",0)</f>
        <v/>
      </c>
      <c r="K224" t="str">
        <f>+IFERROR(IF(VLOOKUP(PRODUCTOS[[#This Row],[CODIGO]],P_CRITICOS[],3,0)="*","PRODUCTO CRITICO","NO CRITICO"),"NO CRITICO")</f>
        <v>NO CRITICO</v>
      </c>
      <c r="L224" s="15">
        <f>+_xlfn.XLOOKUP(PRODUCTOS[[#This Row],[CODIGO]],BD_MODULO[Artículo],BD_MODULO[CUB_ACTUALIZADA],"",0)</f>
        <v>15.865500000000001</v>
      </c>
      <c r="M224" s="2">
        <f>+IFERROR(PRODUCTOS[[#This Row],[PPTO]]*PRODUCTOS[[#This Row],[CANT X MODULO]],"")</f>
        <v>42836.827867627508</v>
      </c>
      <c r="N224" s="2">
        <f>+IFERROR(PRODUCTOS[[#This Row],[PPTO X MODULO]]*32,"")</f>
        <v>1370778.4917640802</v>
      </c>
      <c r="O224" s="2">
        <f>+IFERROR(PRODUCTOS[[#This Row],[PPTO X TORRE]]*22,"")</f>
        <v>30157126.818809766</v>
      </c>
      <c r="P224" s="3">
        <f>+IFERROR(PRODUCTOS[[#This Row],[CANT X MODULO]]*702,"")</f>
        <v>11137.581</v>
      </c>
      <c r="Q224" s="3">
        <f>+SUMIFS(DETALLE_GD_1[CANTIDAD SOLICITADA],DETALLE_GD_1[CODIGO],PRODUCTOS[[#This Row],[CODIGO]])</f>
        <v>715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715</v>
      </c>
      <c r="T224" s="3">
        <f>+IFERROR(PRODUCTOS[[#This Row],[CANTIDAD RECIBIDA]]/PRODUCTOS[[#This Row],[CANT X MODULO]],"")</f>
        <v>45.066338911474581</v>
      </c>
      <c r="U224" s="3">
        <f>+SUMIFS(DETALLE_GD_1[VALOR TOTAL POR ITEM GD],DETALLE_GD_1[CODIGO],PRODUCTOS[[#This Row],[CODIGO]])</f>
        <v>1930500</v>
      </c>
      <c r="V224" s="3">
        <f>+IFERROR(PRODUCTOS[[#This Row],[PRECIO DE COMPRA]]/PRODUCTOS[[#This Row],[CANT. COMPRADA]],"")</f>
        <v>2700</v>
      </c>
      <c r="W224" s="3">
        <f>+IFERROR(PRODUCTOS[[#This Row],[PRECIO COMPRA UNITARIO]]*PRODUCTOS[[#This Row],[PPTO FALTANTE]],"")</f>
        <v>28226642.399999999</v>
      </c>
      <c r="X224" s="7">
        <f>+IFERROR(PRODUCTOS[[#This Row],[PROYECCION COMPRA]]/PRODUCTOS[[#This Row],[PPTO TOTAL]]-1,"")</f>
        <v>-6.4014202361137307E-2</v>
      </c>
      <c r="Y224" s="3">
        <f>+IFERROR((PRODUCTOS[[#This Row],[CANT X MODULO]]*704)-PRODUCTOS[[#This Row],[CANT. COMPRADA]],"")</f>
        <v>10454.312</v>
      </c>
      <c r="Z224" s="17">
        <f>+IFERROR(PRODUCTOS[[#This Row],[CANT. COMPRADA]]/PRODUCTOS[[#This Row],[PPTO FALTANTE]],"")</f>
        <v>6.8392831589491498E-2</v>
      </c>
      <c r="AA224" s="3">
        <f>+IFERROR(PRODUCTOS[[#This Row],[PROYECCION COMPRA]]-(PRODUCTOS[[#This Row],[PPTO FALTANTE]]*PRODUCTOS[[#This Row],[PPTO]]),"")</f>
        <v>14.583765234798193</v>
      </c>
      <c r="AB224" s="3">
        <f>+_xlfn.XLOOKUP(PRODUCTOS[[#This Row],[CODIGO]],DETALLE_GD_1[CODIGO],DETALLE_GD_1[VALOR PPTO],"",0)</f>
        <v>2699.9985999999999</v>
      </c>
      <c r="AC224" s="3">
        <f>+AB224-PRODUCTOS[[#This Row],[PPTO_ACTUALIZADO]]</f>
        <v>-5.0000007831840776E-6</v>
      </c>
    </row>
    <row r="225" spans="1:29" x14ac:dyDescent="0.25">
      <c r="A225">
        <v>1803045</v>
      </c>
      <c r="B225" t="s">
        <v>337</v>
      </c>
      <c r="C225" t="s">
        <v>529</v>
      </c>
      <c r="D225" t="s">
        <v>244</v>
      </c>
      <c r="E225" t="s">
        <v>408</v>
      </c>
      <c r="F225" s="2">
        <v>52920</v>
      </c>
      <c r="G225" s="6" t="s">
        <v>90</v>
      </c>
      <c r="H225" s="2">
        <v>51872.999999999993</v>
      </c>
      <c r="I225" t="b">
        <v>0</v>
      </c>
      <c r="J225" t="str">
        <f>+_xlfn.XLOOKUP(PRODUCTOS[[#This Row],[CODIGO]],P_CRITICOS[CODIGO],P_CRITICOS[DESC CORTA],"",0)</f>
        <v>PUERTA INTERIOR</v>
      </c>
      <c r="K225" t="str">
        <f>+IFERROR(IF(VLOOKUP(PRODUCTOS[[#This Row],[CODIGO]],P_CRITICOS[],3,0)="*","PRODUCTO CRITICO","NO CRITICO"),"NO CRITICO")</f>
        <v>PRODUCTO CRITICO</v>
      </c>
      <c r="L225" s="15">
        <f>+_xlfn.XLOOKUP(PRODUCTOS[[#This Row],[CODIGO]],BD_MODULO[Artículo],BD_MODULO[CUB_ACTUALIZADA],"",0)</f>
        <v>2.1000000000000005</v>
      </c>
      <c r="M225" s="2">
        <f>+IFERROR(PRODUCTOS[[#This Row],[PPTO]]*PRODUCTOS[[#This Row],[CANT X MODULO]],"")</f>
        <v>111132.00000000003</v>
      </c>
      <c r="N225" s="2">
        <f>+IFERROR(PRODUCTOS[[#This Row],[PPTO X MODULO]]*32,"")</f>
        <v>3556224.0000000009</v>
      </c>
      <c r="O225" s="2">
        <f>+IFERROR(PRODUCTOS[[#This Row],[PPTO X TORRE]]*22,"")</f>
        <v>78236928.000000015</v>
      </c>
      <c r="P225" s="3">
        <f>+IFERROR(PRODUCTOS[[#This Row],[CANT X MODULO]]*702,"")</f>
        <v>1474.2000000000003</v>
      </c>
      <c r="Q225" s="3">
        <f>+SUMIFS(DETALLE_GD_1[CANTIDAD SOLICITADA],DETALLE_GD_1[CODIGO],PRODUCTOS[[#This Row],[CODIGO]])</f>
        <v>94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94</v>
      </c>
      <c r="T225" s="3">
        <f>+IFERROR(PRODUCTOS[[#This Row],[CANTIDAD RECIBIDA]]/PRODUCTOS[[#This Row],[CANT X MODULO]],"")</f>
        <v>44.761904761904752</v>
      </c>
      <c r="U225" s="3">
        <f>+SUMIFS(DETALLE_GD_1[VALOR TOTAL POR ITEM GD],DETALLE_GD_1[CODIGO],PRODUCTOS[[#This Row],[CODIGO]])</f>
        <v>4877286</v>
      </c>
      <c r="V225" s="3">
        <f>+IFERROR(PRODUCTOS[[#This Row],[PRECIO DE COMPRA]]/PRODUCTOS[[#This Row],[CANT. COMPRADA]],"")</f>
        <v>51886.021276595748</v>
      </c>
      <c r="W225" s="3">
        <f>+IFERROR(PRODUCTOS[[#This Row],[PRECIO COMPRA UNITARIO]]*PRODUCTOS[[#This Row],[PPTO FALTANTE]],"")</f>
        <v>71831007.855319172</v>
      </c>
      <c r="X225" s="7">
        <f>+IFERROR(PRODUCTOS[[#This Row],[PROYECCION COMPRA]]/PRODUCTOS[[#This Row],[PPTO TOTAL]]-1,"")</f>
        <v>-8.1878472333178021E-2</v>
      </c>
      <c r="Y225" s="3">
        <f>+IFERROR((PRODUCTOS[[#This Row],[CANT X MODULO]]*704)-PRODUCTOS[[#This Row],[CANT. COMPRADA]],"")</f>
        <v>1384.4000000000003</v>
      </c>
      <c r="Z225" s="17">
        <f>+IFERROR(PRODUCTOS[[#This Row],[CANT. COMPRADA]]/PRODUCTOS[[#This Row],[PPTO FALTANTE]],"")</f>
        <v>6.7899451025715096E-2</v>
      </c>
      <c r="AA225" s="3">
        <f>+IFERROR(PRODUCTOS[[#This Row],[PROYECCION COMPRA]]-(PRODUCTOS[[#This Row],[PPTO FALTANTE]]*PRODUCTOS[[#This Row],[PPTO]]),"")</f>
        <v>-1431440.1446808428</v>
      </c>
      <c r="AB225" s="3">
        <f>+_xlfn.XLOOKUP(PRODUCTOS[[#This Row],[CODIGO]],DETALLE_GD_1[CODIGO],DETALLE_GD_1[VALOR PPTO],"",0)</f>
        <v>51873</v>
      </c>
      <c r="AC225" s="3">
        <f>+AB225-PRODUCTOS[[#This Row],[PPTO_ACTUALIZADO]]</f>
        <v>0</v>
      </c>
    </row>
    <row r="226" spans="1:29" x14ac:dyDescent="0.25">
      <c r="A226">
        <v>2508987</v>
      </c>
      <c r="B226" t="s">
        <v>305</v>
      </c>
      <c r="C226" t="s">
        <v>640</v>
      </c>
      <c r="D226" t="s">
        <v>244</v>
      </c>
      <c r="E226" t="s">
        <v>408</v>
      </c>
      <c r="F226" s="2">
        <v>145847</v>
      </c>
      <c r="G226" s="6" t="s">
        <v>90</v>
      </c>
      <c r="H226" s="2">
        <v>145847</v>
      </c>
      <c r="I226" t="b">
        <v>1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0.52500000000000002</v>
      </c>
      <c r="M226" s="2">
        <f>+IFERROR(PRODUCTOS[[#This Row],[PPTO]]*PRODUCTOS[[#This Row],[CANT X MODULO]],"")</f>
        <v>76569.675000000003</v>
      </c>
      <c r="N226" s="2">
        <f>+IFERROR(PRODUCTOS[[#This Row],[PPTO X MODULO]]*32,"")</f>
        <v>2450229.6</v>
      </c>
      <c r="O226" s="2">
        <f>+IFERROR(PRODUCTOS[[#This Row],[PPTO X TORRE]]*22,"")</f>
        <v>53905051.200000003</v>
      </c>
      <c r="P226" s="3">
        <f>+IFERROR(PRODUCTOS[[#This Row],[CANT X MODULO]]*702,"")</f>
        <v>368.55</v>
      </c>
      <c r="Q226" s="3">
        <f>+SUMIFS(DETALLE_GD_1[CANTIDAD SOLICITADA],DETALLE_GD_1[CODIGO],PRODUCTOS[[#This Row],[CODIGO]])</f>
        <v>22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22</v>
      </c>
      <c r="T226" s="3">
        <f>+IFERROR(PRODUCTOS[[#This Row],[CANTIDAD RECIBIDA]]/PRODUCTOS[[#This Row],[CANT X MODULO]],"")</f>
        <v>41.904761904761905</v>
      </c>
      <c r="U226" s="3">
        <f>+SUMIFS(DETALLE_GD_1[VALOR TOTAL POR ITEM GD],DETALLE_GD_1[CODIGO],PRODUCTOS[[#This Row],[CODIGO]])</f>
        <v>3142325</v>
      </c>
      <c r="V226" s="3">
        <f>+IFERROR(PRODUCTOS[[#This Row],[PRECIO DE COMPRA]]/PRODUCTOS[[#This Row],[CANT. COMPRADA]],"")</f>
        <v>142832.95454545456</v>
      </c>
      <c r="W226" s="3">
        <f>+IFERROR(PRODUCTOS[[#This Row],[PRECIO COMPRA UNITARIO]]*PRODUCTOS[[#This Row],[PPTO FALTANTE]],"")</f>
        <v>49648735.000000007</v>
      </c>
      <c r="X226" s="7">
        <f>+IFERROR(PRODUCTOS[[#This Row],[PROYECCION COMPRA]]/PRODUCTOS[[#This Row],[PPTO TOTAL]]-1,"")</f>
        <v>-7.8959505746652447E-2</v>
      </c>
      <c r="Y226" s="3">
        <f>+IFERROR((PRODUCTOS[[#This Row],[CANT X MODULO]]*704)-PRODUCTOS[[#This Row],[CANT. COMPRADA]],"")</f>
        <v>347.6</v>
      </c>
      <c r="Z226" s="17">
        <f>+IFERROR(PRODUCTOS[[#This Row],[CANT. COMPRADA]]/PRODUCTOS[[#This Row],[PPTO FALTANTE]],"")</f>
        <v>6.3291139240506319E-2</v>
      </c>
      <c r="AA226" s="3">
        <f>+IFERROR(PRODUCTOS[[#This Row],[PROYECCION COMPRA]]-(PRODUCTOS[[#This Row],[PPTO FALTANTE]]*PRODUCTOS[[#This Row],[PPTO]]),"")</f>
        <v>-1047682.1999999955</v>
      </c>
      <c r="AB226" s="3">
        <f>+_xlfn.XLOOKUP(PRODUCTOS[[#This Row],[CODIGO]],DETALLE_GD_1[CODIGO],DETALLE_GD_1[VALOR PPTO],"",0)</f>
        <v>145847</v>
      </c>
      <c r="AC226" s="3">
        <f>+AB226-PRODUCTOS[[#This Row],[PPTO_ACTUALIZADO]]</f>
        <v>0</v>
      </c>
    </row>
    <row r="227" spans="1:29" x14ac:dyDescent="0.25">
      <c r="A227">
        <v>5316509</v>
      </c>
      <c r="B227" t="s">
        <v>56</v>
      </c>
      <c r="C227" t="s">
        <v>576</v>
      </c>
      <c r="D227" t="s">
        <v>258</v>
      </c>
      <c r="E227" t="s">
        <v>405</v>
      </c>
      <c r="F227" s="2">
        <v>15433.333333</v>
      </c>
      <c r="G227" s="6" t="s">
        <v>31</v>
      </c>
      <c r="H227" s="2">
        <v>15433.333333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0.52500000000000002</v>
      </c>
      <c r="M227" s="2">
        <f>+IFERROR(PRODUCTOS[[#This Row],[PPTO]]*PRODUCTOS[[#This Row],[CANT X MODULO]],"")</f>
        <v>8102.4999998250005</v>
      </c>
      <c r="N227" s="2">
        <f>+IFERROR(PRODUCTOS[[#This Row],[PPTO X MODULO]]*32,"")</f>
        <v>259279.99999440002</v>
      </c>
      <c r="O227" s="2">
        <f>+IFERROR(PRODUCTOS[[#This Row],[PPTO X TORRE]]*22,"")</f>
        <v>5704159.9998768</v>
      </c>
      <c r="P227" s="3">
        <f>+IFERROR(PRODUCTOS[[#This Row],[CANT X MODULO]]*702,"")</f>
        <v>368.55</v>
      </c>
      <c r="Q227" s="3">
        <f>+SUMIFS(DETALLE_GD_1[CANTIDAD SOLICITADA],DETALLE_GD_1[CODIGO],PRODUCTOS[[#This Row],[CODIGO]])</f>
        <v>21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21</v>
      </c>
      <c r="T227" s="3">
        <f>+IFERROR(PRODUCTOS[[#This Row],[CANTIDAD RECIBIDA]]/PRODUCTOS[[#This Row],[CANT X MODULO]],"")</f>
        <v>40</v>
      </c>
      <c r="U227" s="3">
        <f>+SUMIFS(DETALLE_GD_1[VALOR TOTAL POR ITEM GD],DETALLE_GD_1[CODIGO],PRODUCTOS[[#This Row],[CODIGO]])</f>
        <v>306520</v>
      </c>
      <c r="V227" s="3">
        <f>+IFERROR(PRODUCTOS[[#This Row],[PRECIO DE COMPRA]]/PRODUCTOS[[#This Row],[CANT. COMPRADA]],"")</f>
        <v>14596.190476190477</v>
      </c>
      <c r="W227" s="3">
        <f>+IFERROR(PRODUCTOS[[#This Row],[PRECIO COMPRA UNITARIO]]*PRODUCTOS[[#This Row],[PPTO FALTANTE]],"")</f>
        <v>5088232.0000000009</v>
      </c>
      <c r="X227" s="7">
        <f>+IFERROR(PRODUCTOS[[#This Row],[PROYECCION COMPRA]]/PRODUCTOS[[#This Row],[PPTO TOTAL]]-1,"")</f>
        <v>-0.10797873830504434</v>
      </c>
      <c r="Y227" s="3">
        <f>+IFERROR((PRODUCTOS[[#This Row],[CANT X MODULO]]*704)-PRODUCTOS[[#This Row],[CANT. COMPRADA]],"")</f>
        <v>348.6</v>
      </c>
      <c r="Z227" s="17">
        <f>+IFERROR(PRODUCTOS[[#This Row],[CANT. COMPRADA]]/PRODUCTOS[[#This Row],[PPTO FALTANTE]],"")</f>
        <v>6.0240963855421679E-2</v>
      </c>
      <c r="AA227" s="3">
        <f>+IFERROR(PRODUCTOS[[#This Row],[PROYECCION COMPRA]]-(PRODUCTOS[[#This Row],[PPTO FALTANTE]]*PRODUCTOS[[#This Row],[PPTO]]),"")</f>
        <v>-291827.99988379981</v>
      </c>
      <c r="AB227" s="3">
        <f>+_xlfn.XLOOKUP(PRODUCTOS[[#This Row],[CODIGO]],DETALLE_GD_1[CODIGO],DETALLE_GD_1[VALOR PPTO],"",0)</f>
        <v>15433.3333</v>
      </c>
      <c r="AC227" s="3">
        <f>+AB227-PRODUCTOS[[#This Row],[PPTO_ACTUALIZADO]]</f>
        <v>-3.3000000257743523E-5</v>
      </c>
    </row>
    <row r="228" spans="1:29" x14ac:dyDescent="0.25">
      <c r="A228">
        <v>1405039</v>
      </c>
      <c r="B228" t="s">
        <v>314</v>
      </c>
      <c r="C228" t="s">
        <v>669</v>
      </c>
      <c r="D228" t="s">
        <v>244</v>
      </c>
      <c r="E228" t="s">
        <v>408</v>
      </c>
      <c r="F228" s="2">
        <v>17998</v>
      </c>
      <c r="G228" s="6" t="s">
        <v>31</v>
      </c>
      <c r="H228" s="2">
        <v>7596</v>
      </c>
      <c r="I228" t="b">
        <v>0</v>
      </c>
      <c r="J228" t="str">
        <f>+_xlfn.XLOOKUP(PRODUCTOS[[#This Row],[CODIGO]],P_CRITICOS[CODIGO],P_CRITICOS[DESC CORTA],"",0)</f>
        <v/>
      </c>
      <c r="K228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1.5750000000000002</v>
      </c>
      <c r="M228" s="2">
        <f>+IFERROR(PRODUCTOS[[#This Row],[PPTO]]*PRODUCTOS[[#This Row],[CANT X MODULO]],"")</f>
        <v>28346.850000000002</v>
      </c>
      <c r="N228" s="2">
        <f>+IFERROR(PRODUCTOS[[#This Row],[PPTO X MODULO]]*32,"")</f>
        <v>907099.20000000007</v>
      </c>
      <c r="O228" s="2">
        <f>+IFERROR(PRODUCTOS[[#This Row],[PPTO X TORRE]]*22,"")</f>
        <v>19956182.400000002</v>
      </c>
      <c r="P228" s="3">
        <f>+IFERROR(PRODUCTOS[[#This Row],[CANT X MODULO]]*702,"")</f>
        <v>1105.6500000000001</v>
      </c>
      <c r="Q228" s="3">
        <f>+SUMIFS(DETALLE_GD_1[CANTIDAD SOLICITADA],DETALLE_GD_1[CODIGO],PRODUCTOS[[#This Row],[CODIGO]])</f>
        <v>63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63</v>
      </c>
      <c r="T228" s="3">
        <f>+IFERROR(PRODUCTOS[[#This Row],[CANTIDAD RECIBIDA]]/PRODUCTOS[[#This Row],[CANT X MODULO]],"")</f>
        <v>39.999999999999993</v>
      </c>
      <c r="U228" s="3">
        <f>+SUMIFS(DETALLE_GD_1[VALOR TOTAL POR ITEM GD],DETALLE_GD_1[CODIGO],PRODUCTOS[[#This Row],[CODIGO]])</f>
        <v>480541</v>
      </c>
      <c r="V228" s="3">
        <f>+IFERROR(PRODUCTOS[[#This Row],[PRECIO DE COMPRA]]/PRODUCTOS[[#This Row],[CANT. COMPRADA]],"")</f>
        <v>7627.6349206349205</v>
      </c>
      <c r="W228" s="3">
        <f>+IFERROR(PRODUCTOS[[#This Row],[PRECIO COMPRA UNITARIO]]*PRODUCTOS[[#This Row],[PPTO FALTANTE]],"")</f>
        <v>7976980.6000000015</v>
      </c>
      <c r="X228" s="7">
        <f>+IFERROR(PRODUCTOS[[#This Row],[PROYECCION COMPRA]]/PRODUCTOS[[#This Row],[PPTO TOTAL]]-1,"")</f>
        <v>-0.60027522097613217</v>
      </c>
      <c r="Y228" s="3">
        <f>+IFERROR((PRODUCTOS[[#This Row],[CANT X MODULO]]*704)-PRODUCTOS[[#This Row],[CANT. COMPRADA]],"")</f>
        <v>1045.8000000000002</v>
      </c>
      <c r="Z228" s="17">
        <f>+IFERROR(PRODUCTOS[[#This Row],[CANT. COMPRADA]]/PRODUCTOS[[#This Row],[PPTO FALTANTE]],"")</f>
        <v>6.0240963855421679E-2</v>
      </c>
      <c r="AA228" s="3">
        <f>+IFERROR(PRODUCTOS[[#This Row],[PROYECCION COMPRA]]-(PRODUCTOS[[#This Row],[PPTO FALTANTE]]*PRODUCTOS[[#This Row],[PPTO]]),"")</f>
        <v>-10845327.800000001</v>
      </c>
      <c r="AB228" s="3">
        <f>+_xlfn.XLOOKUP(PRODUCTOS[[#This Row],[CODIGO]],DETALLE_GD_1[CODIGO],DETALLE_GD_1[VALOR PPTO],"",0)</f>
        <v>7596</v>
      </c>
      <c r="AC228" s="3">
        <f>+AB228-PRODUCTOS[[#This Row],[PPTO_ACTUALIZADO]]</f>
        <v>0</v>
      </c>
    </row>
    <row r="229" spans="1:29" x14ac:dyDescent="0.25">
      <c r="A229">
        <v>407307</v>
      </c>
      <c r="B229" t="s">
        <v>163</v>
      </c>
      <c r="C229">
        <v>0</v>
      </c>
      <c r="D229" t="s">
        <v>240</v>
      </c>
      <c r="E229" t="s">
        <v>399</v>
      </c>
      <c r="F229" s="2">
        <v>69.472774999999999</v>
      </c>
      <c r="G229" s="6" t="s">
        <v>31</v>
      </c>
      <c r="H229" s="2">
        <v>0</v>
      </c>
      <c r="I229" t="b">
        <v>0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65.625</v>
      </c>
      <c r="M229" s="2">
        <f>+IFERROR(PRODUCTOS[[#This Row],[PPTO]]*PRODUCTOS[[#This Row],[CANT X MODULO]],"")</f>
        <v>4559.1508593749995</v>
      </c>
      <c r="N229" s="2">
        <f>+IFERROR(PRODUCTOS[[#This Row],[PPTO X MODULO]]*32,"")</f>
        <v>145892.82749999998</v>
      </c>
      <c r="O229" s="2">
        <f>+IFERROR(PRODUCTOS[[#This Row],[PPTO X TORRE]]*22,"")</f>
        <v>3209642.2049999996</v>
      </c>
      <c r="P229" s="3">
        <f>+IFERROR(PRODUCTOS[[#This Row],[CANT X MODULO]]*702,"")</f>
        <v>46068.75</v>
      </c>
      <c r="Q229" s="3">
        <f>+SUMIFS(DETALLE_GD_1[CANTIDAD SOLICITADA],DETALLE_GD_1[CODIGO],PRODUCTOS[[#This Row],[CODIGO]])</f>
        <v>2620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2620</v>
      </c>
      <c r="T229" s="3">
        <f>+IFERROR(PRODUCTOS[[#This Row],[CANTIDAD RECIBIDA]]/PRODUCTOS[[#This Row],[CANT X MODULO]],"")</f>
        <v>39.923809523809524</v>
      </c>
      <c r="U229" s="3">
        <f>+SUMIFS(DETALLE_GD_1[VALOR TOTAL POR ITEM GD],DETALLE_GD_1[CODIGO],PRODUCTOS[[#This Row],[CODIGO]])</f>
        <v>189527</v>
      </c>
      <c r="V229" s="3">
        <f>+IFERROR(PRODUCTOS[[#This Row],[PRECIO DE COMPRA]]/PRODUCTOS[[#This Row],[CANT. COMPRADA]],"")</f>
        <v>72.338549618320613</v>
      </c>
      <c r="W229" s="3">
        <f>+IFERROR(PRODUCTOS[[#This Row],[PRECIO COMPRA UNITARIO]]*PRODUCTOS[[#This Row],[PPTO FALTANTE]],"")</f>
        <v>3152513.9923664122</v>
      </c>
      <c r="X229" s="7">
        <f>+IFERROR(PRODUCTOS[[#This Row],[PROYECCION COMPRA]]/PRODUCTOS[[#This Row],[PPTO TOTAL]]-1,"")</f>
        <v>-1.7798934892055196E-2</v>
      </c>
      <c r="Y229" s="3">
        <f>+IFERROR((PRODUCTOS[[#This Row],[CANT X MODULO]]*704)-PRODUCTOS[[#This Row],[CANT. COMPRADA]],"")</f>
        <v>43580</v>
      </c>
      <c r="Z229" s="17">
        <f>+IFERROR(PRODUCTOS[[#This Row],[CANT. COMPRADA]]/PRODUCTOS[[#This Row],[PPTO FALTANTE]],"")</f>
        <v>6.0119320789352913E-2</v>
      </c>
      <c r="AA229" s="3">
        <f>+IFERROR(PRODUCTOS[[#This Row],[PROYECCION COMPRA]]-(PRODUCTOS[[#This Row],[PPTO FALTANTE]]*PRODUCTOS[[#This Row],[PPTO]]),"")</f>
        <v>124890.45786641212</v>
      </c>
      <c r="AB229" s="3">
        <f>+_xlfn.XLOOKUP(PRODUCTOS[[#This Row],[CODIGO]],DETALLE_GD_1[CODIGO],DETALLE_GD_1[VALOR PPTO],"",0)</f>
        <v>69.472800000000007</v>
      </c>
      <c r="AC229" s="3">
        <f>+AB229-PRODUCTOS[[#This Row],[PPTO_ACTUALIZADO]]</f>
        <v>69.472800000000007</v>
      </c>
    </row>
    <row r="230" spans="1:29" x14ac:dyDescent="0.25">
      <c r="A230">
        <v>412249</v>
      </c>
      <c r="B230" t="s">
        <v>33</v>
      </c>
      <c r="C230">
        <v>0</v>
      </c>
      <c r="D230" t="s">
        <v>240</v>
      </c>
      <c r="E230" t="s">
        <v>399</v>
      </c>
      <c r="F230" s="2">
        <v>1719.7190700000001</v>
      </c>
      <c r="G230" s="6" t="s">
        <v>355</v>
      </c>
      <c r="H230" s="2">
        <v>1719.7190700000001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22.05</v>
      </c>
      <c r="M230" s="2">
        <f>+IFERROR(PRODUCTOS[[#This Row],[PPTO]]*PRODUCTOS[[#This Row],[CANT X MODULO]],"")</f>
        <v>37919.805493500004</v>
      </c>
      <c r="N230" s="2">
        <f>+IFERROR(PRODUCTOS[[#This Row],[PPTO X MODULO]]*32,"")</f>
        <v>1213433.7757920001</v>
      </c>
      <c r="O230" s="2">
        <f>+IFERROR(PRODUCTOS[[#This Row],[PPTO X TORRE]]*22,"")</f>
        <v>26695543.067424003</v>
      </c>
      <c r="P230" s="3">
        <f>+IFERROR(PRODUCTOS[[#This Row],[CANT X MODULO]]*702,"")</f>
        <v>15479.1</v>
      </c>
      <c r="Q230" s="3">
        <f>+SUMIFS(DETALLE_GD_1[CANTIDAD SOLICITADA],DETALLE_GD_1[CODIGO],PRODUCTOS[[#This Row],[CODIGO]])</f>
        <v>772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772</v>
      </c>
      <c r="T230" s="3">
        <f>+IFERROR(PRODUCTOS[[#This Row],[CANTIDAD RECIBIDA]]/PRODUCTOS[[#This Row],[CANT X MODULO]],"")</f>
        <v>35.011337868480723</v>
      </c>
      <c r="U230" s="3">
        <f>+SUMIFS(DETALLE_GD_1[VALOR TOTAL POR ITEM GD],DETALLE_GD_1[CODIGO],PRODUCTOS[[#This Row],[CODIGO]])</f>
        <v>1327730</v>
      </c>
      <c r="V230" s="3">
        <f>+IFERROR(PRODUCTOS[[#This Row],[PRECIO DE COMPRA]]/PRODUCTOS[[#This Row],[CANT. COMPRADA]],"")</f>
        <v>1719.8575129533679</v>
      </c>
      <c r="W230" s="3">
        <f>+IFERROR(PRODUCTOS[[#This Row],[PRECIO COMPRA UNITARIO]]*PRODUCTOS[[#This Row],[PPTO FALTANTE]],"")</f>
        <v>25369962.14507772</v>
      </c>
      <c r="X230" s="7">
        <f>+IFERROR(PRODUCTOS[[#This Row],[PROYECCION COMPRA]]/PRODUCTOS[[#This Row],[PPTO TOTAL]]-1,"")</f>
        <v>-4.9655514368009301E-2</v>
      </c>
      <c r="Y230" s="3">
        <f>+IFERROR((PRODUCTOS[[#This Row],[CANT X MODULO]]*704)-PRODUCTOS[[#This Row],[CANT. COMPRADA]],"")</f>
        <v>14751.2</v>
      </c>
      <c r="Z230" s="17">
        <f>+IFERROR(PRODUCTOS[[#This Row],[CANT. COMPRADA]]/PRODUCTOS[[#This Row],[PPTO FALTANTE]],"")</f>
        <v>5.2334725310483214E-2</v>
      </c>
      <c r="AA230" s="3">
        <f>+IFERROR(PRODUCTOS[[#This Row],[PROYECCION COMPRA]]-(PRODUCTOS[[#This Row],[PPTO FALTANTE]]*PRODUCTOS[[#This Row],[PPTO]]),"")</f>
        <v>2042.1996937170625</v>
      </c>
      <c r="AB230" s="3">
        <f>+_xlfn.XLOOKUP(PRODUCTOS[[#This Row],[CODIGO]],DETALLE_GD_1[CODIGO],DETALLE_GD_1[VALOR PPTO],"",0)</f>
        <v>1719.7191</v>
      </c>
      <c r="AC230" s="3">
        <f>+AB230-PRODUCTOS[[#This Row],[PPTO_ACTUALIZADO]]</f>
        <v>2.9999999924257281E-5</v>
      </c>
    </row>
    <row r="231" spans="1:29" x14ac:dyDescent="0.25">
      <c r="A231">
        <v>1802164</v>
      </c>
      <c r="B231" t="s">
        <v>306</v>
      </c>
      <c r="C231">
        <v>0</v>
      </c>
      <c r="D231" t="s">
        <v>244</v>
      </c>
      <c r="E231">
        <v>0</v>
      </c>
      <c r="F231" s="2">
        <v>138041</v>
      </c>
      <c r="G231" s="6" t="s">
        <v>31</v>
      </c>
      <c r="H231" s="2">
        <v>138041</v>
      </c>
      <c r="I231" t="b">
        <v>1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72471.525000000009</v>
      </c>
      <c r="N231" s="2">
        <f>+IFERROR(PRODUCTOS[[#This Row],[PPTO X MODULO]]*32,"")</f>
        <v>2319088.8000000003</v>
      </c>
      <c r="O231" s="2">
        <f>+IFERROR(PRODUCTOS[[#This Row],[PPTO X TORRE]]*22,"")</f>
        <v>51019953.600000009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17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17</v>
      </c>
      <c r="T231" s="3">
        <f>+IFERROR(PRODUCTOS[[#This Row],[CANTIDAD RECIBIDA]]/PRODUCTOS[[#This Row],[CANT X MODULO]],"")</f>
        <v>32.38095238095238</v>
      </c>
      <c r="U231" s="3">
        <f>+SUMIFS(DETALLE_GD_1[VALOR TOTAL POR ITEM GD],DETALLE_GD_1[CODIGO],PRODUCTOS[[#This Row],[CODIGO]])</f>
        <v>2346697</v>
      </c>
      <c r="V231" s="3">
        <f>+IFERROR(PRODUCTOS[[#This Row],[PRECIO DE COMPRA]]/PRODUCTOS[[#This Row],[CANT. COMPRADA]],"")</f>
        <v>138041</v>
      </c>
      <c r="W231" s="3">
        <f>+IFERROR(PRODUCTOS[[#This Row],[PRECIO COMPRA UNITARIO]]*PRODUCTOS[[#This Row],[PPTO FALTANTE]],"")</f>
        <v>48673256.600000001</v>
      </c>
      <c r="X231" s="7">
        <f>+IFERROR(PRODUCTOS[[#This Row],[PROYECCION COMPRA]]/PRODUCTOS[[#This Row],[PPTO TOTAL]]-1,"")</f>
        <v>-4.5995670995671145E-2</v>
      </c>
      <c r="Y231" s="3">
        <f>+IFERROR((PRODUCTOS[[#This Row],[CANT X MODULO]]*704)-PRODUCTOS[[#This Row],[CANT. COMPRADA]],"")</f>
        <v>352.6</v>
      </c>
      <c r="Z231" s="17">
        <f>+IFERROR(PRODUCTOS[[#This Row],[CANT. COMPRADA]]/PRODUCTOS[[#This Row],[PPTO FALTANTE]],"")</f>
        <v>4.821327283040272E-2</v>
      </c>
      <c r="AA231" s="3">
        <f>+IFERROR(PRODUCTOS[[#This Row],[PROYECCION COMPRA]]-(PRODUCTOS[[#This Row],[PPTO FALTANTE]]*PRODUCTOS[[#This Row],[PPTO]]),"")</f>
        <v>0</v>
      </c>
      <c r="AB231" s="3">
        <f>+_xlfn.XLOOKUP(PRODUCTOS[[#This Row],[CODIGO]],DETALLE_GD_1[CODIGO],DETALLE_GD_1[VALOR PPTO],"",0)</f>
        <v>138041</v>
      </c>
      <c r="AC231" s="3">
        <f>+AB231-PRODUCTOS[[#This Row],[PPTO_ACTUALIZADO]]</f>
        <v>0</v>
      </c>
    </row>
    <row r="232" spans="1:29" x14ac:dyDescent="0.25">
      <c r="A232">
        <v>2508169</v>
      </c>
      <c r="B232" t="s">
        <v>307</v>
      </c>
      <c r="C232">
        <v>0</v>
      </c>
      <c r="D232" t="s">
        <v>244</v>
      </c>
      <c r="E232">
        <v>0</v>
      </c>
      <c r="F232" s="2">
        <v>13952</v>
      </c>
      <c r="G232" s="6" t="s">
        <v>31</v>
      </c>
      <c r="H232" s="2">
        <v>13952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0.52500000000000002</v>
      </c>
      <c r="M232" s="2">
        <f>+IFERROR(PRODUCTOS[[#This Row],[PPTO]]*PRODUCTOS[[#This Row],[CANT X MODULO]],"")</f>
        <v>7324.8</v>
      </c>
      <c r="N232" s="2">
        <f>+IFERROR(PRODUCTOS[[#This Row],[PPTO X MODULO]]*32,"")</f>
        <v>234393.60000000001</v>
      </c>
      <c r="O232" s="2">
        <f>+IFERROR(PRODUCTOS[[#This Row],[PPTO X TORRE]]*22,"")</f>
        <v>5156659.2000000002</v>
      </c>
      <c r="P232" s="3">
        <f>+IFERROR(PRODUCTOS[[#This Row],[CANT X MODULO]]*702,"")</f>
        <v>368.55</v>
      </c>
      <c r="Q232" s="3">
        <f>+SUMIFS(DETALLE_GD_1[CANTIDAD SOLICITADA],DETALLE_GD_1[CODIGO],PRODUCTOS[[#This Row],[CODIGO]])</f>
        <v>17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17</v>
      </c>
      <c r="T232" s="3">
        <f>+IFERROR(PRODUCTOS[[#This Row],[CANTIDAD RECIBIDA]]/PRODUCTOS[[#This Row],[CANT X MODULO]],"")</f>
        <v>32.38095238095238</v>
      </c>
      <c r="U232" s="3">
        <f>+SUMIFS(DETALLE_GD_1[VALOR TOTAL POR ITEM GD],DETALLE_GD_1[CODIGO],PRODUCTOS[[#This Row],[CODIGO]])</f>
        <v>237184</v>
      </c>
      <c r="V232" s="3">
        <f>+IFERROR(PRODUCTOS[[#This Row],[PRECIO DE COMPRA]]/PRODUCTOS[[#This Row],[CANT. COMPRADA]],"")</f>
        <v>13952</v>
      </c>
      <c r="W232" s="3">
        <f>+IFERROR(PRODUCTOS[[#This Row],[PRECIO COMPRA UNITARIO]]*PRODUCTOS[[#This Row],[PPTO FALTANTE]],"")</f>
        <v>4919475.2</v>
      </c>
      <c r="X232" s="7">
        <f>+IFERROR(PRODUCTOS[[#This Row],[PROYECCION COMPRA]]/PRODUCTOS[[#This Row],[PPTO TOTAL]]-1,"")</f>
        <v>-4.5995670995671034E-2</v>
      </c>
      <c r="Y232" s="3">
        <f>+IFERROR((PRODUCTOS[[#This Row],[CANT X MODULO]]*704)-PRODUCTOS[[#This Row],[CANT. COMPRADA]],"")</f>
        <v>352.6</v>
      </c>
      <c r="Z232" s="17">
        <f>+IFERROR(PRODUCTOS[[#This Row],[CANT. COMPRADA]]/PRODUCTOS[[#This Row],[PPTO FALTANTE]],"")</f>
        <v>4.821327283040272E-2</v>
      </c>
      <c r="AA232" s="3">
        <f>+IFERROR(PRODUCTOS[[#This Row],[PROYECCION COMPRA]]-(PRODUCTOS[[#This Row],[PPTO FALTANTE]]*PRODUCTOS[[#This Row],[PPTO]]),"")</f>
        <v>0</v>
      </c>
      <c r="AB232" s="3">
        <f>+_xlfn.XLOOKUP(PRODUCTOS[[#This Row],[CODIGO]],DETALLE_GD_1[CODIGO],DETALLE_GD_1[VALOR PPTO],"",0)</f>
        <v>13952</v>
      </c>
      <c r="AC232" s="3">
        <f>+AB232-PRODUCTOS[[#This Row],[PPTO_ACTUALIZADO]]</f>
        <v>0</v>
      </c>
    </row>
    <row r="233" spans="1:29" x14ac:dyDescent="0.25">
      <c r="A233">
        <v>404793</v>
      </c>
      <c r="B233" t="s">
        <v>481</v>
      </c>
      <c r="C233" t="s">
        <v>677</v>
      </c>
      <c r="D233" t="s">
        <v>355</v>
      </c>
      <c r="E233" t="s">
        <v>355</v>
      </c>
      <c r="G233" s="6" t="s">
        <v>355</v>
      </c>
      <c r="H233" s="2">
        <v>3400</v>
      </c>
      <c r="I233" t="b">
        <v>0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0.52500000000000002</v>
      </c>
      <c r="M233" s="2">
        <f>+IFERROR(PRODUCTOS[[#This Row],[PPTO]]*PRODUCTOS[[#This Row],[CANT X MODULO]],"")</f>
        <v>0</v>
      </c>
      <c r="N233" s="2">
        <f>+IFERROR(PRODUCTOS[[#This Row],[PPTO X MODULO]]*32,"")</f>
        <v>0</v>
      </c>
      <c r="O233" s="2">
        <f>+IFERROR(PRODUCTOS[[#This Row],[PPTO X TORRE]]*22,"")</f>
        <v>0</v>
      </c>
      <c r="P233" s="3">
        <f>+IFERROR(PRODUCTOS[[#This Row],[CANT X MODULO]]*702,"")</f>
        <v>368.55</v>
      </c>
      <c r="Q233" s="3">
        <f>+SUMIFS(DETALLE_GD_1[CANTIDAD SOLICITADA],DETALLE_GD_1[CODIGO],PRODUCTOS[[#This Row],[CODIGO]])</f>
        <v>17</v>
      </c>
      <c r="R233" s="3">
        <f>+SUMIFS(DETALLE_GD_1[DEVOLUCIÓN],DETALLE_GD_1[CODIGO],PRODUCTOS[[#This Row],[CODIGO]])</f>
        <v>0</v>
      </c>
      <c r="S233" s="3">
        <f>+PRODUCTOS[[#This Row],[CANT. COMPRADA]]-PRODUCTOS[[#This Row],[DEVOLUCIONES]]</f>
        <v>17</v>
      </c>
      <c r="T233" s="3">
        <f>+IFERROR(PRODUCTOS[[#This Row],[CANTIDAD RECIBIDA]]/PRODUCTOS[[#This Row],[CANT X MODULO]],"")</f>
        <v>32.38095238095238</v>
      </c>
      <c r="U233" s="3">
        <f>+SUMIFS(DETALLE_GD_1[VALOR TOTAL POR ITEM GD],DETALLE_GD_1[CODIGO],PRODUCTOS[[#This Row],[CODIGO]])</f>
        <v>57800</v>
      </c>
      <c r="V233" s="3">
        <f>+IFERROR(PRODUCTOS[[#This Row],[PRECIO DE COMPRA]]/PRODUCTOS[[#This Row],[CANT. COMPRADA]],"")</f>
        <v>3400</v>
      </c>
      <c r="W233" s="3">
        <f>+IFERROR(PRODUCTOS[[#This Row],[PRECIO COMPRA UNITARIO]]*PRODUCTOS[[#This Row],[PPTO FALTANTE]],"")</f>
        <v>1198840</v>
      </c>
      <c r="X233" s="7" t="str">
        <f>+IFERROR(PRODUCTOS[[#This Row],[PROYECCION COMPRA]]/PRODUCTOS[[#This Row],[PPTO TOTAL]]-1,"")</f>
        <v/>
      </c>
      <c r="Y233" s="3">
        <f>+IFERROR((PRODUCTOS[[#This Row],[CANT X MODULO]]*704)-PRODUCTOS[[#This Row],[CANT. COMPRADA]],"")</f>
        <v>352.6</v>
      </c>
      <c r="Z233" s="17">
        <f>+IFERROR(PRODUCTOS[[#This Row],[CANT. COMPRADA]]/PRODUCTOS[[#This Row],[PPTO FALTANTE]],"")</f>
        <v>4.821327283040272E-2</v>
      </c>
      <c r="AA233" s="3">
        <f>+IFERROR(PRODUCTOS[[#This Row],[PROYECCION COMPRA]]-(PRODUCTOS[[#This Row],[PPTO FALTANTE]]*PRODUCTOS[[#This Row],[PPTO]]),"")</f>
        <v>1198840</v>
      </c>
      <c r="AB233" s="3">
        <f>+_xlfn.XLOOKUP(PRODUCTOS[[#This Row],[CODIGO]],DETALLE_GD_1[CODIGO],DETALLE_GD_1[VALOR PPTO],"",0)</f>
        <v>13713.2695</v>
      </c>
      <c r="AC233" s="3">
        <f>+AB233-PRODUCTOS[[#This Row],[PPTO_ACTUALIZADO]]</f>
        <v>10313.2695</v>
      </c>
    </row>
    <row r="234" spans="1:29" x14ac:dyDescent="0.25">
      <c r="A234">
        <v>404793</v>
      </c>
      <c r="B234" t="s">
        <v>481</v>
      </c>
      <c r="C234" t="s">
        <v>677</v>
      </c>
      <c r="D234" t="s">
        <v>355</v>
      </c>
      <c r="E234" t="s">
        <v>355</v>
      </c>
      <c r="G234" s="6" t="s">
        <v>355</v>
      </c>
      <c r="H234" s="2">
        <v>3400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0.52500000000000002</v>
      </c>
      <c r="M234" s="2">
        <f>+IFERROR(PRODUCTOS[[#This Row],[PPTO]]*PRODUCTOS[[#This Row],[CANT X MODULO]],"")</f>
        <v>0</v>
      </c>
      <c r="N234" s="2">
        <f>+IFERROR(PRODUCTOS[[#This Row],[PPTO X MODULO]]*32,"")</f>
        <v>0</v>
      </c>
      <c r="O234" s="2">
        <f>+IFERROR(PRODUCTOS[[#This Row],[PPTO X TORRE]]*22,"")</f>
        <v>0</v>
      </c>
      <c r="P234" s="3">
        <f>+IFERROR(PRODUCTOS[[#This Row],[CANT X MODULO]]*702,"")</f>
        <v>368.55</v>
      </c>
      <c r="Q234" s="3">
        <f>+SUMIFS(DETALLE_GD_1[CANTIDAD SOLICITADA],DETALLE_GD_1[CODIGO],PRODUCTOS[[#This Row],[CODIGO]])</f>
        <v>17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17</v>
      </c>
      <c r="T234" s="3">
        <f>+IFERROR(PRODUCTOS[[#This Row],[CANTIDAD RECIBIDA]]/PRODUCTOS[[#This Row],[CANT X MODULO]],"")</f>
        <v>32.38095238095238</v>
      </c>
      <c r="U234" s="3">
        <f>+SUMIFS(DETALLE_GD_1[VALOR TOTAL POR ITEM GD],DETALLE_GD_1[CODIGO],PRODUCTOS[[#This Row],[CODIGO]])</f>
        <v>57800</v>
      </c>
      <c r="V234" s="3">
        <f>+IFERROR(PRODUCTOS[[#This Row],[PRECIO DE COMPRA]]/PRODUCTOS[[#This Row],[CANT. COMPRADA]],"")</f>
        <v>3400</v>
      </c>
      <c r="W234" s="3">
        <f>+IFERROR(PRODUCTOS[[#This Row],[PRECIO COMPRA UNITARIO]]*PRODUCTOS[[#This Row],[PPTO FALTANTE]],"")</f>
        <v>1198840</v>
      </c>
      <c r="X234" s="7" t="str">
        <f>+IFERROR(PRODUCTOS[[#This Row],[PROYECCION COMPRA]]/PRODUCTOS[[#This Row],[PPTO TOTAL]]-1,"")</f>
        <v/>
      </c>
      <c r="Y234" s="3">
        <f>+IFERROR((PRODUCTOS[[#This Row],[CANT X MODULO]]*704)-PRODUCTOS[[#This Row],[CANT. COMPRADA]],"")</f>
        <v>352.6</v>
      </c>
      <c r="Z234" s="17">
        <f>+IFERROR(PRODUCTOS[[#This Row],[CANT. COMPRADA]]/PRODUCTOS[[#This Row],[PPTO FALTANTE]],"")</f>
        <v>4.821327283040272E-2</v>
      </c>
      <c r="AA234" s="3">
        <f>+IFERROR(PRODUCTOS[[#This Row],[PROYECCION COMPRA]]-(PRODUCTOS[[#This Row],[PPTO FALTANTE]]*PRODUCTOS[[#This Row],[PPTO]]),"")</f>
        <v>1198840</v>
      </c>
      <c r="AB234" s="3">
        <f>+_xlfn.XLOOKUP(PRODUCTOS[[#This Row],[CODIGO]],DETALLE_GD_1[CODIGO],DETALLE_GD_1[VALOR PPTO],"",0)</f>
        <v>13713.2695</v>
      </c>
      <c r="AC234" s="3">
        <f>+AB234-PRODUCTOS[[#This Row],[PPTO_ACTUALIZADO]]</f>
        <v>10313.2695</v>
      </c>
    </row>
    <row r="235" spans="1:29" x14ac:dyDescent="0.25">
      <c r="A235">
        <v>410083</v>
      </c>
      <c r="B235" t="s">
        <v>498</v>
      </c>
      <c r="C235" t="s">
        <v>688</v>
      </c>
      <c r="D235" t="s">
        <v>355</v>
      </c>
      <c r="E235" t="s">
        <v>355</v>
      </c>
      <c r="F235" s="2">
        <v>5167.95</v>
      </c>
      <c r="G235" s="6" t="s">
        <v>355</v>
      </c>
      <c r="H235" s="2">
        <v>5168</v>
      </c>
      <c r="I235" t="b">
        <v>0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1.05</v>
      </c>
      <c r="M235" s="2">
        <f>+IFERROR(PRODUCTOS[[#This Row],[PPTO]]*PRODUCTOS[[#This Row],[CANT X MODULO]],"")</f>
        <v>5426.3474999999999</v>
      </c>
      <c r="N235" s="2">
        <f>+IFERROR(PRODUCTOS[[#This Row],[PPTO X MODULO]]*32,"")</f>
        <v>173643.12</v>
      </c>
      <c r="O235" s="2">
        <f>+IFERROR(PRODUCTOS[[#This Row],[PPTO X TORRE]]*22,"")</f>
        <v>3820148.6399999997</v>
      </c>
      <c r="P235" s="3">
        <f>+IFERROR(PRODUCTOS[[#This Row],[CANT X MODULO]]*702,"")</f>
        <v>737.1</v>
      </c>
      <c r="Q235" s="3">
        <f>+SUMIFS(DETALLE_GD_1[CANTIDAD SOLICITADA],DETALLE_GD_1[CODIGO],PRODUCTOS[[#This Row],[CODIGO]])</f>
        <v>32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32</v>
      </c>
      <c r="T235" s="3">
        <f>+IFERROR(PRODUCTOS[[#This Row],[CANTIDAD RECIBIDA]]/PRODUCTOS[[#This Row],[CANT X MODULO]],"")</f>
        <v>30.476190476190474</v>
      </c>
      <c r="U235" s="3">
        <f>+SUMIFS(DETALLE_GD_1[VALOR TOTAL POR ITEM GD],DETALLE_GD_1[CODIGO],PRODUCTOS[[#This Row],[CODIGO]])</f>
        <v>157741</v>
      </c>
      <c r="V235" s="3">
        <f>+IFERROR(PRODUCTOS[[#This Row],[PRECIO DE COMPRA]]/PRODUCTOS[[#This Row],[CANT. COMPRADA]],"")</f>
        <v>4929.40625</v>
      </c>
      <c r="W235" s="3">
        <f>+IFERROR(PRODUCTOS[[#This Row],[PRECIO COMPRA UNITARIO]]*PRODUCTOS[[#This Row],[PPTO FALTANTE]],"")</f>
        <v>3486076.1</v>
      </c>
      <c r="X235" s="7">
        <f>+IFERROR(PRODUCTOS[[#This Row],[PROYECCION COMPRA]]/PRODUCTOS[[#This Row],[PPTO TOTAL]]-1,"")</f>
        <v>-8.745014173061072E-2</v>
      </c>
      <c r="Y235" s="3">
        <f>+IFERROR((PRODUCTOS[[#This Row],[CANT X MODULO]]*704)-PRODUCTOS[[#This Row],[CANT. COMPRADA]],"")</f>
        <v>707.2</v>
      </c>
      <c r="Z235" s="17">
        <f>+IFERROR(PRODUCTOS[[#This Row],[CANT. COMPRADA]]/PRODUCTOS[[#This Row],[PPTO FALTANTE]],"")</f>
        <v>4.5248868778280542E-2</v>
      </c>
      <c r="AA235" s="3">
        <f>+IFERROR(PRODUCTOS[[#This Row],[PROYECCION COMPRA]]-(PRODUCTOS[[#This Row],[PPTO FALTANTE]]*PRODUCTOS[[#This Row],[PPTO]]),"")</f>
        <v>-168698.14000000013</v>
      </c>
      <c r="AB235" s="3">
        <f>+_xlfn.XLOOKUP(PRODUCTOS[[#This Row],[CODIGO]],DETALLE_GD_1[CODIGO],DETALLE_GD_1[VALOR PPTO],"",0)</f>
        <v>5168</v>
      </c>
      <c r="AC235" s="3">
        <f>+AB235-PRODUCTOS[[#This Row],[PPTO_ACTUALIZADO]]</f>
        <v>0</v>
      </c>
    </row>
    <row r="236" spans="1:29" x14ac:dyDescent="0.25">
      <c r="A236">
        <v>302044</v>
      </c>
      <c r="B236" t="s">
        <v>247</v>
      </c>
      <c r="C236" t="s">
        <v>533</v>
      </c>
      <c r="D236" t="s">
        <v>240</v>
      </c>
      <c r="E236" t="s">
        <v>403</v>
      </c>
      <c r="F236" s="2">
        <v>13725.962534</v>
      </c>
      <c r="G236" s="6" t="s">
        <v>20</v>
      </c>
      <c r="H236" s="2">
        <v>13725.962534</v>
      </c>
      <c r="I236" t="b">
        <v>1</v>
      </c>
      <c r="J236" t="str">
        <f>+_xlfn.XLOOKUP(PRODUCTOS[[#This Row],[CODIGO]],P_CRITICOS[CODIGO],P_CRITICOS[DESC CORTA],"",0)</f>
        <v>PINO 2X8X4</v>
      </c>
      <c r="K236" t="str">
        <f>+IFERROR(IF(VLOOKUP(PRODUCTOS[[#This Row],[CODIGO]],P_CRITICOS[],3,0)="*","PRODUCTO CRITICO","NO CRITICO"),"NO CRITICO")</f>
        <v>PRODUCTO CRITICO</v>
      </c>
      <c r="L236" s="15">
        <f>+_xlfn.XLOOKUP(PRODUCTOS[[#This Row],[CODIGO]],BD_MODULO[Artículo],BD_MODULO[CUB_ACTUALIZADA],"",0)</f>
        <v>35.174999999999997</v>
      </c>
      <c r="M236" s="2">
        <f>+IFERROR(PRODUCTOS[[#This Row],[PPTO]]*PRODUCTOS[[#This Row],[CANT X MODULO]],"")</f>
        <v>482810.73213344999</v>
      </c>
      <c r="N236" s="2">
        <f>+IFERROR(PRODUCTOS[[#This Row],[PPTO X MODULO]]*32,"")</f>
        <v>15449943.4282704</v>
      </c>
      <c r="O236" s="2">
        <f>+IFERROR(PRODUCTOS[[#This Row],[PPTO X TORRE]]*22,"")</f>
        <v>339898755.42194879</v>
      </c>
      <c r="P236" s="3">
        <f>+IFERROR(PRODUCTOS[[#This Row],[CANT X MODULO]]*702,"")</f>
        <v>24692.85</v>
      </c>
      <c r="Q236" s="3">
        <f>+SUMIFS(DETALLE_GD_1[CANTIDAD SOLICITADA],DETALLE_GD_1[CODIGO],PRODUCTOS[[#This Row],[CODIGO]])</f>
        <v>1004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1004</v>
      </c>
      <c r="T236" s="3">
        <f>+IFERROR(PRODUCTOS[[#This Row],[CANTIDAD RECIBIDA]]/PRODUCTOS[[#This Row],[CANT X MODULO]],"")</f>
        <v>28.54299928926795</v>
      </c>
      <c r="U236" s="3">
        <f>+SUMIFS(DETALLE_GD_1[VALOR TOTAL POR ITEM GD],DETALLE_GD_1[CODIGO],PRODUCTOS[[#This Row],[CODIGO]])</f>
        <v>13839790</v>
      </c>
      <c r="V236" s="3">
        <f>+IFERROR(PRODUCTOS[[#This Row],[PRECIO DE COMPRA]]/PRODUCTOS[[#This Row],[CANT. COMPRADA]],"")</f>
        <v>13784.651394422312</v>
      </c>
      <c r="W236" s="3">
        <f>+IFERROR(PRODUCTOS[[#This Row],[PRECIO COMPRA UNITARIO]]*PRODUCTOS[[#This Row],[PPTO FALTANTE]],"")</f>
        <v>327512289.41035855</v>
      </c>
      <c r="X236" s="7">
        <f>+IFERROR(PRODUCTOS[[#This Row],[PROYECCION COMPRA]]/PRODUCTOS[[#This Row],[PPTO TOTAL]]-1,"")</f>
        <v>-3.6441633910114568E-2</v>
      </c>
      <c r="Y236" s="3">
        <f>+IFERROR((PRODUCTOS[[#This Row],[CANT X MODULO]]*704)-PRODUCTOS[[#This Row],[CANT. COMPRADA]],"")</f>
        <v>23759.199999999997</v>
      </c>
      <c r="Z236" s="17">
        <f>+IFERROR(PRODUCTOS[[#This Row],[CANT. COMPRADA]]/PRODUCTOS[[#This Row],[PPTO FALTANTE]],"")</f>
        <v>4.2257315061113174E-2</v>
      </c>
      <c r="AA236" s="3">
        <f>+IFERROR(PRODUCTOS[[#This Row],[PROYECCION COMPRA]]-(PRODUCTOS[[#This Row],[PPTO FALTANTE]]*PRODUCTOS[[#This Row],[PPTO]]),"")</f>
        <v>1394400.3725457788</v>
      </c>
      <c r="AB236" s="3">
        <f>+_xlfn.XLOOKUP(PRODUCTOS[[#This Row],[CODIGO]],DETALLE_GD_1[CODIGO],DETALLE_GD_1[VALOR PPTO],"",0)</f>
        <v>13725.9625</v>
      </c>
      <c r="AC236" s="3">
        <f>+AB236-PRODUCTOS[[#This Row],[PPTO_ACTUALIZADO]]</f>
        <v>-3.4000000596279278E-5</v>
      </c>
    </row>
    <row r="237" spans="1:29" x14ac:dyDescent="0.25">
      <c r="A237">
        <v>704023</v>
      </c>
      <c r="B237" t="s">
        <v>331</v>
      </c>
      <c r="C237" t="s">
        <v>668</v>
      </c>
      <c r="D237" t="s">
        <v>240</v>
      </c>
      <c r="E237" t="s">
        <v>402</v>
      </c>
      <c r="F237" s="2">
        <v>324</v>
      </c>
      <c r="G237" s="6" t="s">
        <v>31</v>
      </c>
      <c r="H237" s="2">
        <v>324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23.625</v>
      </c>
      <c r="M237" s="2">
        <f>+IFERROR(PRODUCTOS[[#This Row],[PPTO]]*PRODUCTOS[[#This Row],[CANT X MODULO]],"")</f>
        <v>7654.5</v>
      </c>
      <c r="N237" s="2">
        <f>+IFERROR(PRODUCTOS[[#This Row],[PPTO X MODULO]]*32,"")</f>
        <v>244944</v>
      </c>
      <c r="O237" s="2">
        <f>+IFERROR(PRODUCTOS[[#This Row],[PPTO X TORRE]]*22,"")</f>
        <v>5388768</v>
      </c>
      <c r="P237" s="3">
        <f>+IFERROR(PRODUCTOS[[#This Row],[CANT X MODULO]]*702,"")</f>
        <v>16584.75</v>
      </c>
      <c r="Q237" s="3">
        <f>+SUMIFS(DETALLE_GD_1[CANTIDAD SOLICITADA],DETALLE_GD_1[CODIGO],PRODUCTOS[[#This Row],[CODIGO]])</f>
        <v>640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640</v>
      </c>
      <c r="T237" s="3">
        <f>+IFERROR(PRODUCTOS[[#This Row],[CANTIDAD RECIBIDA]]/PRODUCTOS[[#This Row],[CANT X MODULO]],"")</f>
        <v>27.089947089947088</v>
      </c>
      <c r="U237" s="3">
        <f>+SUMIFS(DETALLE_GD_1[VALOR TOTAL POR ITEM GD],DETALLE_GD_1[CODIGO],PRODUCTOS[[#This Row],[CODIGO]])</f>
        <v>207360</v>
      </c>
      <c r="V237" s="3">
        <f>+IFERROR(PRODUCTOS[[#This Row],[PRECIO DE COMPRA]]/PRODUCTOS[[#This Row],[CANT. COMPRADA]],"")</f>
        <v>324</v>
      </c>
      <c r="W237" s="3">
        <f>+IFERROR(PRODUCTOS[[#This Row],[PRECIO COMPRA UNITARIO]]*PRODUCTOS[[#This Row],[PPTO FALTANTE]],"")</f>
        <v>5181408</v>
      </c>
      <c r="X237" s="7">
        <f>+IFERROR(PRODUCTOS[[#This Row],[PROYECCION COMPRA]]/PRODUCTOS[[#This Row],[PPTO TOTAL]]-1,"")</f>
        <v>-3.8480038480038448E-2</v>
      </c>
      <c r="Y237" s="3">
        <f>+IFERROR((PRODUCTOS[[#This Row],[CANT X MODULO]]*704)-PRODUCTOS[[#This Row],[CANT. COMPRADA]],"")</f>
        <v>15992</v>
      </c>
      <c r="Z237" s="17">
        <f>+IFERROR(PRODUCTOS[[#This Row],[CANT. COMPRADA]]/PRODUCTOS[[#This Row],[PPTO FALTANTE]],"")</f>
        <v>4.00200100050025E-2</v>
      </c>
      <c r="AA237" s="3">
        <f>+IFERROR(PRODUCTOS[[#This Row],[PROYECCION COMPRA]]-(PRODUCTOS[[#This Row],[PPTO FALTANTE]]*PRODUCTOS[[#This Row],[PPTO]]),"")</f>
        <v>0</v>
      </c>
      <c r="AB237" s="3">
        <f>+_xlfn.XLOOKUP(PRODUCTOS[[#This Row],[CODIGO]],DETALLE_GD_1[CODIGO],DETALLE_GD_1[VALOR PPTO],"",0)</f>
        <v>324</v>
      </c>
      <c r="AC237" s="3">
        <f>+AB237-PRODUCTOS[[#This Row],[PPTO_ACTUALIZADO]]</f>
        <v>0</v>
      </c>
    </row>
    <row r="238" spans="1:29" x14ac:dyDescent="0.25">
      <c r="A238">
        <v>602257</v>
      </c>
      <c r="B238" t="s">
        <v>494</v>
      </c>
      <c r="C238" t="s">
        <v>685</v>
      </c>
      <c r="D238" t="s">
        <v>355</v>
      </c>
      <c r="E238" t="s">
        <v>355</v>
      </c>
      <c r="G238" s="6" t="s">
        <v>355</v>
      </c>
      <c r="H238" s="2">
        <v>118000</v>
      </c>
      <c r="I238" t="b">
        <v>0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0.18637500000000001</v>
      </c>
      <c r="M238" s="2">
        <f>+IFERROR(PRODUCTOS[[#This Row],[PPTO]]*PRODUCTOS[[#This Row],[CANT X MODULO]],"")</f>
        <v>0</v>
      </c>
      <c r="N238" s="2">
        <f>+IFERROR(PRODUCTOS[[#This Row],[PPTO X MODULO]]*32,"")</f>
        <v>0</v>
      </c>
      <c r="O238" s="2">
        <f>+IFERROR(PRODUCTOS[[#This Row],[PPTO X TORRE]]*22,"")</f>
        <v>0</v>
      </c>
      <c r="P238" s="3">
        <f>+IFERROR(PRODUCTOS[[#This Row],[CANT X MODULO]]*702,"")</f>
        <v>130.83525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0</v>
      </c>
      <c r="S238" s="3">
        <f>+PRODUCTOS[[#This Row],[CANT. COMPRADA]]-PRODUCTOS[[#This Row],[DEVOLUCIONES]]</f>
        <v>4</v>
      </c>
      <c r="T238" s="3">
        <f>+IFERROR(PRODUCTOS[[#This Row],[CANTIDAD RECIBIDA]]/PRODUCTOS[[#This Row],[CANT X MODULO]],"")</f>
        <v>21.462105969148222</v>
      </c>
      <c r="U238" s="3">
        <f>+SUMIFS(DETALLE_GD_1[VALOR TOTAL POR ITEM GD],DETALLE_GD_1[CODIGO],PRODUCTOS[[#This Row],[CODIGO]])</f>
        <v>472000</v>
      </c>
      <c r="V238" s="3">
        <f>+IFERROR(PRODUCTOS[[#This Row],[PRECIO DE COMPRA]]/PRODUCTOS[[#This Row],[CANT. COMPRADA]],"")</f>
        <v>118000</v>
      </c>
      <c r="W238" s="3">
        <f>+IFERROR(PRODUCTOS[[#This Row],[PRECIO COMPRA UNITARIO]]*PRODUCTOS[[#This Row],[PPTO FALTANTE]],"")</f>
        <v>15010544</v>
      </c>
      <c r="X238" s="7" t="str">
        <f>+IFERROR(PRODUCTOS[[#This Row],[PROYECCION COMPRA]]/PRODUCTOS[[#This Row],[PPTO TOTAL]]-1,"")</f>
        <v/>
      </c>
      <c r="Y238" s="3">
        <f>+IFERROR((PRODUCTOS[[#This Row],[CANT X MODULO]]*704)-PRODUCTOS[[#This Row],[CANT. COMPRADA]],"")</f>
        <v>127.208</v>
      </c>
      <c r="Z238" s="17">
        <f>+IFERROR(PRODUCTOS[[#This Row],[CANT. COMPRADA]]/PRODUCTOS[[#This Row],[PPTO FALTANTE]],"")</f>
        <v>3.1444563235016668E-2</v>
      </c>
      <c r="AA238" s="3">
        <f>+IFERROR(PRODUCTOS[[#This Row],[PROYECCION COMPRA]]-(PRODUCTOS[[#This Row],[PPTO FALTANTE]]*PRODUCTOS[[#This Row],[PPTO]]),"")</f>
        <v>15010544</v>
      </c>
      <c r="AB238" s="3">
        <f>+_xlfn.XLOOKUP(PRODUCTOS[[#This Row],[CODIGO]],DETALLE_GD_1[CODIGO],DETALLE_GD_1[VALOR PPTO],"",0)</f>
        <v>118000</v>
      </c>
      <c r="AC238" s="3">
        <f>+AB238-PRODUCTOS[[#This Row],[PPTO_ACTUALIZADO]]</f>
        <v>0</v>
      </c>
    </row>
    <row r="239" spans="1:29" x14ac:dyDescent="0.25">
      <c r="A239">
        <v>407010</v>
      </c>
      <c r="B239" t="s">
        <v>164</v>
      </c>
      <c r="C239">
        <v>0</v>
      </c>
      <c r="D239" t="s">
        <v>355</v>
      </c>
      <c r="E239" t="s">
        <v>355</v>
      </c>
      <c r="F239" s="2">
        <v>11.50126</v>
      </c>
      <c r="G239" s="6" t="s">
        <v>355</v>
      </c>
      <c r="H239" s="2">
        <v>0</v>
      </c>
      <c r="I239" t="b">
        <v>0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65.625</v>
      </c>
      <c r="M239" s="2">
        <f>+IFERROR(PRODUCTOS[[#This Row],[PPTO]]*PRODUCTOS[[#This Row],[CANT X MODULO]],"")</f>
        <v>754.77018750000002</v>
      </c>
      <c r="N239" s="2">
        <f>+IFERROR(PRODUCTOS[[#This Row],[PPTO X MODULO]]*32,"")</f>
        <v>24152.646000000001</v>
      </c>
      <c r="O239" s="2">
        <f>+IFERROR(PRODUCTOS[[#This Row],[PPTO X TORRE]]*22,"")</f>
        <v>531358.21200000006</v>
      </c>
      <c r="P239" s="3">
        <f>+IFERROR(PRODUCTOS[[#This Row],[CANT X MODULO]]*702,"")</f>
        <v>46068.75</v>
      </c>
      <c r="Q239" s="3">
        <f>+SUMIFS(DETALLE_GD_1[CANTIDAD SOLICITADA],DETALLE_GD_1[CODIGO],PRODUCTOS[[#This Row],[CODIGO]])</f>
        <v>1282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1282</v>
      </c>
      <c r="T239" s="3">
        <f>+IFERROR(PRODUCTOS[[#This Row],[CANTIDAD RECIBIDA]]/PRODUCTOS[[#This Row],[CANT X MODULO]],"")</f>
        <v>19.535238095238096</v>
      </c>
      <c r="U239" s="3">
        <f>+SUMIFS(DETALLE_GD_1[VALOR TOTAL POR ITEM GD],DETALLE_GD_1[CODIGO],PRODUCTOS[[#This Row],[CODIGO]])</f>
        <v>15257</v>
      </c>
      <c r="V239" s="3">
        <f>+IFERROR(PRODUCTOS[[#This Row],[PRECIO DE COMPRA]]/PRODUCTOS[[#This Row],[CANT. COMPRADA]],"")</f>
        <v>11.900936037441499</v>
      </c>
      <c r="W239" s="3">
        <f>+IFERROR(PRODUCTOS[[#This Row],[PRECIO COMPRA UNITARIO]]*PRODUCTOS[[#This Row],[PPTO FALTANTE]],"")</f>
        <v>534566.24492979725</v>
      </c>
      <c r="X239" s="7">
        <f>+IFERROR(PRODUCTOS[[#This Row],[PROYECCION COMPRA]]/PRODUCTOS[[#This Row],[PPTO TOTAL]]-1,"")</f>
        <v>6.0374204394477715E-3</v>
      </c>
      <c r="Y239" s="3">
        <f>+IFERROR((PRODUCTOS[[#This Row],[CANT X MODULO]]*704)-PRODUCTOS[[#This Row],[CANT. COMPRADA]],"")</f>
        <v>44918</v>
      </c>
      <c r="Z239" s="17">
        <f>+IFERROR(PRODUCTOS[[#This Row],[CANT. COMPRADA]]/PRODUCTOS[[#This Row],[PPTO FALTANTE]],"")</f>
        <v>2.8540896745180105E-2</v>
      </c>
      <c r="AA239" s="3">
        <f>+IFERROR(PRODUCTOS[[#This Row],[PROYECCION COMPRA]]-(PRODUCTOS[[#This Row],[PPTO FALTANTE]]*PRODUCTOS[[#This Row],[PPTO]]),"")</f>
        <v>17952.648249797232</v>
      </c>
      <c r="AB239" s="3">
        <f>+_xlfn.XLOOKUP(PRODUCTOS[[#This Row],[CODIGO]],DETALLE_GD_1[CODIGO],DETALLE_GD_1[VALOR PPTO],"",0)</f>
        <v>11.501300000000001</v>
      </c>
      <c r="AC239" s="3">
        <f>+AB239-PRODUCTOS[[#This Row],[PPTO_ACTUALIZADO]]</f>
        <v>11.501300000000001</v>
      </c>
    </row>
    <row r="240" spans="1:29" x14ac:dyDescent="0.25">
      <c r="A240">
        <v>106022</v>
      </c>
      <c r="B240" t="s">
        <v>245</v>
      </c>
      <c r="C240">
        <v>0</v>
      </c>
      <c r="D240" t="s">
        <v>240</v>
      </c>
      <c r="E240" t="s">
        <v>404</v>
      </c>
      <c r="F240" s="2">
        <v>3800.6910990000001</v>
      </c>
      <c r="G240" s="6" t="s">
        <v>31</v>
      </c>
      <c r="H240" s="2">
        <v>3800.6910990000006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6.8249999999999984</v>
      </c>
      <c r="M240" s="2">
        <f>+IFERROR(PRODUCTOS[[#This Row],[PPTO]]*PRODUCTOS[[#This Row],[CANT X MODULO]],"")</f>
        <v>25939.716750674994</v>
      </c>
      <c r="N240" s="2">
        <f>+IFERROR(PRODUCTOS[[#This Row],[PPTO X MODULO]]*32,"")</f>
        <v>830070.9360215998</v>
      </c>
      <c r="O240" s="2">
        <f>+IFERROR(PRODUCTOS[[#This Row],[PPTO X TORRE]]*22,"")</f>
        <v>18261560.592475194</v>
      </c>
      <c r="P240" s="3">
        <f>+IFERROR(PRODUCTOS[[#This Row],[CANT X MODULO]]*702,"")</f>
        <v>4791.1499999999987</v>
      </c>
      <c r="Q240" s="3">
        <f>+SUMIFS(DETALLE_GD_1[CANTIDAD SOLICITADA],DETALLE_GD_1[CODIGO],PRODUCTOS[[#This Row],[CODIGO]])</f>
        <v>130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130</v>
      </c>
      <c r="T240" s="3">
        <f>+IFERROR(PRODUCTOS[[#This Row],[CANTIDAD RECIBIDA]]/PRODUCTOS[[#This Row],[CANT X MODULO]],"")</f>
        <v>19.047619047619051</v>
      </c>
      <c r="U240" s="3">
        <f>+SUMIFS(DETALLE_GD_1[VALOR TOTAL POR ITEM GD],DETALLE_GD_1[CODIGO],PRODUCTOS[[#This Row],[CODIGO]])</f>
        <v>494024</v>
      </c>
      <c r="V240" s="3">
        <f>+IFERROR(PRODUCTOS[[#This Row],[PRECIO DE COMPRA]]/PRODUCTOS[[#This Row],[CANT. COMPRADA]],"")</f>
        <v>3800.1846153846154</v>
      </c>
      <c r="W240" s="3">
        <f>+IFERROR(PRODUCTOS[[#This Row],[PRECIO COMPRA UNITARIO]]*PRODUCTOS[[#This Row],[PPTO FALTANTE]],"")</f>
        <v>17765103.039999999</v>
      </c>
      <c r="X240" s="7">
        <f>+IFERROR(PRODUCTOS[[#This Row],[PROYECCION COMPRA]]/PRODUCTOS[[#This Row],[PPTO TOTAL]]-1,"")</f>
        <v>-2.7185932437765681E-2</v>
      </c>
      <c r="Y240" s="3">
        <f>+IFERROR((PRODUCTOS[[#This Row],[CANT X MODULO]]*704)-PRODUCTOS[[#This Row],[CANT. COMPRADA]],"")</f>
        <v>4674.7999999999993</v>
      </c>
      <c r="Z240" s="17">
        <f>+IFERROR(PRODUCTOS[[#This Row],[CANT. COMPRADA]]/PRODUCTOS[[#This Row],[PPTO FALTANTE]],"")</f>
        <v>2.7808676307007792E-2</v>
      </c>
      <c r="AA240" s="3">
        <f>+IFERROR(PRODUCTOS[[#This Row],[PROYECCION COMPRA]]-(PRODUCTOS[[#This Row],[PPTO FALTANTE]]*PRODUCTOS[[#This Row],[PPTO]]),"")</f>
        <v>-2367.7096051983535</v>
      </c>
      <c r="AB240" s="3">
        <f>+_xlfn.XLOOKUP(PRODUCTOS[[#This Row],[CODIGO]],DETALLE_GD_1[CODIGO],DETALLE_GD_1[VALOR PPTO],"",0)</f>
        <v>3800.6911</v>
      </c>
      <c r="AC240" s="3">
        <f>+AB240-PRODUCTOS[[#This Row],[PPTO_ACTUALIZADO]]</f>
        <v>9.999994290410541E-7</v>
      </c>
    </row>
    <row r="241" spans="1:29" x14ac:dyDescent="0.25">
      <c r="A241" t="s">
        <v>82</v>
      </c>
      <c r="B241" t="s">
        <v>83</v>
      </c>
      <c r="C241" t="s">
        <v>530</v>
      </c>
      <c r="D241" t="s">
        <v>240</v>
      </c>
      <c r="E241" t="s">
        <v>399</v>
      </c>
      <c r="F241" s="2">
        <v>36939.818182000003</v>
      </c>
      <c r="G241" s="6" t="s">
        <v>36</v>
      </c>
      <c r="H241" s="2">
        <v>36939.818181999981</v>
      </c>
      <c r="I241" t="b">
        <v>1</v>
      </c>
      <c r="J241" t="str">
        <f>+_xlfn.XLOOKUP(PRODUCTOS[[#This Row],[CODIGO]],P_CRITICOS[CODIGO],P_CRITICOS[DESC CORTA],"",0)</f>
        <v>CLAVO R20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3.4539749999999994</v>
      </c>
      <c r="M241" s="2">
        <f>+IFERROR(PRODUCTOS[[#This Row],[PPTO]]*PRODUCTOS[[#This Row],[CANT X MODULO]],"")</f>
        <v>127589.20850517343</v>
      </c>
      <c r="N241" s="2">
        <f>+IFERROR(PRODUCTOS[[#This Row],[PPTO X MODULO]]*32,"")</f>
        <v>4082854.6721655498</v>
      </c>
      <c r="O241" s="2">
        <f>+IFERROR(PRODUCTOS[[#This Row],[PPTO X TORRE]]*22,"")</f>
        <v>89822802.787642092</v>
      </c>
      <c r="P241" s="3">
        <f>+IFERROR(PRODUCTOS[[#This Row],[CANT X MODULO]]*702,"")</f>
        <v>2424.6904499999996</v>
      </c>
      <c r="Q241" s="3">
        <f>+SUMIFS(DETALLE_GD_1[CANTIDAD SOLICITADA],DETALLE_GD_1[CODIGO],PRODUCTOS[[#This Row],[CODIGO]])</f>
        <v>56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56</v>
      </c>
      <c r="T241" s="3">
        <f>+IFERROR(PRODUCTOS[[#This Row],[CANTIDAD RECIBIDA]]/PRODUCTOS[[#This Row],[CANT X MODULO]],"")</f>
        <v>16.213203627704313</v>
      </c>
      <c r="U241" s="3">
        <f>+SUMIFS(DETALLE_GD_1[VALOR TOTAL POR ITEM GD],DETALLE_GD_1[CODIGO],PRODUCTOS[[#This Row],[CODIGO]])</f>
        <v>2059387</v>
      </c>
      <c r="V241" s="3">
        <f>+IFERROR(PRODUCTOS[[#This Row],[PRECIO DE COMPRA]]/PRODUCTOS[[#This Row],[CANT. COMPRADA]],"")</f>
        <v>36774.767857142855</v>
      </c>
      <c r="W241" s="3">
        <f>+IFERROR(PRODUCTOS[[#This Row],[PRECIO COMPRA UNITARIO]]*PRODUCTOS[[#This Row],[PPTO FALTANTE]],"")</f>
        <v>87362079.681799978</v>
      </c>
      <c r="X241" s="7">
        <f>+IFERROR(PRODUCTOS[[#This Row],[PROYECCION COMPRA]]/PRODUCTOS[[#This Row],[PPTO TOTAL]]-1,"")</f>
        <v>-2.7395305306378903E-2</v>
      </c>
      <c r="Y241" s="3">
        <f>+IFERROR((PRODUCTOS[[#This Row],[CANT X MODULO]]*704)-PRODUCTOS[[#This Row],[CANT. COMPRADA]],"")</f>
        <v>2375.5983999999994</v>
      </c>
      <c r="Z241" s="17">
        <f>+IFERROR(PRODUCTOS[[#This Row],[CANT. COMPRADA]]/PRODUCTOS[[#This Row],[PPTO FALTANTE]],"")</f>
        <v>2.3573007962962095E-2</v>
      </c>
      <c r="AA241" s="3">
        <f>+IFERROR(PRODUCTOS[[#This Row],[PROYECCION COMPRA]]-(PRODUCTOS[[#This Row],[PPTO FALTANTE]]*PRODUCTOS[[#This Row],[PPTO]]),"")</f>
        <v>-392093.28765010834</v>
      </c>
      <c r="AB241" s="3">
        <f>+_xlfn.XLOOKUP(PRODUCTOS[[#This Row],[CODIGO]],DETALLE_GD_1[CODIGO],DETALLE_GD_1[VALOR PPTO],"",0)</f>
        <v>36939.818200000002</v>
      </c>
      <c r="AC241" s="3">
        <f>+AB241-PRODUCTOS[[#This Row],[PPTO_ACTUALIZADO]]</f>
        <v>1.8000020645558834E-5</v>
      </c>
    </row>
    <row r="242" spans="1:29" x14ac:dyDescent="0.25">
      <c r="A242">
        <v>1610007</v>
      </c>
      <c r="B242" t="s">
        <v>334</v>
      </c>
      <c r="C242" t="s">
        <v>674</v>
      </c>
      <c r="D242">
        <v>0</v>
      </c>
      <c r="E242">
        <v>0</v>
      </c>
      <c r="F242" s="2">
        <v>1624.474037</v>
      </c>
      <c r="G242" s="6" t="s">
        <v>28</v>
      </c>
      <c r="H242" s="2">
        <v>0</v>
      </c>
      <c r="I242" t="b">
        <v>0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1.05</v>
      </c>
      <c r="M242" s="2">
        <f>+IFERROR(PRODUCTOS[[#This Row],[PPTO]]*PRODUCTOS[[#This Row],[CANT X MODULO]],"")</f>
        <v>1705.69773885</v>
      </c>
      <c r="N242" s="2">
        <f>+IFERROR(PRODUCTOS[[#This Row],[PPTO X MODULO]]*32,"")</f>
        <v>54582.327643199998</v>
      </c>
      <c r="O242" s="2">
        <f>+IFERROR(PRODUCTOS[[#This Row],[PPTO X TORRE]]*22,"")</f>
        <v>1200811.2081503998</v>
      </c>
      <c r="P242" s="3">
        <f>+IFERROR(PRODUCTOS[[#This Row],[CANT X MODULO]]*702,"")</f>
        <v>737.1</v>
      </c>
      <c r="Q242" s="3">
        <f>+SUMIFS(DETALLE_GD_1[CANTIDAD SOLICITADA],DETALLE_GD_1[CODIGO],PRODUCTOS[[#This Row],[CODIGO]])</f>
        <v>14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14</v>
      </c>
      <c r="T242" s="3">
        <f>+IFERROR(PRODUCTOS[[#This Row],[CANTIDAD RECIBIDA]]/PRODUCTOS[[#This Row],[CANT X MODULO]],"")</f>
        <v>13.333333333333332</v>
      </c>
      <c r="U242" s="3">
        <f>+SUMIFS(DETALLE_GD_1[VALOR TOTAL POR ITEM GD],DETALLE_GD_1[CODIGO],PRODUCTOS[[#This Row],[CODIGO]])</f>
        <v>22725</v>
      </c>
      <c r="V242" s="3">
        <f>+IFERROR(PRODUCTOS[[#This Row],[PRECIO DE COMPRA]]/PRODUCTOS[[#This Row],[CANT. COMPRADA]],"")</f>
        <v>1623.2142857142858</v>
      </c>
      <c r="W242" s="3">
        <f>+IFERROR(PRODUCTOS[[#This Row],[PRECIO COMPRA UNITARIO]]*PRODUCTOS[[#This Row],[PPTO FALTANTE]],"")</f>
        <v>1177155.0000000002</v>
      </c>
      <c r="X242" s="7">
        <f>+IFERROR(PRODUCTOS[[#This Row],[PROYECCION COMPRA]]/PRODUCTOS[[#This Row],[PPTO TOTAL]]-1,"")</f>
        <v>-1.9700189330208784E-2</v>
      </c>
      <c r="Y242" s="3">
        <f>+IFERROR((PRODUCTOS[[#This Row],[CANT X MODULO]]*704)-PRODUCTOS[[#This Row],[CANT. COMPRADA]],"")</f>
        <v>725.2</v>
      </c>
      <c r="Z242" s="17">
        <f>+IFERROR(PRODUCTOS[[#This Row],[CANT. COMPRADA]]/PRODUCTOS[[#This Row],[PPTO FALTANTE]],"")</f>
        <v>1.9305019305019305E-2</v>
      </c>
      <c r="AA242" s="3">
        <f>+IFERROR(PRODUCTOS[[#This Row],[PROYECCION COMPRA]]-(PRODUCTOS[[#This Row],[PPTO FALTANTE]]*PRODUCTOS[[#This Row],[PPTO]]),"")</f>
        <v>-913.57163239992224</v>
      </c>
      <c r="AB242" s="3">
        <f>+_xlfn.XLOOKUP(PRODUCTOS[[#This Row],[CODIGO]],DETALLE_GD_1[CODIGO],DETALLE_GD_1[VALOR PPTO],"",0)</f>
        <v>1624.4739999999999</v>
      </c>
      <c r="AC242" s="3">
        <f>+AB242-PRODUCTOS[[#This Row],[PPTO_ACTUALIZADO]]</f>
        <v>1624.4739999999999</v>
      </c>
    </row>
    <row r="243" spans="1:29" x14ac:dyDescent="0.25">
      <c r="A243">
        <v>410078</v>
      </c>
      <c r="B243" t="s">
        <v>252</v>
      </c>
      <c r="C243">
        <v>0</v>
      </c>
      <c r="D243" t="s">
        <v>240</v>
      </c>
      <c r="E243" t="s">
        <v>399</v>
      </c>
      <c r="F243" s="2">
        <v>470.20120200000002</v>
      </c>
      <c r="G243" s="6" t="s">
        <v>31</v>
      </c>
      <c r="H243" s="2">
        <v>470.20120200000002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8.4</v>
      </c>
      <c r="M243" s="2">
        <f>+IFERROR(PRODUCTOS[[#This Row],[PPTO]]*PRODUCTOS[[#This Row],[CANT X MODULO]],"")</f>
        <v>3949.6900968000004</v>
      </c>
      <c r="N243" s="2">
        <f>+IFERROR(PRODUCTOS[[#This Row],[PPTO X MODULO]]*32,"")</f>
        <v>126390.08309760001</v>
      </c>
      <c r="O243" s="2">
        <f>+IFERROR(PRODUCTOS[[#This Row],[PPTO X TORRE]]*22,"")</f>
        <v>2780581.8281472004</v>
      </c>
      <c r="P243" s="3">
        <f>+IFERROR(PRODUCTOS[[#This Row],[CANT X MODULO]]*702,"")</f>
        <v>5896.8</v>
      </c>
      <c r="Q243" s="3">
        <f>+SUMIFS(DETALLE_GD_1[CANTIDAD SOLICITADA],DETALLE_GD_1[CODIGO],PRODUCTOS[[#This Row],[CODIGO]])</f>
        <v>100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100</v>
      </c>
      <c r="T243" s="3">
        <f>+IFERROR(PRODUCTOS[[#This Row],[CANTIDAD RECIBIDA]]/PRODUCTOS[[#This Row],[CANT X MODULO]],"")</f>
        <v>11.904761904761905</v>
      </c>
      <c r="U243" s="3">
        <f>+SUMIFS(DETALLE_GD_1[VALOR TOTAL POR ITEM GD],DETALLE_GD_1[CODIGO],PRODUCTOS[[#This Row],[CODIGO]])</f>
        <v>47020</v>
      </c>
      <c r="V243" s="3">
        <f>+IFERROR(PRODUCTOS[[#This Row],[PRECIO DE COMPRA]]/PRODUCTOS[[#This Row],[CANT. COMPRADA]],"")</f>
        <v>470.2</v>
      </c>
      <c r="W243" s="3">
        <f>+IFERROR(PRODUCTOS[[#This Row],[PRECIO COMPRA UNITARIO]]*PRODUCTOS[[#This Row],[PPTO FALTANTE]],"")</f>
        <v>2733554.72</v>
      </c>
      <c r="X243" s="7">
        <f>+IFERROR(PRODUCTOS[[#This Row],[PROYECCION COMPRA]]/PRODUCTOS[[#This Row],[PPTO TOTAL]]-1,"")</f>
        <v>-1.6912686284271672E-2</v>
      </c>
      <c r="Y243" s="3">
        <f>+IFERROR((PRODUCTOS[[#This Row],[CANT X MODULO]]*704)-PRODUCTOS[[#This Row],[CANT. COMPRADA]],"")</f>
        <v>5813.6</v>
      </c>
      <c r="Z243" s="17">
        <f>+IFERROR(PRODUCTOS[[#This Row],[CANT. COMPRADA]]/PRODUCTOS[[#This Row],[PPTO FALTANTE]],"")</f>
        <v>1.7201045823586072E-2</v>
      </c>
      <c r="AA243" s="3">
        <f>+IFERROR(PRODUCTOS[[#This Row],[PROYECCION COMPRA]]-(PRODUCTOS[[#This Row],[PPTO FALTANTE]]*PRODUCTOS[[#This Row],[PPTO]]),"")</f>
        <v>-6.9879471999593079</v>
      </c>
      <c r="AB243" s="3">
        <f>+_xlfn.XLOOKUP(PRODUCTOS[[#This Row],[CODIGO]],DETALLE_GD_1[CODIGO],DETALLE_GD_1[VALOR PPTO],"",0)</f>
        <v>470.20119999999997</v>
      </c>
      <c r="AC243" s="3">
        <f>+AB243-PRODUCTOS[[#This Row],[PPTO_ACTUALIZADO]]</f>
        <v>-2.0000000517939043E-6</v>
      </c>
    </row>
    <row r="244" spans="1:29" x14ac:dyDescent="0.25">
      <c r="A244">
        <v>2508985</v>
      </c>
      <c r="B244" t="s">
        <v>304</v>
      </c>
      <c r="C244" t="s">
        <v>639</v>
      </c>
      <c r="D244" t="s">
        <v>244</v>
      </c>
      <c r="E244" t="s">
        <v>408</v>
      </c>
      <c r="F244" s="2">
        <v>102622</v>
      </c>
      <c r="G244" s="6" t="s">
        <v>90</v>
      </c>
      <c r="H244" s="2">
        <v>102622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0.52500000000000002</v>
      </c>
      <c r="M244" s="2">
        <f>+IFERROR(PRODUCTOS[[#This Row],[PPTO]]*PRODUCTOS[[#This Row],[CANT X MODULO]],"")</f>
        <v>53876.55</v>
      </c>
      <c r="N244" s="2">
        <f>+IFERROR(PRODUCTOS[[#This Row],[PPTO X MODULO]]*32,"")</f>
        <v>1724049.6</v>
      </c>
      <c r="O244" s="2">
        <f>+IFERROR(PRODUCTOS[[#This Row],[PPTO X TORRE]]*22,"")</f>
        <v>37929091.200000003</v>
      </c>
      <c r="P244" s="3">
        <f>+IFERROR(PRODUCTOS[[#This Row],[CANT X MODULO]]*702,"")</f>
        <v>368.55</v>
      </c>
      <c r="Q244" s="3">
        <f>+SUMIFS(DETALLE_GD_1[CANTIDAD SOLICITADA],DETALLE_GD_1[CODIGO],PRODUCTOS[[#This Row],[CODIGO]])</f>
        <v>5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5</v>
      </c>
      <c r="T244" s="3">
        <f>+IFERROR(PRODUCTOS[[#This Row],[CANTIDAD RECIBIDA]]/PRODUCTOS[[#This Row],[CANT X MODULO]],"")</f>
        <v>9.5238095238095237</v>
      </c>
      <c r="U244" s="3">
        <f>+SUMIFS(DETALLE_GD_1[VALOR TOTAL POR ITEM GD],DETALLE_GD_1[CODIGO],PRODUCTOS[[#This Row],[CODIGO]])</f>
        <v>513110</v>
      </c>
      <c r="V244" s="3">
        <f>+IFERROR(PRODUCTOS[[#This Row],[PRECIO DE COMPRA]]/PRODUCTOS[[#This Row],[CANT. COMPRADA]],"")</f>
        <v>102622</v>
      </c>
      <c r="W244" s="3">
        <f>+IFERROR(PRODUCTOS[[#This Row],[PRECIO COMPRA UNITARIO]]*PRODUCTOS[[#This Row],[PPTO FALTANTE]],"")</f>
        <v>37415981.200000003</v>
      </c>
      <c r="X244" s="7">
        <f>+IFERROR(PRODUCTOS[[#This Row],[PROYECCION COMPRA]]/PRODUCTOS[[#This Row],[PPTO TOTAL]]-1,"")</f>
        <v>-1.35281385281385E-2</v>
      </c>
      <c r="Y244" s="3">
        <f>+IFERROR((PRODUCTOS[[#This Row],[CANT X MODULO]]*704)-PRODUCTOS[[#This Row],[CANT. COMPRADA]],"")</f>
        <v>364.6</v>
      </c>
      <c r="Z244" s="17">
        <f>+IFERROR(PRODUCTOS[[#This Row],[CANT. COMPRADA]]/PRODUCTOS[[#This Row],[PPTO FALTANTE]],"")</f>
        <v>1.3713658804168952E-2</v>
      </c>
      <c r="AA244" s="3">
        <f>+IFERROR(PRODUCTOS[[#This Row],[PROYECCION COMPRA]]-(PRODUCTOS[[#This Row],[PPTO FALTANTE]]*PRODUCTOS[[#This Row],[PPTO]]),"")</f>
        <v>0</v>
      </c>
      <c r="AB244" s="3">
        <f>+_xlfn.XLOOKUP(PRODUCTOS[[#This Row],[CODIGO]],DETALLE_GD_1[CODIGO],DETALLE_GD_1[VALOR PPTO],"",0)</f>
        <v>102622</v>
      </c>
      <c r="AC244" s="3">
        <f>+AB244-PRODUCTOS[[#This Row],[PPTO_ACTUALIZADO]]</f>
        <v>0</v>
      </c>
    </row>
    <row r="245" spans="1:29" x14ac:dyDescent="0.25">
      <c r="A245">
        <v>1802177</v>
      </c>
      <c r="B245" t="s">
        <v>270</v>
      </c>
      <c r="C245" t="s">
        <v>646</v>
      </c>
      <c r="D245" t="s">
        <v>258</v>
      </c>
      <c r="E245" t="s">
        <v>406</v>
      </c>
      <c r="F245" s="2">
        <v>1471.135135</v>
      </c>
      <c r="G245" s="6" t="s">
        <v>31</v>
      </c>
      <c r="H245" s="2">
        <v>1471</v>
      </c>
      <c r="I245" t="b">
        <v>0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0.52500000000000002</v>
      </c>
      <c r="M245" s="2">
        <f>+IFERROR(PRODUCTOS[[#This Row],[PPTO]]*PRODUCTOS[[#This Row],[CANT X MODULO]],"")</f>
        <v>772.34594587499998</v>
      </c>
      <c r="N245" s="2">
        <f>+IFERROR(PRODUCTOS[[#This Row],[PPTO X MODULO]]*32,"")</f>
        <v>24715.070267999999</v>
      </c>
      <c r="O245" s="2">
        <f>+IFERROR(PRODUCTOS[[#This Row],[PPTO X TORRE]]*22,"")</f>
        <v>543731.545896</v>
      </c>
      <c r="P245" s="3">
        <f>+IFERROR(PRODUCTOS[[#This Row],[CANT X MODULO]]*702,"")</f>
        <v>368.55</v>
      </c>
      <c r="Q245" s="3">
        <f>+SUMIFS(DETALLE_GD_1[CANTIDAD SOLICITADA],DETALLE_GD_1[CODIGO],PRODUCTOS[[#This Row],[CODIGO]])</f>
        <v>4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4</v>
      </c>
      <c r="T245" s="3">
        <f>+IFERROR(PRODUCTOS[[#This Row],[CANTIDAD RECIBIDA]]/PRODUCTOS[[#This Row],[CANT X MODULO]],"")</f>
        <v>7.6190476190476186</v>
      </c>
      <c r="U245" s="3">
        <f>+SUMIFS(DETALLE_GD_1[VALOR TOTAL POR ITEM GD],DETALLE_GD_1[CODIGO],PRODUCTOS[[#This Row],[CODIGO]])</f>
        <v>5884</v>
      </c>
      <c r="V245" s="3">
        <f>+IFERROR(PRODUCTOS[[#This Row],[PRECIO DE COMPRA]]/PRODUCTOS[[#This Row],[CANT. COMPRADA]],"")</f>
        <v>1471</v>
      </c>
      <c r="W245" s="3">
        <f>+IFERROR(PRODUCTOS[[#This Row],[PRECIO COMPRA UNITARIO]]*PRODUCTOS[[#This Row],[PPTO FALTANTE]],"")</f>
        <v>537797.6</v>
      </c>
      <c r="X245" s="7">
        <f>+IFERROR(PRODUCTOS[[#This Row],[PROYECCION COMPRA]]/PRODUCTOS[[#This Row],[PPTO TOTAL]]-1,"")</f>
        <v>-1.0913374331117054E-2</v>
      </c>
      <c r="Y245" s="3">
        <f>+IFERROR((PRODUCTOS[[#This Row],[CANT X MODULO]]*704)-PRODUCTOS[[#This Row],[CANT. COMPRADA]],"")</f>
        <v>365.6</v>
      </c>
      <c r="Z245" s="17">
        <f>+IFERROR(PRODUCTOS[[#This Row],[CANT. COMPRADA]]/PRODUCTOS[[#This Row],[PPTO FALTANTE]],"")</f>
        <v>1.0940919037199124E-2</v>
      </c>
      <c r="AA245" s="3">
        <f>+IFERROR(PRODUCTOS[[#This Row],[PROYECCION COMPRA]]-(PRODUCTOS[[#This Row],[PPTO FALTANTE]]*PRODUCTOS[[#This Row],[PPTO]]),"")</f>
        <v>-49.405356000061147</v>
      </c>
      <c r="AB245" s="3">
        <f>+_xlfn.XLOOKUP(PRODUCTOS[[#This Row],[CODIGO]],DETALLE_GD_1[CODIGO],DETALLE_GD_1[VALOR PPTO],"",0)</f>
        <v>1471</v>
      </c>
      <c r="AC245" s="3">
        <f>+AB245-PRODUCTOS[[#This Row],[PPTO_ACTUALIZADO]]</f>
        <v>0</v>
      </c>
    </row>
    <row r="246" spans="1:29" x14ac:dyDescent="0.25">
      <c r="A246">
        <v>407717</v>
      </c>
      <c r="B246" t="s">
        <v>364</v>
      </c>
      <c r="C246">
        <v>0</v>
      </c>
      <c r="D246" t="s">
        <v>240</v>
      </c>
      <c r="E246" t="s">
        <v>399</v>
      </c>
      <c r="F246" s="2">
        <v>181</v>
      </c>
      <c r="G246" s="6" t="s">
        <v>355</v>
      </c>
      <c r="H246" s="2">
        <v>181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18.375</v>
      </c>
      <c r="M246" s="2">
        <f>+IFERROR(PRODUCTOS[[#This Row],[PPTO]]*PRODUCTOS[[#This Row],[CANT X MODULO]],"")</f>
        <v>3325.875</v>
      </c>
      <c r="N246" s="2">
        <f>+IFERROR(PRODUCTOS[[#This Row],[PPTO X MODULO]]*32,"")</f>
        <v>106428</v>
      </c>
      <c r="O246" s="2">
        <f>+IFERROR(PRODUCTOS[[#This Row],[PPTO X TORRE]]*22,"")</f>
        <v>2341416</v>
      </c>
      <c r="P246" s="3">
        <f>+IFERROR(PRODUCTOS[[#This Row],[CANT X MODULO]]*702,"")</f>
        <v>12899.25</v>
      </c>
      <c r="Q246" s="3">
        <f>+SUMIFS(DETALLE_GD_1[CANTIDAD SOLICITADA],DETALLE_GD_1[CODIGO],PRODUCTOS[[#This Row],[CODIGO]])</f>
        <v>128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128</v>
      </c>
      <c r="T246" s="3">
        <f>+IFERROR(PRODUCTOS[[#This Row],[CANTIDAD RECIBIDA]]/PRODUCTOS[[#This Row],[CANT X MODULO]],"")</f>
        <v>6.9659863945578229</v>
      </c>
      <c r="U246" s="3">
        <f>+SUMIFS(DETALLE_GD_1[VALOR TOTAL POR ITEM GD],DETALLE_GD_1[CODIGO],PRODUCTOS[[#This Row],[CODIGO]])</f>
        <v>22809</v>
      </c>
      <c r="V246" s="3">
        <f>+IFERROR(PRODUCTOS[[#This Row],[PRECIO DE COMPRA]]/PRODUCTOS[[#This Row],[CANT. COMPRADA]],"")</f>
        <v>178.1953125</v>
      </c>
      <c r="W246" s="3">
        <f>+IFERROR(PRODUCTOS[[#This Row],[PRECIO COMPRA UNITARIO]]*PRODUCTOS[[#This Row],[PPTO FALTANTE]],"")</f>
        <v>2282325.5625</v>
      </c>
      <c r="X246" s="7">
        <f>+IFERROR(PRODUCTOS[[#This Row],[PROYECCION COMPRA]]/PRODUCTOS[[#This Row],[PPTO TOTAL]]-1,"")</f>
        <v>-2.52370520659293E-2</v>
      </c>
      <c r="Y246" s="3">
        <f>+IFERROR((PRODUCTOS[[#This Row],[CANT X MODULO]]*704)-PRODUCTOS[[#This Row],[CANT. COMPRADA]],"")</f>
        <v>12808</v>
      </c>
      <c r="Z246" s="17">
        <f>+IFERROR(PRODUCTOS[[#This Row],[CANT. COMPRADA]]/PRODUCTOS[[#This Row],[PPTO FALTANTE]],"")</f>
        <v>9.9937539038101181E-3</v>
      </c>
      <c r="AA246" s="3">
        <f>+IFERROR(PRODUCTOS[[#This Row],[PROYECCION COMPRA]]-(PRODUCTOS[[#This Row],[PPTO FALTANTE]]*PRODUCTOS[[#This Row],[PPTO]]),"")</f>
        <v>-35922.4375</v>
      </c>
      <c r="AB246" s="3">
        <f>+_xlfn.XLOOKUP(PRODUCTOS[[#This Row],[CODIGO]],DETALLE_GD_1[CODIGO],DETALLE_GD_1[VALOR PPTO],"",0)</f>
        <v>181</v>
      </c>
      <c r="AC246" s="3">
        <f>+AB246-PRODUCTOS[[#This Row],[PPTO_ACTUALIZADO]]</f>
        <v>0</v>
      </c>
    </row>
    <row r="247" spans="1:29" x14ac:dyDescent="0.25">
      <c r="A247" t="s">
        <v>92</v>
      </c>
      <c r="B247" t="s">
        <v>93</v>
      </c>
      <c r="C247" t="s">
        <v>597</v>
      </c>
      <c r="D247">
        <v>0</v>
      </c>
      <c r="E247">
        <v>0</v>
      </c>
      <c r="F247" s="2">
        <v>17428.493505999999</v>
      </c>
      <c r="G247" s="6" t="s">
        <v>355</v>
      </c>
      <c r="H247" s="2">
        <v>0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0.19350000000000001</v>
      </c>
      <c r="M247" s="2">
        <f>+IFERROR(PRODUCTOS[[#This Row],[PPTO]]*PRODUCTOS[[#This Row],[CANT X MODULO]],"")</f>
        <v>3372.4134934109998</v>
      </c>
      <c r="N247" s="2">
        <f>+IFERROR(PRODUCTOS[[#This Row],[PPTO X MODULO]]*32,"")</f>
        <v>107917.23178915199</v>
      </c>
      <c r="O247" s="2">
        <f>+IFERROR(PRODUCTOS[[#This Row],[PPTO X TORRE]]*22,"")</f>
        <v>2374179.0993613438</v>
      </c>
      <c r="P247" s="3">
        <f>+IFERROR(PRODUCTOS[[#This Row],[CANT X MODULO]]*702,"")</f>
        <v>135.83700000000002</v>
      </c>
      <c r="Q247" s="3">
        <f>+SUMIFS(DETALLE_GD_1[CANTIDAD SOLICITADA],DETALLE_GD_1[CODIGO],PRODUCTOS[[#This Row],[CODIGO]])</f>
        <v>1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1</v>
      </c>
      <c r="T247" s="3">
        <f>+IFERROR(PRODUCTOS[[#This Row],[CANTIDAD RECIBIDA]]/PRODUCTOS[[#This Row],[CANT X MODULO]],"")</f>
        <v>5.1679586563307494</v>
      </c>
      <c r="U247" s="3">
        <f>+SUMIFS(DETALLE_GD_1[VALOR TOTAL POR ITEM GD],DETALLE_GD_1[CODIGO],PRODUCTOS[[#This Row],[CODIGO]])</f>
        <v>17428</v>
      </c>
      <c r="V247" s="3">
        <f>+IFERROR(PRODUCTOS[[#This Row],[PRECIO DE COMPRA]]/PRODUCTOS[[#This Row],[CANT. COMPRADA]],"")</f>
        <v>17428</v>
      </c>
      <c r="W247" s="3">
        <f>+IFERROR(PRODUCTOS[[#This Row],[PRECIO COMPRA UNITARIO]]*PRODUCTOS[[#This Row],[PPTO FALTANTE]],"")</f>
        <v>2356683.872</v>
      </c>
      <c r="X247" s="7">
        <f>+IFERROR(PRODUCTOS[[#This Row],[PROYECCION COMPRA]]/PRODUCTOS[[#This Row],[PPTO TOTAL]]-1,"")</f>
        <v>-7.36895854489239E-3</v>
      </c>
      <c r="Y247" s="3">
        <f>+IFERROR((PRODUCTOS[[#This Row],[CANT X MODULO]]*704)-PRODUCTOS[[#This Row],[CANT. COMPRADA]],"")</f>
        <v>135.22399999999999</v>
      </c>
      <c r="Z247" s="17">
        <f>+IFERROR(PRODUCTOS[[#This Row],[CANT. COMPRADA]]/PRODUCTOS[[#This Row],[PPTO FALTANTE]],"")</f>
        <v>7.3951369579364611E-3</v>
      </c>
      <c r="AA247" s="3">
        <f>+IFERROR(PRODUCTOS[[#This Row],[PROYECCION COMPRA]]-(PRODUCTOS[[#This Row],[PPTO FALTANTE]]*PRODUCTOS[[#This Row],[PPTO]]),"")</f>
        <v>-66.733855343889445</v>
      </c>
      <c r="AB247" s="3">
        <f>+_xlfn.XLOOKUP(PRODUCTOS[[#This Row],[CODIGO]],DETALLE_GD_1[CODIGO],DETALLE_GD_1[VALOR PPTO],"",0)</f>
        <v>17428.4935</v>
      </c>
      <c r="AC247" s="3">
        <f>+AB247-PRODUCTOS[[#This Row],[PPTO_ACTUALIZADO]]</f>
        <v>17428.4935</v>
      </c>
    </row>
    <row r="248" spans="1:29" x14ac:dyDescent="0.25">
      <c r="A248" t="s">
        <v>45</v>
      </c>
      <c r="B248" t="s">
        <v>360</v>
      </c>
      <c r="C248" t="s">
        <v>566</v>
      </c>
      <c r="D248">
        <v>0</v>
      </c>
      <c r="E248">
        <v>0</v>
      </c>
      <c r="F248" s="2">
        <v>24029.782609000002</v>
      </c>
      <c r="G248" s="6" t="s">
        <v>47</v>
      </c>
      <c r="H248" s="2">
        <v>24029.782609000009</v>
      </c>
      <c r="I248" t="b">
        <v>1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0.315</v>
      </c>
      <c r="M248" s="2">
        <f>+IFERROR(PRODUCTOS[[#This Row],[PPTO]]*PRODUCTOS[[#This Row],[CANT X MODULO]],"")</f>
        <v>7569.381521835001</v>
      </c>
      <c r="N248" s="2">
        <f>+IFERROR(PRODUCTOS[[#This Row],[PPTO X MODULO]]*32,"")</f>
        <v>242220.20869872003</v>
      </c>
      <c r="O248" s="2">
        <f>+IFERROR(PRODUCTOS[[#This Row],[PPTO X TORRE]]*22,"")</f>
        <v>5328844.5913718408</v>
      </c>
      <c r="P248" s="3">
        <f>+IFERROR(PRODUCTOS[[#This Row],[CANT X MODULO]]*702,"")</f>
        <v>221.13</v>
      </c>
      <c r="Q248" s="3">
        <f>+SUMIFS(DETALLE_GD_1[CANTIDAD SOLICITADA],DETALLE_GD_1[CODIGO],PRODUCTOS[[#This Row],[CODIGO]])</f>
        <v>5</v>
      </c>
      <c r="R248" s="3">
        <f>+SUMIFS(DETALLE_GD_1[DEVOLUCIÓN],DETALLE_GD_1[CODIGO],PRODUCTOS[[#This Row],[CODIGO]])</f>
        <v>4</v>
      </c>
      <c r="S248" s="3">
        <f>+PRODUCTOS[[#This Row],[CANT. COMPRADA]]-PRODUCTOS[[#This Row],[DEVOLUCIONES]]</f>
        <v>1</v>
      </c>
      <c r="T248" s="3">
        <f>+IFERROR(PRODUCTOS[[#This Row],[CANTIDAD RECIBIDA]]/PRODUCTOS[[#This Row],[CANT X MODULO]],"")</f>
        <v>3.1746031746031744</v>
      </c>
      <c r="U248" s="3">
        <f>+SUMIFS(DETALLE_GD_1[VALOR TOTAL POR ITEM GD],DETALLE_GD_1[CODIGO],PRODUCTOS[[#This Row],[CODIGO]])</f>
        <v>24030</v>
      </c>
      <c r="V248" s="3">
        <f>+IFERROR(PRODUCTOS[[#This Row],[PRECIO DE COMPRA]]/PRODUCTOS[[#This Row],[CANT. COMPRADA]],"")</f>
        <v>4806</v>
      </c>
      <c r="W248" s="3">
        <f>+IFERROR(PRODUCTOS[[#This Row],[PRECIO COMPRA UNITARIO]]*PRODUCTOS[[#This Row],[PPTO FALTANTE]],"")</f>
        <v>1041748.5599999999</v>
      </c>
      <c r="X248" s="7">
        <f>+IFERROR(PRODUCTOS[[#This Row],[PROYECCION COMPRA]]/PRODUCTOS[[#This Row],[PPTO TOTAL]]-1,"")</f>
        <v>-0.80450761095815415</v>
      </c>
      <c r="Y248" s="3">
        <f>+IFERROR((PRODUCTOS[[#This Row],[CANT X MODULO]]*704)-PRODUCTOS[[#This Row],[CANT. COMPRADA]],"")</f>
        <v>216.76</v>
      </c>
      <c r="Z248" s="17">
        <f>+IFERROR(PRODUCTOS[[#This Row],[CANT. COMPRADA]]/PRODUCTOS[[#This Row],[PPTO FALTANTE]],"")</f>
        <v>2.3066986528879868E-2</v>
      </c>
      <c r="AA248" s="3">
        <f>+IFERROR(PRODUCTOS[[#This Row],[PROYECCION COMPRA]]-(PRODUCTOS[[#This Row],[PPTO FALTANTE]]*PRODUCTOS[[#This Row],[PPTO]]),"")</f>
        <v>-4166947.1183268405</v>
      </c>
      <c r="AB248" s="3">
        <f>+_xlfn.XLOOKUP(PRODUCTOS[[#This Row],[CODIGO]],DETALLE_GD_1[CODIGO],DETALLE_GD_1[VALOR PPTO],"",0)</f>
        <v>24029.782599999999</v>
      </c>
      <c r="AC248" s="3">
        <f>+AB248-PRODUCTOS[[#This Row],[PPTO_ACTUALIZADO]]</f>
        <v>-9.000010322779417E-6</v>
      </c>
    </row>
    <row r="249" spans="1:29" x14ac:dyDescent="0.25">
      <c r="A249">
        <v>1801700</v>
      </c>
      <c r="B249" t="s">
        <v>122</v>
      </c>
      <c r="C249" t="s">
        <v>619</v>
      </c>
      <c r="D249">
        <v>0</v>
      </c>
      <c r="E249">
        <v>0</v>
      </c>
      <c r="F249" s="2">
        <v>13379.859504</v>
      </c>
      <c r="G249" s="6" t="s">
        <v>355</v>
      </c>
      <c r="H249" s="2">
        <v>0</v>
      </c>
      <c r="I249" t="b">
        <v>0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1</v>
      </c>
      <c r="M249" s="2">
        <f>+IFERROR(PRODUCTOS[[#This Row],[PPTO]]*PRODUCTOS[[#This Row],[CANT X MODULO]],"")</f>
        <v>13379.859504</v>
      </c>
      <c r="N249" s="2">
        <f>+IFERROR(PRODUCTOS[[#This Row],[PPTO X MODULO]]*32,"")</f>
        <v>428155.504128</v>
      </c>
      <c r="O249" s="2">
        <f>+IFERROR(PRODUCTOS[[#This Row],[PPTO X TORRE]]*22,"")</f>
        <v>9419421.0908160005</v>
      </c>
      <c r="P249" s="3">
        <f>+IFERROR(PRODUCTOS[[#This Row],[CANT X MODULO]]*702,"")</f>
        <v>702</v>
      </c>
      <c r="Q249" s="3">
        <f>+SUMIFS(DETALLE_GD_1[CANTIDAD SOLICITADA],DETALLE_GD_1[CODIGO],PRODUCTOS[[#This Row],[CODIGO]])</f>
        <v>3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3</v>
      </c>
      <c r="T249" s="3">
        <f>+IFERROR(PRODUCTOS[[#This Row],[CANTIDAD RECIBIDA]]/PRODUCTOS[[#This Row],[CANT X MODULO]],"")</f>
        <v>3</v>
      </c>
      <c r="U249" s="3">
        <f>+SUMIFS(DETALLE_GD_1[VALOR TOTAL POR ITEM GD],DETALLE_GD_1[CODIGO],PRODUCTOS[[#This Row],[CODIGO]])</f>
        <v>46652</v>
      </c>
      <c r="V249" s="3">
        <f>+IFERROR(PRODUCTOS[[#This Row],[PRECIO DE COMPRA]]/PRODUCTOS[[#This Row],[CANT. COMPRADA]],"")</f>
        <v>15550.666666666666</v>
      </c>
      <c r="W249" s="3">
        <f>+IFERROR(PRODUCTOS[[#This Row],[PRECIO COMPRA UNITARIO]]*PRODUCTOS[[#This Row],[PPTO FALTANTE]],"")</f>
        <v>10901017.333333332</v>
      </c>
      <c r="X249" s="7">
        <f>+IFERROR(PRODUCTOS[[#This Row],[PROYECCION COMPRA]]/PRODUCTOS[[#This Row],[PPTO TOTAL]]-1,"")</f>
        <v>0.15729164544537655</v>
      </c>
      <c r="Y249" s="3">
        <f>+IFERROR((PRODUCTOS[[#This Row],[CANT X MODULO]]*704)-PRODUCTOS[[#This Row],[CANT. COMPRADA]],"")</f>
        <v>701</v>
      </c>
      <c r="Z249" s="17">
        <f>+IFERROR(PRODUCTOS[[#This Row],[CANT. COMPRADA]]/PRODUCTOS[[#This Row],[PPTO FALTANTE]],"")</f>
        <v>4.2796005706134095E-3</v>
      </c>
      <c r="AA249" s="3">
        <f>+IFERROR(PRODUCTOS[[#This Row],[PROYECCION COMPRA]]-(PRODUCTOS[[#This Row],[PPTO FALTANTE]]*PRODUCTOS[[#This Row],[PPTO]]),"")</f>
        <v>1521735.8210293315</v>
      </c>
      <c r="AB249" s="3">
        <f>+_xlfn.XLOOKUP(PRODUCTOS[[#This Row],[CODIGO]],DETALLE_GD_1[CODIGO],DETALLE_GD_1[VALOR PPTO],"",0)</f>
        <v>13379.8595</v>
      </c>
      <c r="AC249" s="3">
        <f>+AB249-PRODUCTOS[[#This Row],[PPTO_ACTUALIZADO]]</f>
        <v>13379.8595</v>
      </c>
    </row>
    <row r="250" spans="1:29" x14ac:dyDescent="0.25">
      <c r="A250">
        <v>1902013</v>
      </c>
      <c r="B250" t="s">
        <v>338</v>
      </c>
      <c r="C250">
        <v>0</v>
      </c>
      <c r="D250" t="s">
        <v>240</v>
      </c>
      <c r="E250">
        <v>0</v>
      </c>
      <c r="F250" s="2">
        <v>48058.833333000002</v>
      </c>
      <c r="G250" s="6" t="s">
        <v>47</v>
      </c>
      <c r="H250" s="2">
        <v>651.49999999999977</v>
      </c>
      <c r="I250" t="b">
        <v>0</v>
      </c>
      <c r="J250" t="str">
        <f>+_xlfn.XLOOKUP(PRODUCTOS[[#This Row],[CODIGO]],P_CRITICOS[CODIGO],P_CRITICOS[DESC CORTA],"",0)</f>
        <v>PAPEL KRAFT</v>
      </c>
      <c r="K250" t="str">
        <f>+IFERROR(IF(VLOOKUP(PRODUCTOS[[#This Row],[CODIGO]],P_CRITICOS[],3,0)="*","PRODUCTO CRITICO","NO CRITICO"),"NO CRITICO")</f>
        <v>PRODUCTO CRITICO</v>
      </c>
      <c r="L250" s="15">
        <f>+_xlfn.XLOOKUP(PRODUCTOS[[#This Row],[CODIGO]],BD_MODULO[Artículo],BD_MODULO[CUB_ACTUALIZADA],"",0)</f>
        <v>130.33466250000004</v>
      </c>
      <c r="M250" s="2">
        <f>+IFERROR(PRODUCTOS[[#This Row],[PPTO]]*PRODUCTOS[[#This Row],[CANT X MODULO]],"")</f>
        <v>6263731.8226003069</v>
      </c>
      <c r="N250" s="2">
        <f>+IFERROR(PRODUCTOS[[#This Row],[PPTO X MODULO]]*32,"")</f>
        <v>200439418.32320982</v>
      </c>
      <c r="O250" s="2">
        <f>+IFERROR(PRODUCTOS[[#This Row],[PPTO X TORRE]]*22,"")</f>
        <v>4409667203.1106157</v>
      </c>
      <c r="P250" s="3">
        <f>+IFERROR(PRODUCTOS[[#This Row],[CANT X MODULO]]*702,"")</f>
        <v>91494.933075000023</v>
      </c>
      <c r="Q250" s="3">
        <f>+SUMIFS(DETALLE_GD_1[CANTIDAD SOLICITADA],DETALLE_GD_1[CODIGO],PRODUCTOS[[#This Row],[CODIGO]])</f>
        <v>373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373</v>
      </c>
      <c r="T250" s="3">
        <f>+IFERROR(PRODUCTOS[[#This Row],[CANTIDAD RECIBIDA]]/PRODUCTOS[[#This Row],[CANT X MODULO]],"")</f>
        <v>2.8618633972370926</v>
      </c>
      <c r="U250" s="3">
        <f>+SUMIFS(DETALLE_GD_1[VALOR TOTAL POR ITEM GD],DETALLE_GD_1[CODIGO],PRODUCTOS[[#This Row],[CODIGO]])</f>
        <v>14952685</v>
      </c>
      <c r="V250" s="3">
        <f>+IFERROR(PRODUCTOS[[#This Row],[PRECIO DE COMPRA]]/PRODUCTOS[[#This Row],[CANT. COMPRADA]],"")</f>
        <v>40087.627345844507</v>
      </c>
      <c r="W250" s="3">
        <f>+IFERROR(PRODUCTOS[[#This Row],[PRECIO COMPRA UNITARIO]]*PRODUCTOS[[#This Row],[PPTO FALTANTE]],"")</f>
        <v>3663311710.9046769</v>
      </c>
      <c r="X250" s="7">
        <f>+IFERROR(PRODUCTOS[[#This Row],[PROYECCION COMPRA]]/PRODUCTOS[[#This Row],[PPTO TOTAL]]-1,"")</f>
        <v>-0.1692543808474829</v>
      </c>
      <c r="Y250" s="3">
        <f>+IFERROR((PRODUCTOS[[#This Row],[CANT X MODULO]]*704)-PRODUCTOS[[#This Row],[CANT. COMPRADA]],"")</f>
        <v>91382.602400000033</v>
      </c>
      <c r="Z250" s="17">
        <f>+IFERROR(PRODUCTOS[[#This Row],[CANT. COMPRADA]]/PRODUCTOS[[#This Row],[PPTO FALTANTE]],"")</f>
        <v>4.0817397426186654E-3</v>
      </c>
      <c r="AA250" s="3">
        <f>+IFERROR(PRODUCTOS[[#This Row],[PROYECCION COMPRA]]-(PRODUCTOS[[#This Row],[PPTO FALTANTE]]*PRODUCTOS[[#This Row],[PPTO]]),"")</f>
        <v>-728429547.37273073</v>
      </c>
      <c r="AB250" s="3">
        <f>+_xlfn.XLOOKUP(PRODUCTOS[[#This Row],[CODIGO]],DETALLE_GD_1[CODIGO],DETALLE_GD_1[VALOR PPTO],"",0)</f>
        <v>29779</v>
      </c>
      <c r="AC250" s="3">
        <f>+AB250-PRODUCTOS[[#This Row],[PPTO_ACTUALIZADO]]</f>
        <v>29127.5</v>
      </c>
    </row>
    <row r="251" spans="1:29" x14ac:dyDescent="0.25">
      <c r="A251">
        <v>601121</v>
      </c>
      <c r="B251" t="s">
        <v>67</v>
      </c>
      <c r="C251" t="s">
        <v>583</v>
      </c>
      <c r="D251" t="s">
        <v>244</v>
      </c>
      <c r="E251" t="s">
        <v>407</v>
      </c>
      <c r="F251" s="2">
        <v>35000</v>
      </c>
      <c r="G251" s="6" t="s">
        <v>68</v>
      </c>
      <c r="H251" s="2">
        <v>35000</v>
      </c>
      <c r="I251" t="b">
        <v>1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0.55125000000000002</v>
      </c>
      <c r="M251" s="2">
        <f>+IFERROR(PRODUCTOS[[#This Row],[PPTO]]*PRODUCTOS[[#This Row],[CANT X MODULO]],"")</f>
        <v>19293.75</v>
      </c>
      <c r="N251" s="2">
        <f>+IFERROR(PRODUCTOS[[#This Row],[PPTO X MODULO]]*32,"")</f>
        <v>617400</v>
      </c>
      <c r="O251" s="2">
        <f>+IFERROR(PRODUCTOS[[#This Row],[PPTO X TORRE]]*22,"")</f>
        <v>13582800</v>
      </c>
      <c r="P251" s="3">
        <f>+IFERROR(PRODUCTOS[[#This Row],[CANT X MODULO]]*702,"")</f>
        <v>386.97750000000002</v>
      </c>
      <c r="Q251" s="3">
        <f>+SUMIFS(DETALLE_GD_1[CANTIDAD SOLICITADA],DETALLE_GD_1[CODIGO],PRODUCTOS[[#This Row],[CODIGO]])</f>
        <v>1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1</v>
      </c>
      <c r="T251" s="3">
        <f>+IFERROR(PRODUCTOS[[#This Row],[CANTIDAD RECIBIDA]]/PRODUCTOS[[#This Row],[CANT X MODULO]],"")</f>
        <v>1.8140589569160996</v>
      </c>
      <c r="U251" s="3">
        <f>+SUMIFS(DETALLE_GD_1[VALOR TOTAL POR ITEM GD],DETALLE_GD_1[CODIGO],PRODUCTOS[[#This Row],[CODIGO]])</f>
        <v>35000</v>
      </c>
      <c r="V251" s="3">
        <f>+IFERROR(PRODUCTOS[[#This Row],[PRECIO DE COMPRA]]/PRODUCTOS[[#This Row],[CANT. COMPRADA]],"")</f>
        <v>35000</v>
      </c>
      <c r="W251" s="3">
        <f>+IFERROR(PRODUCTOS[[#This Row],[PRECIO COMPRA UNITARIO]]*PRODUCTOS[[#This Row],[PPTO FALTANTE]],"")</f>
        <v>13547800.000000002</v>
      </c>
      <c r="X251" s="7">
        <f>+IFERROR(PRODUCTOS[[#This Row],[PROYECCION COMPRA]]/PRODUCTOS[[#This Row],[PPTO TOTAL]]-1,"")</f>
        <v>-2.5767882910738837E-3</v>
      </c>
      <c r="Y251" s="3">
        <f>+IFERROR((PRODUCTOS[[#This Row],[CANT X MODULO]]*704)-PRODUCTOS[[#This Row],[CANT. COMPRADA]],"")</f>
        <v>387.08000000000004</v>
      </c>
      <c r="Z251" s="17">
        <f>+IFERROR(PRODUCTOS[[#This Row],[CANT. COMPRADA]]/PRODUCTOS[[#This Row],[PPTO FALTANTE]],"")</f>
        <v>2.5834452826289135E-3</v>
      </c>
      <c r="AA251" s="3">
        <f>+IFERROR(PRODUCTOS[[#This Row],[PROYECCION COMPRA]]-(PRODUCTOS[[#This Row],[PPTO FALTANTE]]*PRODUCTOS[[#This Row],[PPTO]]),"")</f>
        <v>0</v>
      </c>
      <c r="AB251" s="3">
        <f>+_xlfn.XLOOKUP(PRODUCTOS[[#This Row],[CODIGO]],DETALLE_GD_1[CODIGO],DETALLE_GD_1[VALOR PPTO],"",0)</f>
        <v>35000</v>
      </c>
      <c r="AC251" s="3">
        <f>+AB251-PRODUCTOS[[#This Row],[PPTO_ACTUALIZADO]]</f>
        <v>0</v>
      </c>
    </row>
    <row r="252" spans="1:29" x14ac:dyDescent="0.25">
      <c r="A252">
        <v>1003500</v>
      </c>
      <c r="B252" t="s">
        <v>149</v>
      </c>
      <c r="C252" t="s">
        <v>634</v>
      </c>
      <c r="D252" t="s">
        <v>240</v>
      </c>
      <c r="E252" t="s">
        <v>411</v>
      </c>
      <c r="F252" s="2">
        <v>5092.1000000000004</v>
      </c>
      <c r="G252" s="6" t="s">
        <v>137</v>
      </c>
      <c r="H252" s="2">
        <v>5092.1000000000013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13.650000000000002</v>
      </c>
      <c r="M252" s="2">
        <f>+IFERROR(PRODUCTOS[[#This Row],[PPTO]]*PRODUCTOS[[#This Row],[CANT X MODULO]],"")</f>
        <v>69507.165000000023</v>
      </c>
      <c r="N252" s="2">
        <f>+IFERROR(PRODUCTOS[[#This Row],[PPTO X MODULO]]*32,"")</f>
        <v>2224229.2800000007</v>
      </c>
      <c r="O252" s="2">
        <f>+IFERROR(PRODUCTOS[[#This Row],[PPTO X TORRE]]*22,"")</f>
        <v>48933044.160000019</v>
      </c>
      <c r="P252" s="3">
        <f>+IFERROR(PRODUCTOS[[#This Row],[CANT X MODULO]]*702,"")</f>
        <v>9582.3000000000011</v>
      </c>
      <c r="Q252" s="3">
        <f>+SUMIFS(DETALLE_GD_1[CANTIDAD SOLICITADA],DETALLE_GD_1[CODIGO],PRODUCTOS[[#This Row],[CODIGO]])</f>
        <v>20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20</v>
      </c>
      <c r="T252" s="3">
        <f>+IFERROR(PRODUCTOS[[#This Row],[CANTIDAD RECIBIDA]]/PRODUCTOS[[#This Row],[CANT X MODULO]],"")</f>
        <v>1.4652014652014649</v>
      </c>
      <c r="U252" s="3">
        <f>+SUMIFS(DETALLE_GD_1[VALOR TOTAL POR ITEM GD],DETALLE_GD_1[CODIGO],PRODUCTOS[[#This Row],[CODIGO]])</f>
        <v>101842</v>
      </c>
      <c r="V252" s="3">
        <f>+IFERROR(PRODUCTOS[[#This Row],[PRECIO DE COMPRA]]/PRODUCTOS[[#This Row],[CANT. COMPRADA]],"")</f>
        <v>5092.1000000000004</v>
      </c>
      <c r="W252" s="3">
        <f>+IFERROR(PRODUCTOS[[#This Row],[PRECIO COMPRA UNITARIO]]*PRODUCTOS[[#This Row],[PPTO FALTANTE]],"")</f>
        <v>48831202.160000011</v>
      </c>
      <c r="X252" s="7">
        <f>+IFERROR(PRODUCTOS[[#This Row],[PROYECCION COMPRA]]/PRODUCTOS[[#This Row],[PPTO TOTAL]]-1,"")</f>
        <v>-2.0812520812522051E-3</v>
      </c>
      <c r="Y252" s="3">
        <f>+IFERROR((PRODUCTOS[[#This Row],[CANT X MODULO]]*704)-PRODUCTOS[[#This Row],[CANT. COMPRADA]],"")</f>
        <v>9589.6000000000022</v>
      </c>
      <c r="Z252" s="17">
        <f>+IFERROR(PRODUCTOS[[#This Row],[CANT. COMPRADA]]/PRODUCTOS[[#This Row],[PPTO FALTANTE]],"")</f>
        <v>2.0855927254525733E-3</v>
      </c>
      <c r="AA252" s="3">
        <f>+IFERROR(PRODUCTOS[[#This Row],[PROYECCION COMPRA]]-(PRODUCTOS[[#This Row],[PPTO FALTANTE]]*PRODUCTOS[[#This Row],[PPTO]]),"")</f>
        <v>0</v>
      </c>
      <c r="AB252" s="3">
        <f>+_xlfn.XLOOKUP(PRODUCTOS[[#This Row],[CODIGO]],DETALLE_GD_1[CODIGO],DETALLE_GD_1[VALOR PPTO],"",0)</f>
        <v>5092.1000000000004</v>
      </c>
      <c r="AC252" s="3">
        <f>+AB252-PRODUCTOS[[#This Row],[PPTO_ACTUALIZADO]]</f>
        <v>0</v>
      </c>
    </row>
    <row r="253" spans="1:29" x14ac:dyDescent="0.25">
      <c r="A253">
        <v>1801155</v>
      </c>
      <c r="B253" t="s">
        <v>98</v>
      </c>
      <c r="C253" t="s">
        <v>601</v>
      </c>
      <c r="D253" t="s">
        <v>244</v>
      </c>
      <c r="E253" t="s">
        <v>406</v>
      </c>
      <c r="F253" s="2">
        <v>23733.489796000002</v>
      </c>
      <c r="G253" s="6" t="s">
        <v>355</v>
      </c>
      <c r="H253" s="2">
        <v>0</v>
      </c>
      <c r="I253" t="b">
        <v>0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8</v>
      </c>
      <c r="M253" s="2">
        <f>+IFERROR(PRODUCTOS[[#This Row],[PPTO]]*PRODUCTOS[[#This Row],[CANT X MODULO]],"")</f>
        <v>189867.91836800001</v>
      </c>
      <c r="N253" s="2">
        <f>+IFERROR(PRODUCTOS[[#This Row],[PPTO X MODULO]]*32,"")</f>
        <v>6075773.3877760004</v>
      </c>
      <c r="O253" s="2">
        <f>+IFERROR(PRODUCTOS[[#This Row],[PPTO X TORRE]]*22,"")</f>
        <v>133667014.53107201</v>
      </c>
      <c r="P253" s="3">
        <f>+IFERROR(PRODUCTOS[[#This Row],[CANT X MODULO]]*702,"")</f>
        <v>5616</v>
      </c>
      <c r="Q253" s="3">
        <f>+SUMIFS(DETALLE_GD_1[CANTIDAD SOLICITADA],DETALLE_GD_1[CODIGO],PRODUCTOS[[#This Row],[CODIGO]])</f>
        <v>1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1</v>
      </c>
      <c r="T253" s="3">
        <f>+IFERROR(PRODUCTOS[[#This Row],[CANTIDAD RECIBIDA]]/PRODUCTOS[[#This Row],[CANT X MODULO]],"")</f>
        <v>0.125</v>
      </c>
      <c r="U253" s="3">
        <f>+SUMIFS(DETALLE_GD_1[VALOR TOTAL POR ITEM GD],DETALLE_GD_1[CODIGO],PRODUCTOS[[#This Row],[CODIGO]])</f>
        <v>23734</v>
      </c>
      <c r="V253" s="3">
        <f>+IFERROR(PRODUCTOS[[#This Row],[PRECIO DE COMPRA]]/PRODUCTOS[[#This Row],[CANT. COMPRADA]],"")</f>
        <v>23734</v>
      </c>
      <c r="W253" s="3">
        <f>+IFERROR(PRODUCTOS[[#This Row],[PRECIO COMPRA UNITARIO]]*PRODUCTOS[[#This Row],[PPTO FALTANTE]],"")</f>
        <v>133646154</v>
      </c>
      <c r="X253" s="7">
        <f>+IFERROR(PRODUCTOS[[#This Row],[PROYECCION COMPRA]]/PRODUCTOS[[#This Row],[PPTO TOTAL]]-1,"")</f>
        <v>-1.5606341732987694E-4</v>
      </c>
      <c r="Y253" s="3">
        <f>+IFERROR((PRODUCTOS[[#This Row],[CANT X MODULO]]*704)-PRODUCTOS[[#This Row],[CANT. COMPRADA]],"")</f>
        <v>5631</v>
      </c>
      <c r="Z253" s="17">
        <f>+IFERROR(PRODUCTOS[[#This Row],[CANT. COMPRADA]]/PRODUCTOS[[#This Row],[PPTO FALTANTE]],"")</f>
        <v>1.775883502042266E-4</v>
      </c>
      <c r="AA253" s="3">
        <f>+IFERROR(PRODUCTOS[[#This Row],[PROYECCION COMPRA]]-(PRODUCTOS[[#This Row],[PPTO FALTANTE]]*PRODUCTOS[[#This Row],[PPTO]]),"")</f>
        <v>2872.9587239921093</v>
      </c>
      <c r="AB253" s="3">
        <f>+_xlfn.XLOOKUP(PRODUCTOS[[#This Row],[CODIGO]],DETALLE_GD_1[CODIGO],DETALLE_GD_1[VALOR PPTO],"",0)</f>
        <v>23733.489799999999</v>
      </c>
      <c r="AC253" s="3">
        <f>+AB253-PRODUCTOS[[#This Row],[PPTO_ACTUALIZADO]]</f>
        <v>23733.489799999999</v>
      </c>
    </row>
    <row r="254" spans="1:29" x14ac:dyDescent="0.25">
      <c r="A254" t="s">
        <v>241</v>
      </c>
      <c r="B254" t="s">
        <v>35</v>
      </c>
      <c r="C254">
        <v>0</v>
      </c>
      <c r="D254" t="s">
        <v>240</v>
      </c>
      <c r="E254" t="s">
        <v>399</v>
      </c>
      <c r="F254" s="2">
        <v>233358.08812299999</v>
      </c>
      <c r="G254" s="6" t="s">
        <v>36</v>
      </c>
      <c r="H254" s="2">
        <v>233358.08812299999</v>
      </c>
      <c r="I254" t="b">
        <v>1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5.46875E-2</v>
      </c>
      <c r="M254" s="2">
        <f>+IFERROR(PRODUCTOS[[#This Row],[PPTO]]*PRODUCTOS[[#This Row],[CANT X MODULO]],"")</f>
        <v>12761.770444226562</v>
      </c>
      <c r="N254" s="2">
        <f>+IFERROR(PRODUCTOS[[#This Row],[PPTO X MODULO]]*32,"")</f>
        <v>408376.65421524999</v>
      </c>
      <c r="O254" s="2">
        <f>+IFERROR(PRODUCTOS[[#This Row],[PPTO X TORRE]]*22,"")</f>
        <v>8984286.3927354999</v>
      </c>
      <c r="P254" s="3">
        <f>+IFERROR(PRODUCTOS[[#This Row],[CANT X MODULO]]*702,"")</f>
        <v>38.390625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38.5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  <row r="255" spans="1:29" x14ac:dyDescent="0.25">
      <c r="A255">
        <v>1701071</v>
      </c>
      <c r="B255" t="s">
        <v>257</v>
      </c>
      <c r="C255">
        <v>0</v>
      </c>
      <c r="D255" t="s">
        <v>258</v>
      </c>
      <c r="E255" t="s">
        <v>405</v>
      </c>
      <c r="F255" s="2">
        <v>7389.9801699999998</v>
      </c>
      <c r="G255" s="6" t="s">
        <v>31</v>
      </c>
      <c r="H255" s="2">
        <v>7389.9801699999998</v>
      </c>
      <c r="I255" t="b">
        <v>1</v>
      </c>
      <c r="J255" t="str">
        <f>+_xlfn.XLOOKUP(PRODUCTOS[[#This Row],[CODIGO]],P_CRITICOS[CODIGO],P_CRITICOS[DESC CORTA],"",0)</f>
        <v/>
      </c>
      <c r="K255" t="str">
        <f>+IFERROR(IF(VLOOKUP(PRODUCTOS[[#This Row],[CODIGO]],P_CRITICOS[],3,0)="*","PRODUCTO CRITICO","NO CRITICO"),"NO CRITICO")</f>
        <v>NO CRITICO</v>
      </c>
      <c r="L255" s="15">
        <f>+_xlfn.XLOOKUP(PRODUCTOS[[#This Row],[CODIGO]],BD_MODULO[Artículo],BD_MODULO[CUB_ACTUALIZADA],"",0)</f>
        <v>0.52500000000000002</v>
      </c>
      <c r="M255" s="2">
        <f>+IFERROR(PRODUCTOS[[#This Row],[PPTO]]*PRODUCTOS[[#This Row],[CANT X MODULO]],"")</f>
        <v>3879.7395892499999</v>
      </c>
      <c r="N255" s="2">
        <f>+IFERROR(PRODUCTOS[[#This Row],[PPTO X MODULO]]*32,"")</f>
        <v>124151.666856</v>
      </c>
      <c r="O255" s="2">
        <f>+IFERROR(PRODUCTOS[[#This Row],[PPTO X TORRE]]*22,"")</f>
        <v>2731336.6708319997</v>
      </c>
      <c r="P255" s="3">
        <f>+IFERROR(PRODUCTOS[[#This Row],[CANT X MODULO]]*702,"")</f>
        <v>368.55</v>
      </c>
      <c r="Q255" s="3">
        <f>+SUMIFS(DETALLE_GD_1[CANTIDAD SOLICITADA],DETALLE_GD_1[CODIGO],PRODUCTOS[[#This Row],[CODIGO]])</f>
        <v>4</v>
      </c>
      <c r="R255" s="3">
        <f>+SUMIFS(DETALLE_GD_1[DEVOLUCIÓN],DETALLE_GD_1[CODIGO],PRODUCTOS[[#This Row],[CODIGO]])</f>
        <v>4</v>
      </c>
      <c r="S255" s="3">
        <f>+PRODUCTOS[[#This Row],[CANT. COMPRADA]]-PRODUCTOS[[#This Row],[DEVOLUCIONES]]</f>
        <v>0</v>
      </c>
      <c r="T255" s="3">
        <f>+IFERROR(PRODUCTOS[[#This Row],[CANTIDAD RECIBIDA]]/PRODUCTOS[[#This Row],[CANT X MODULO]],"")</f>
        <v>0</v>
      </c>
      <c r="U255" s="3">
        <f>+SUMIFS(DETALLE_GD_1[VALOR TOTAL POR ITEM GD],DETALLE_GD_1[CODIGO],PRODUCTOS[[#This Row],[CODIGO]])</f>
        <v>0</v>
      </c>
      <c r="V255" s="3">
        <f>+IFERROR(PRODUCTOS[[#This Row],[PRECIO DE COMPRA]]/PRODUCTOS[[#This Row],[CANT. COMPRADA]],"")</f>
        <v>0</v>
      </c>
      <c r="W255" s="3">
        <f>+IFERROR(PRODUCTOS[[#This Row],[PRECIO COMPRA UNITARIO]]*PRODUCTOS[[#This Row],[PPTO FALTANTE]],"")</f>
        <v>0</v>
      </c>
      <c r="X255" s="7">
        <f>+IFERROR(PRODUCTOS[[#This Row],[PROYECCION COMPRA]]/PRODUCTOS[[#This Row],[PPTO TOTAL]]-1,"")</f>
        <v>-1</v>
      </c>
      <c r="Y255" s="3">
        <f>+IFERROR((PRODUCTOS[[#This Row],[CANT X MODULO]]*704)-PRODUCTOS[[#This Row],[CANT. COMPRADA]],"")</f>
        <v>365.6</v>
      </c>
      <c r="Z255" s="17">
        <f>+IFERROR(PRODUCTOS[[#This Row],[CANT. COMPRADA]]/PRODUCTOS[[#This Row],[PPTO FALTANTE]],"")</f>
        <v>1.0940919037199124E-2</v>
      </c>
      <c r="AA255" s="3">
        <f>+IFERROR(PRODUCTOS[[#This Row],[PROYECCION COMPRA]]-(PRODUCTOS[[#This Row],[PPTO FALTANTE]]*PRODUCTOS[[#This Row],[PPTO]]),"")</f>
        <v>-2701776.7501520002</v>
      </c>
      <c r="AB255" s="3">
        <f>+_xlfn.XLOOKUP(PRODUCTOS[[#This Row],[CODIGO]],DETALLE_GD_1[CODIGO],DETALLE_GD_1[VALOR PPTO],"",0)</f>
        <v>7389.9802</v>
      </c>
      <c r="AC255" s="3">
        <f>+AB255-PRODUCTOS[[#This Row],[PPTO_ACTUALIZADO]]</f>
        <v>3.0000000151630957E-5</v>
      </c>
    </row>
    <row r="256" spans="1:29" x14ac:dyDescent="0.25">
      <c r="A256">
        <v>1808083</v>
      </c>
      <c r="B256" t="s">
        <v>271</v>
      </c>
      <c r="C256">
        <v>0</v>
      </c>
      <c r="D256" t="s">
        <v>244</v>
      </c>
      <c r="E256" t="s">
        <v>406</v>
      </c>
      <c r="F256" s="2">
        <v>4137</v>
      </c>
      <c r="G256" s="6" t="s">
        <v>31</v>
      </c>
      <c r="H256" s="2">
        <v>4137</v>
      </c>
      <c r="I256" t="b">
        <v>1</v>
      </c>
      <c r="J256" t="str">
        <f>+_xlfn.XLOOKUP(PRODUCTOS[[#This Row],[CODIGO]],P_CRITICOS[CODIGO],P_CRITICOS[DESC CORTA],"",0)</f>
        <v/>
      </c>
      <c r="K256" t="str">
        <f>+IFERROR(IF(VLOOKUP(PRODUCTOS[[#This Row],[CODIGO]],P_CRITICOS[],3,0)="*","PRODUCTO CRITICO","NO CRITICO"),"NO CRITICO")</f>
        <v>NO CRITICO</v>
      </c>
      <c r="L256" s="15">
        <f>+_xlfn.XLOOKUP(PRODUCTOS[[#This Row],[CODIGO]],BD_MODULO[Artículo],BD_MODULO[CUB_ACTUALIZADA],"",0)</f>
        <v>0.52500000000000002</v>
      </c>
      <c r="M256" s="2">
        <f>+IFERROR(PRODUCTOS[[#This Row],[PPTO]]*PRODUCTOS[[#This Row],[CANT X MODULO]],"")</f>
        <v>2171.9250000000002</v>
      </c>
      <c r="N256" s="2">
        <f>+IFERROR(PRODUCTOS[[#This Row],[PPTO X MODULO]]*32,"")</f>
        <v>69501.600000000006</v>
      </c>
      <c r="O256" s="2">
        <f>+IFERROR(PRODUCTOS[[#This Row],[PPTO X TORRE]]*22,"")</f>
        <v>1529035.2000000002</v>
      </c>
      <c r="P256" s="3">
        <f>+IFERROR(PRODUCTOS[[#This Row],[CANT X MODULO]]*702,"")</f>
        <v>368.55</v>
      </c>
      <c r="Q256" s="3">
        <f>+SUMIFS(DETALLE_GD_1[CANTIDAD SOLICITADA],DETALLE_GD_1[CODIGO],PRODUCTOS[[#This Row],[CODIGO]])</f>
        <v>0</v>
      </c>
      <c r="R256" s="3">
        <f>+SUMIFS(DETALLE_GD_1[DEVOLUCIÓN],DETALLE_GD_1[CODIGO],PRODUCTOS[[#This Row],[CODIGO]])</f>
        <v>0</v>
      </c>
      <c r="S256" s="3">
        <f>+PRODUCTOS[[#This Row],[CANT. COMPRADA]]-PRODUCTOS[[#This Row],[DEVOLUCIONES]]</f>
        <v>0</v>
      </c>
      <c r="T256" s="3">
        <f>+IFERROR(PRODUCTOS[[#This Row],[CANTIDAD RECIBIDA]]/PRODUCTOS[[#This Row],[CANT X MODULO]],"")</f>
        <v>0</v>
      </c>
      <c r="U256" s="3">
        <f>+SUMIFS(DETALLE_GD_1[VALOR TOTAL POR ITEM GD],DETALLE_GD_1[CODIGO],PRODUCTOS[[#This Row],[CODIGO]])</f>
        <v>0</v>
      </c>
      <c r="V256" s="3" t="str">
        <f>+IFERROR(PRODUCTOS[[#This Row],[PRECIO DE COMPRA]]/PRODUCTOS[[#This Row],[CANT. COMPRADA]],"")</f>
        <v/>
      </c>
      <c r="W256" s="3" t="str">
        <f>+IFERROR(PRODUCTOS[[#This Row],[PRECIO COMPRA UNITARIO]]*PRODUCTOS[[#This Row],[PPTO FALTANTE]],"")</f>
        <v/>
      </c>
      <c r="X256" s="7" t="str">
        <f>+IFERROR(PRODUCTOS[[#This Row],[PROYECCION COMPRA]]/PRODUCTOS[[#This Row],[PPTO TOTAL]]-1,"")</f>
        <v/>
      </c>
      <c r="Y256" s="3">
        <f>+IFERROR((PRODUCTOS[[#This Row],[CANT X MODULO]]*704)-PRODUCTOS[[#This Row],[CANT. COMPRADA]],"")</f>
        <v>369.6</v>
      </c>
      <c r="Z256" s="17">
        <f>+IFERROR(PRODUCTOS[[#This Row],[CANT. COMPRADA]]/PRODUCTOS[[#This Row],[PPTO FALTANTE]],"")</f>
        <v>0</v>
      </c>
      <c r="AA256" s="3" t="str">
        <f>+IFERROR(PRODUCTOS[[#This Row],[PROYECCION COMPRA]]-(PRODUCTOS[[#This Row],[PPTO FALTANTE]]*PRODUCTOS[[#This Row],[PPTO]]),"")</f>
        <v/>
      </c>
      <c r="AB256" s="3" t="str">
        <f>+_xlfn.XLOOKUP(PRODUCTOS[[#This Row],[CODIGO]],DETALLE_GD_1[CODIGO],DETALLE_GD_1[VALOR PPTO],"",0)</f>
        <v/>
      </c>
      <c r="AC256" s="3" t="e">
        <f>+AB256-PRODUCTOS[[#This Row],[PPTO_ACTUALIZADO]]</f>
        <v>#VALUE!</v>
      </c>
    </row>
    <row r="257" spans="1:29" x14ac:dyDescent="0.25">
      <c r="A257">
        <v>2302050</v>
      </c>
      <c r="B257" t="s">
        <v>285</v>
      </c>
      <c r="C257">
        <v>0</v>
      </c>
      <c r="D257" t="s">
        <v>240</v>
      </c>
      <c r="E257" t="s">
        <v>399</v>
      </c>
      <c r="F257" s="2">
        <v>7567</v>
      </c>
      <c r="G257" s="6" t="s">
        <v>355</v>
      </c>
      <c r="H257" s="2">
        <v>7567</v>
      </c>
      <c r="I257" t="b">
        <v>1</v>
      </c>
      <c r="J257" t="str">
        <f>+_xlfn.XLOOKUP(PRODUCTOS[[#This Row],[CODIGO]],P_CRITICOS[CODIGO],P_CRITICOS[DESC CORTA],"",0)</f>
        <v/>
      </c>
      <c r="K257" t="str">
        <f>+IFERROR(IF(VLOOKUP(PRODUCTOS[[#This Row],[CODIGO]],P_CRITICOS[],3,0)="*","PRODUCTO CRITICO","NO CRITICO"),"NO CRITICO")</f>
        <v>NO CRITICO</v>
      </c>
      <c r="L257" s="15">
        <f>+_xlfn.XLOOKUP(PRODUCTOS[[#This Row],[CODIGO]],BD_MODULO[Artículo],BD_MODULO[CUB_ACTUALIZADA],"",0)</f>
        <v>3.1500000000000012</v>
      </c>
      <c r="M257" s="2">
        <f>+IFERROR(PRODUCTOS[[#This Row],[PPTO]]*PRODUCTOS[[#This Row],[CANT X MODULO]],"")</f>
        <v>23836.05000000001</v>
      </c>
      <c r="N257" s="2">
        <f>+IFERROR(PRODUCTOS[[#This Row],[PPTO X MODULO]]*32,"")</f>
        <v>762753.60000000033</v>
      </c>
      <c r="O257" s="2">
        <f>+IFERROR(PRODUCTOS[[#This Row],[PPTO X TORRE]]*22,"")</f>
        <v>16780579.200000007</v>
      </c>
      <c r="P257" s="3">
        <f>+IFERROR(PRODUCTOS[[#This Row],[CANT X MODULO]]*702,"")</f>
        <v>2211.3000000000011</v>
      </c>
      <c r="Q257" s="3">
        <f>+SUMIFS(DETALLE_GD_1[CANTIDAD SOLICITADA],DETALLE_GD_1[CODIGO],PRODUCTOS[[#This Row],[CODIGO]])</f>
        <v>0</v>
      </c>
      <c r="R257" s="3">
        <f>+SUMIFS(DETALLE_GD_1[DEVOLUCIÓN],DETALLE_GD_1[CODIGO],PRODUCTOS[[#This Row],[CODIGO]])</f>
        <v>0</v>
      </c>
      <c r="S257" s="3">
        <f>+PRODUCTOS[[#This Row],[CANT. COMPRADA]]-PRODUCTOS[[#This Row],[DEVOLUCIONES]]</f>
        <v>0</v>
      </c>
      <c r="T257" s="3">
        <f>+IFERROR(PRODUCTOS[[#This Row],[CANTIDAD RECIBIDA]]/PRODUCTOS[[#This Row],[CANT X MODULO]],"")</f>
        <v>0</v>
      </c>
      <c r="U257" s="3">
        <f>+SUMIFS(DETALLE_GD_1[VALOR TOTAL POR ITEM GD],DETALLE_GD_1[CODIGO],PRODUCTOS[[#This Row],[CODIGO]])</f>
        <v>0</v>
      </c>
      <c r="V257" s="3" t="str">
        <f>+IFERROR(PRODUCTOS[[#This Row],[PRECIO DE COMPRA]]/PRODUCTOS[[#This Row],[CANT. COMPRADA]],"")</f>
        <v/>
      </c>
      <c r="W257" s="3" t="str">
        <f>+IFERROR(PRODUCTOS[[#This Row],[PRECIO COMPRA UNITARIO]]*PRODUCTOS[[#This Row],[PPTO FALTANTE]],"")</f>
        <v/>
      </c>
      <c r="X257" s="7" t="str">
        <f>+IFERROR(PRODUCTOS[[#This Row],[PROYECCION COMPRA]]/PRODUCTOS[[#This Row],[PPTO TOTAL]]-1,"")</f>
        <v/>
      </c>
      <c r="Y257" s="3">
        <f>+IFERROR((PRODUCTOS[[#This Row],[CANT X MODULO]]*704)-PRODUCTOS[[#This Row],[CANT. COMPRADA]],"")</f>
        <v>2217.6000000000008</v>
      </c>
      <c r="Z257" s="17">
        <f>+IFERROR(PRODUCTOS[[#This Row],[CANT. COMPRADA]]/PRODUCTOS[[#This Row],[PPTO FALTANTE]],"")</f>
        <v>0</v>
      </c>
      <c r="AA257" s="3" t="str">
        <f>+IFERROR(PRODUCTOS[[#This Row],[PROYECCION COMPRA]]-(PRODUCTOS[[#This Row],[PPTO FALTANTE]]*PRODUCTOS[[#This Row],[PPTO]]),"")</f>
        <v/>
      </c>
      <c r="AB257" s="3" t="str">
        <f>+_xlfn.XLOOKUP(PRODUCTOS[[#This Row],[CODIGO]],DETALLE_GD_1[CODIGO],DETALLE_GD_1[VALOR PPTO],"",0)</f>
        <v/>
      </c>
      <c r="AC257" s="3" t="e">
        <f>+AB257-PRODUCTOS[[#This Row],[PPTO_ACTUALIZADO]]</f>
        <v>#VALUE!</v>
      </c>
    </row>
    <row r="258" spans="1:29" x14ac:dyDescent="0.25">
      <c r="A258" t="s">
        <v>353</v>
      </c>
      <c r="B258" t="s">
        <v>347</v>
      </c>
      <c r="C258" t="s">
        <v>528</v>
      </c>
      <c r="D258" t="s">
        <v>240</v>
      </c>
      <c r="E258" t="s">
        <v>412</v>
      </c>
      <c r="F258" s="2">
        <v>9390</v>
      </c>
      <c r="G258" s="6" t="s">
        <v>18</v>
      </c>
      <c r="H258" s="2">
        <v>9390</v>
      </c>
      <c r="I258" t="b">
        <v>1</v>
      </c>
      <c r="J258" t="str">
        <f>+_xlfn.XLOOKUP(PRODUCTOS[[#This Row],[CODIGO]],P_CRITICOS[CODIGO],P_CRITICOS[DESC CORTA],"",0)</f>
        <v>ESPUMA EXPANSIVA</v>
      </c>
      <c r="K258" t="str">
        <f>+IFERROR(IF(VLOOKUP(PRODUCTOS[[#This Row],[CODIGO]],P_CRITICOS[],3,0)="*","PRODUCTO CRITICO","NO CRITICO"),"NO CRITICO")</f>
        <v>PRODUCTO CRITICO</v>
      </c>
      <c r="L258" s="15">
        <f>+_xlfn.XLOOKUP(PRODUCTOS[[#This Row],[CODIGO]],BD_MODULO[Artículo],BD_MODULO[CUB_ACTUALIZADA],"",0)</f>
        <v>17.587499999999999</v>
      </c>
      <c r="M258" s="2">
        <f>+IFERROR(PRODUCTOS[[#This Row],[PPTO]]*PRODUCTOS[[#This Row],[CANT X MODULO]],"")</f>
        <v>165146.625</v>
      </c>
      <c r="N258" s="2">
        <f>+IFERROR(PRODUCTOS[[#This Row],[PPTO X MODULO]]*32,"")</f>
        <v>5284692</v>
      </c>
      <c r="O258" s="2">
        <f>+IFERROR(PRODUCTOS[[#This Row],[PPTO X TORRE]]*22,"")</f>
        <v>116263224</v>
      </c>
      <c r="P258" s="3">
        <f>+IFERROR(PRODUCTOS[[#This Row],[CANT X MODULO]]*702,"")</f>
        <v>12346.424999999999</v>
      </c>
      <c r="Q258" s="3">
        <f>+SUMIFS(DETALLE_GD_1[CANTIDAD SOLICITADA],DETALLE_GD_1[CODIGO],PRODUCTOS[[#This Row],[CODIGO]])</f>
        <v>0</v>
      </c>
      <c r="R258" s="3">
        <f>+SUMIFS(DETALLE_GD_1[DEVOLUCIÓN],DETALLE_GD_1[CODIGO],PRODUCTOS[[#This Row],[CODIGO]])</f>
        <v>0</v>
      </c>
      <c r="S258" s="3">
        <f>+PRODUCTOS[[#This Row],[CANT. COMPRADA]]-PRODUCTOS[[#This Row],[DEVOLUCIONES]]</f>
        <v>0</v>
      </c>
      <c r="T258" s="3">
        <f>+IFERROR(PRODUCTOS[[#This Row],[CANTIDAD RECIBIDA]]/PRODUCTOS[[#This Row],[CANT X MODULO]],"")</f>
        <v>0</v>
      </c>
      <c r="U258" s="3">
        <f>+SUMIFS(DETALLE_GD_1[VALOR TOTAL POR ITEM GD],DETALLE_GD_1[CODIGO],PRODUCTOS[[#This Row],[CODIGO]])</f>
        <v>0</v>
      </c>
      <c r="V258" s="3" t="str">
        <f>+IFERROR(PRODUCTOS[[#This Row],[PRECIO DE COMPRA]]/PRODUCTOS[[#This Row],[CANT. COMPRADA]],"")</f>
        <v/>
      </c>
      <c r="W258" s="3" t="str">
        <f>+IFERROR(PRODUCTOS[[#This Row],[PRECIO COMPRA UNITARIO]]*PRODUCTOS[[#This Row],[PPTO FALTANTE]],"")</f>
        <v/>
      </c>
      <c r="X258" s="7" t="str">
        <f>+IFERROR(PRODUCTOS[[#This Row],[PROYECCION COMPRA]]/PRODUCTOS[[#This Row],[PPTO TOTAL]]-1,"")</f>
        <v/>
      </c>
      <c r="Y258" s="3">
        <f>+IFERROR((PRODUCTOS[[#This Row],[CANT X MODULO]]*704)-PRODUCTOS[[#This Row],[CANT. COMPRADA]],"")</f>
        <v>12381.599999999999</v>
      </c>
      <c r="Z258" s="17">
        <f>+IFERROR(PRODUCTOS[[#This Row],[CANT. COMPRADA]]/PRODUCTOS[[#This Row],[PPTO FALTANTE]],"")</f>
        <v>0</v>
      </c>
      <c r="AA258" s="3" t="str">
        <f>+IFERROR(PRODUCTOS[[#This Row],[PROYECCION COMPRA]]-(PRODUCTOS[[#This Row],[PPTO FALTANTE]]*PRODUCTOS[[#This Row],[PPTO]]),"")</f>
        <v/>
      </c>
      <c r="AB258" s="3" t="str">
        <f>+_xlfn.XLOOKUP(PRODUCTOS[[#This Row],[CODIGO]],DETALLE_GD_1[CODIGO],DETALLE_GD_1[VALOR PPTO],"",0)</f>
        <v/>
      </c>
      <c r="AC258" s="3" t="e">
        <f>+AB258-PRODUCTOS[[#This Row],[PPTO_ACTUALIZADO]]</f>
        <v>#VALUE!</v>
      </c>
    </row>
    <row r="259" spans="1:29" x14ac:dyDescent="0.25">
      <c r="A259" t="s">
        <v>312</v>
      </c>
      <c r="B259" t="s">
        <v>313</v>
      </c>
      <c r="C259" t="s">
        <v>637</v>
      </c>
      <c r="D259">
        <v>0</v>
      </c>
      <c r="E259">
        <v>0</v>
      </c>
      <c r="F259" s="2">
        <v>450</v>
      </c>
      <c r="G259" s="6" t="s">
        <v>47</v>
      </c>
      <c r="H259" s="2">
        <v>450.00000000000006</v>
      </c>
      <c r="I259" t="b">
        <v>1</v>
      </c>
      <c r="J259" t="str">
        <f>+_xlfn.XLOOKUP(PRODUCTOS[[#This Row],[CODIGO]],P_CRITICOS[CODIGO],P_CRITICOS[DESC CORTA],"",0)</f>
        <v/>
      </c>
      <c r="K259" t="str">
        <f>+IFERROR(IF(VLOOKUP(PRODUCTOS[[#This Row],[CODIGO]],P_CRITICOS[],3,0)="*","PRODUCTO CRITICO","NO CRITICO"),"NO CRITICO")</f>
        <v>NO CRITICO</v>
      </c>
      <c r="L259" s="15">
        <f>+_xlfn.XLOOKUP(PRODUCTOS[[#This Row],[CODIGO]],BD_MODULO[Artículo],BD_MODULO[CUB_ACTUALIZADA],"",0)</f>
        <v>9.4500000000000011</v>
      </c>
      <c r="M259" s="2">
        <f>+IFERROR(PRODUCTOS[[#This Row],[PPTO]]*PRODUCTOS[[#This Row],[CANT X MODULO]],"")</f>
        <v>4252.5000000000009</v>
      </c>
      <c r="N259" s="2">
        <f>+IFERROR(PRODUCTOS[[#This Row],[PPTO X MODULO]]*32,"")</f>
        <v>136080.00000000003</v>
      </c>
      <c r="O259" s="2">
        <f>+IFERROR(PRODUCTOS[[#This Row],[PPTO X TORRE]]*22,"")</f>
        <v>2993760.0000000005</v>
      </c>
      <c r="P259" s="3">
        <f>+IFERROR(PRODUCTOS[[#This Row],[CANT X MODULO]]*702,"")</f>
        <v>6633.9000000000005</v>
      </c>
      <c r="Q259" s="3">
        <f>+SUMIFS(DETALLE_GD_1[CANTIDAD SOLICITADA],DETALLE_GD_1[CODIGO],PRODUCTOS[[#This Row],[CODIGO]])</f>
        <v>0</v>
      </c>
      <c r="R259" s="3">
        <f>+SUMIFS(DETALLE_GD_1[DEVOLUCIÓN],DETALLE_GD_1[CODIGO],PRODUCTOS[[#This Row],[CODIGO]])</f>
        <v>0</v>
      </c>
      <c r="S259" s="3">
        <f>+PRODUCTOS[[#This Row],[CANT. COMPRADA]]-PRODUCTOS[[#This Row],[DEVOLUCIONES]]</f>
        <v>0</v>
      </c>
      <c r="T259" s="3">
        <f>+IFERROR(PRODUCTOS[[#This Row],[CANTIDAD RECIBIDA]]/PRODUCTOS[[#This Row],[CANT X MODULO]],"")</f>
        <v>0</v>
      </c>
      <c r="U259" s="3">
        <f>+SUMIFS(DETALLE_GD_1[VALOR TOTAL POR ITEM GD],DETALLE_GD_1[CODIGO],PRODUCTOS[[#This Row],[CODIGO]])</f>
        <v>0</v>
      </c>
      <c r="V259" s="3" t="str">
        <f>+IFERROR(PRODUCTOS[[#This Row],[PRECIO DE COMPRA]]/PRODUCTOS[[#This Row],[CANT. COMPRADA]],"")</f>
        <v/>
      </c>
      <c r="W259" s="3" t="str">
        <f>+IFERROR(PRODUCTOS[[#This Row],[PRECIO COMPRA UNITARIO]]*PRODUCTOS[[#This Row],[PPTO FALTANTE]],"")</f>
        <v/>
      </c>
      <c r="X259" s="7" t="str">
        <f>+IFERROR(PRODUCTOS[[#This Row],[PROYECCION COMPRA]]/PRODUCTOS[[#This Row],[PPTO TOTAL]]-1,"")</f>
        <v/>
      </c>
      <c r="Y259" s="3">
        <f>+IFERROR((PRODUCTOS[[#This Row],[CANT X MODULO]]*704)-PRODUCTOS[[#This Row],[CANT. COMPRADA]],"")</f>
        <v>6652.8000000000011</v>
      </c>
      <c r="Z259" s="17">
        <f>+IFERROR(PRODUCTOS[[#This Row],[CANT. COMPRADA]]/PRODUCTOS[[#This Row],[PPTO FALTANTE]],"")</f>
        <v>0</v>
      </c>
      <c r="AA259" s="3" t="str">
        <f>+IFERROR(PRODUCTOS[[#This Row],[PROYECCION COMPRA]]-(PRODUCTOS[[#This Row],[PPTO FALTANTE]]*PRODUCTOS[[#This Row],[PPTO]]),"")</f>
        <v/>
      </c>
      <c r="AB259" s="3" t="str">
        <f>+_xlfn.XLOOKUP(PRODUCTOS[[#This Row],[CODIGO]],DETALLE_GD_1[CODIGO],DETALLE_GD_1[VALOR PPTO],"",0)</f>
        <v/>
      </c>
      <c r="AC259" s="3" t="e">
        <f>+AB259-PRODUCTOS[[#This Row],[PPTO_ACTUALIZADO]]</f>
        <v>#VALUE!</v>
      </c>
    </row>
    <row r="260" spans="1:29" x14ac:dyDescent="0.25">
      <c r="A260">
        <v>4212254</v>
      </c>
      <c r="B260" t="s">
        <v>308</v>
      </c>
      <c r="C260" t="s">
        <v>658</v>
      </c>
      <c r="D260" t="s">
        <v>244</v>
      </c>
      <c r="E260">
        <v>0</v>
      </c>
      <c r="F260" s="2">
        <v>58650</v>
      </c>
      <c r="G260" s="6" t="s">
        <v>31</v>
      </c>
      <c r="H260" s="2">
        <v>58650</v>
      </c>
      <c r="I260" t="b">
        <v>1</v>
      </c>
      <c r="J260" t="str">
        <f>+_xlfn.XLOOKUP(PRODUCTOS[[#This Row],[CODIGO]],P_CRITICOS[CODIGO],P_CRITICOS[DESC CORTA],"",0)</f>
        <v/>
      </c>
      <c r="K260" t="str">
        <f>+IFERROR(IF(VLOOKUP(PRODUCTOS[[#This Row],[CODIGO]],P_CRITICOS[],3,0)="*","PRODUCTO CRITICO","NO CRITICO"),"NO CRITICO")</f>
        <v>NO CRITICO</v>
      </c>
      <c r="L260" s="15">
        <f>+_xlfn.XLOOKUP(PRODUCTOS[[#This Row],[CODIGO]],BD_MODULO[Artículo],BD_MODULO[CUB_ACTUALIZADA],"",0)</f>
        <v>0.52500000000000002</v>
      </c>
      <c r="M260" s="2">
        <f>+IFERROR(PRODUCTOS[[#This Row],[PPTO]]*PRODUCTOS[[#This Row],[CANT X MODULO]],"")</f>
        <v>30791.25</v>
      </c>
      <c r="N260" s="2">
        <f>+IFERROR(PRODUCTOS[[#This Row],[PPTO X MODULO]]*32,"")</f>
        <v>985320</v>
      </c>
      <c r="O260" s="2">
        <f>+IFERROR(PRODUCTOS[[#This Row],[PPTO X TORRE]]*22,"")</f>
        <v>21677040</v>
      </c>
      <c r="P260" s="3">
        <f>+IFERROR(PRODUCTOS[[#This Row],[CANT X MODULO]]*702,"")</f>
        <v>368.55</v>
      </c>
      <c r="Q260" s="3">
        <f>+SUMIFS(DETALLE_GD_1[CANTIDAD SOLICITADA],DETALLE_GD_1[CODIGO],PRODUCTOS[[#This Row],[CODIGO]])</f>
        <v>0</v>
      </c>
      <c r="R260" s="3">
        <f>+SUMIFS(DETALLE_GD_1[DEVOLUCIÓN],DETALLE_GD_1[CODIGO],PRODUCTOS[[#This Row],[CODIGO]])</f>
        <v>0</v>
      </c>
      <c r="S260" s="3">
        <f>+PRODUCTOS[[#This Row],[CANT. COMPRADA]]-PRODUCTOS[[#This Row],[DEVOLUCIONES]]</f>
        <v>0</v>
      </c>
      <c r="T260" s="3">
        <f>+IFERROR(PRODUCTOS[[#This Row],[CANTIDAD RECIBIDA]]/PRODUCTOS[[#This Row],[CANT X MODULO]],"")</f>
        <v>0</v>
      </c>
      <c r="U260" s="3">
        <f>+SUMIFS(DETALLE_GD_1[VALOR TOTAL POR ITEM GD],DETALLE_GD_1[CODIGO],PRODUCTOS[[#This Row],[CODIGO]])</f>
        <v>0</v>
      </c>
      <c r="V260" s="3" t="str">
        <f>+IFERROR(PRODUCTOS[[#This Row],[PRECIO DE COMPRA]]/PRODUCTOS[[#This Row],[CANT. COMPRADA]],"")</f>
        <v/>
      </c>
      <c r="W260" s="3" t="str">
        <f>+IFERROR(PRODUCTOS[[#This Row],[PRECIO COMPRA UNITARIO]]*PRODUCTOS[[#This Row],[PPTO FALTANTE]],"")</f>
        <v/>
      </c>
      <c r="X260" s="7" t="str">
        <f>+IFERROR(PRODUCTOS[[#This Row],[PROYECCION COMPRA]]/PRODUCTOS[[#This Row],[PPTO TOTAL]]-1,"")</f>
        <v/>
      </c>
      <c r="Y260" s="3">
        <f>+IFERROR((PRODUCTOS[[#This Row],[CANT X MODULO]]*704)-PRODUCTOS[[#This Row],[CANT. COMPRADA]],"")</f>
        <v>369.6</v>
      </c>
      <c r="Z260" s="17">
        <f>+IFERROR(PRODUCTOS[[#This Row],[CANT. COMPRADA]]/PRODUCTOS[[#This Row],[PPTO FALTANTE]],"")</f>
        <v>0</v>
      </c>
      <c r="AA260" s="3" t="str">
        <f>+IFERROR(PRODUCTOS[[#This Row],[PROYECCION COMPRA]]-(PRODUCTOS[[#This Row],[PPTO FALTANTE]]*PRODUCTOS[[#This Row],[PPTO]]),"")</f>
        <v/>
      </c>
      <c r="AB260" s="3" t="str">
        <f>+_xlfn.XLOOKUP(PRODUCTOS[[#This Row],[CODIGO]],DETALLE_GD_1[CODIGO],DETALLE_GD_1[VALOR PPTO],"",0)</f>
        <v/>
      </c>
      <c r="AC260" s="3" t="e">
        <f>+AB260-PRODUCTOS[[#This Row],[PPTO_ACTUALIZADO]]</f>
        <v>#VALUE!</v>
      </c>
    </row>
    <row r="261" spans="1:29" x14ac:dyDescent="0.25">
      <c r="A261">
        <v>1101307</v>
      </c>
      <c r="B261" t="s">
        <v>309</v>
      </c>
      <c r="C261" t="s">
        <v>660</v>
      </c>
      <c r="D261" t="s">
        <v>244</v>
      </c>
      <c r="E261">
        <v>0</v>
      </c>
      <c r="F261" s="2">
        <v>1670</v>
      </c>
      <c r="G261" s="6" t="s">
        <v>140</v>
      </c>
      <c r="H261" s="2">
        <v>0</v>
      </c>
      <c r="I261" t="b">
        <v>0</v>
      </c>
      <c r="J261" t="str">
        <f>+_xlfn.XLOOKUP(PRODUCTOS[[#This Row],[CODIGO]],P_CRITICOS[CODIGO],P_CRITICOS[DESC CORTA],"",0)</f>
        <v/>
      </c>
      <c r="K261" t="str">
        <f>+IFERROR(IF(VLOOKUP(PRODUCTOS[[#This Row],[CODIGO]],P_CRITICOS[],3,0)="*","PRODUCTO CRITICO","NO CRITICO"),"NO CRITICO")</f>
        <v>NO CRITICO</v>
      </c>
      <c r="L261" s="15">
        <f>+_xlfn.XLOOKUP(PRODUCTOS[[#This Row],[CODIGO]],BD_MODULO[Artículo],BD_MODULO[CUB_ACTUALIZADA],"",0)</f>
        <v>0.52500000000000002</v>
      </c>
      <c r="M261" s="2">
        <f>+IFERROR(PRODUCTOS[[#This Row],[PPTO]]*PRODUCTOS[[#This Row],[CANT X MODULO]],"")</f>
        <v>876.75</v>
      </c>
      <c r="N261" s="2">
        <f>+IFERROR(PRODUCTOS[[#This Row],[PPTO X MODULO]]*32,"")</f>
        <v>28056</v>
      </c>
      <c r="O261" s="2">
        <f>+IFERROR(PRODUCTOS[[#This Row],[PPTO X TORRE]]*22,"")</f>
        <v>617232</v>
      </c>
      <c r="P261" s="3">
        <f>+IFERROR(PRODUCTOS[[#This Row],[CANT X MODULO]]*702,"")</f>
        <v>368.55</v>
      </c>
      <c r="Q261" s="3">
        <f>+SUMIFS(DETALLE_GD_1[CANTIDAD SOLICITADA],DETALLE_GD_1[CODIGO],PRODUCTOS[[#This Row],[CODIGO]])</f>
        <v>0</v>
      </c>
      <c r="R261" s="3">
        <f>+SUMIFS(DETALLE_GD_1[DEVOLUCIÓN],DETALLE_GD_1[CODIGO],PRODUCTOS[[#This Row],[CODIGO]])</f>
        <v>0</v>
      </c>
      <c r="S261" s="3">
        <f>+PRODUCTOS[[#This Row],[CANT. COMPRADA]]-PRODUCTOS[[#This Row],[DEVOLUCIONES]]</f>
        <v>0</v>
      </c>
      <c r="T261" s="3">
        <f>+IFERROR(PRODUCTOS[[#This Row],[CANTIDAD RECIBIDA]]/PRODUCTOS[[#This Row],[CANT X MODULO]],"")</f>
        <v>0</v>
      </c>
      <c r="U261" s="3">
        <f>+SUMIFS(DETALLE_GD_1[VALOR TOTAL POR ITEM GD],DETALLE_GD_1[CODIGO],PRODUCTOS[[#This Row],[CODIGO]])</f>
        <v>0</v>
      </c>
      <c r="V261" s="3" t="str">
        <f>+IFERROR(PRODUCTOS[[#This Row],[PRECIO DE COMPRA]]/PRODUCTOS[[#This Row],[CANT. COMPRADA]],"")</f>
        <v/>
      </c>
      <c r="W261" s="3" t="str">
        <f>+IFERROR(PRODUCTOS[[#This Row],[PRECIO COMPRA UNITARIO]]*PRODUCTOS[[#This Row],[PPTO FALTANTE]],"")</f>
        <v/>
      </c>
      <c r="X261" s="7" t="str">
        <f>+IFERROR(PRODUCTOS[[#This Row],[PROYECCION COMPRA]]/PRODUCTOS[[#This Row],[PPTO TOTAL]]-1,"")</f>
        <v/>
      </c>
      <c r="Y261" s="3">
        <f>+IFERROR((PRODUCTOS[[#This Row],[CANT X MODULO]]*704)-PRODUCTOS[[#This Row],[CANT. COMPRADA]],"")</f>
        <v>369.6</v>
      </c>
      <c r="Z261" s="17">
        <f>+IFERROR(PRODUCTOS[[#This Row],[CANT. COMPRADA]]/PRODUCTOS[[#This Row],[PPTO FALTANTE]],"")</f>
        <v>0</v>
      </c>
      <c r="AA261" s="3" t="str">
        <f>+IFERROR(PRODUCTOS[[#This Row],[PROYECCION COMPRA]]-(PRODUCTOS[[#This Row],[PPTO FALTANTE]]*PRODUCTOS[[#This Row],[PPTO]]),"")</f>
        <v/>
      </c>
      <c r="AB261" s="3" t="str">
        <f>+_xlfn.XLOOKUP(PRODUCTOS[[#This Row],[CODIGO]],DETALLE_GD_1[CODIGO],DETALLE_GD_1[VALOR PPTO],"",0)</f>
        <v/>
      </c>
      <c r="AC261" s="3" t="e">
        <f>+AB261-PRODUCTOS[[#This Row],[PPTO_ACTUALIZADO]]</f>
        <v>#VALUE!</v>
      </c>
    </row>
    <row r="262" spans="1:29" x14ac:dyDescent="0.25">
      <c r="A262" t="s">
        <v>343</v>
      </c>
      <c r="B262" t="s">
        <v>344</v>
      </c>
      <c r="C262" t="s">
        <v>661</v>
      </c>
      <c r="D262" t="s">
        <v>240</v>
      </c>
      <c r="E262" t="s">
        <v>399</v>
      </c>
      <c r="F262" s="2">
        <v>34959</v>
      </c>
      <c r="G262" s="6" t="s">
        <v>36</v>
      </c>
      <c r="H262" s="2">
        <v>34959</v>
      </c>
      <c r="I262" t="b">
        <v>1</v>
      </c>
      <c r="J262" t="str">
        <f>+_xlfn.XLOOKUP(PRODUCTOS[[#This Row],[CODIGO]],P_CRITICOS[CODIGO],P_CRITICOS[DESC CORTA],"",0)</f>
        <v/>
      </c>
      <c r="K262" t="str">
        <f>+IFERROR(IF(VLOOKUP(PRODUCTOS[[#This Row],[CODIGO]],P_CRITICOS[],3,0)="*","PRODUCTO CRITICO","NO CRITICO"),"NO CRITICO")</f>
        <v>NO CRITICO</v>
      </c>
      <c r="L262" s="15">
        <f>+_xlfn.XLOOKUP(PRODUCTOS[[#This Row],[CODIGO]],BD_MODULO[Artículo],BD_MODULO[CUB_ACTUALIZADA],"",0)</f>
        <v>5.2499999999999998E-2</v>
      </c>
      <c r="M262" s="2">
        <f>+IFERROR(PRODUCTOS[[#This Row],[PPTO]]*PRODUCTOS[[#This Row],[CANT X MODULO]],"")</f>
        <v>1835.3474999999999</v>
      </c>
      <c r="N262" s="2">
        <f>+IFERROR(PRODUCTOS[[#This Row],[PPTO X MODULO]]*32,"")</f>
        <v>58731.119999999995</v>
      </c>
      <c r="O262" s="2">
        <f>+IFERROR(PRODUCTOS[[#This Row],[PPTO X TORRE]]*22,"")</f>
        <v>1292084.6399999999</v>
      </c>
      <c r="P262" s="3">
        <f>+IFERROR(PRODUCTOS[[#This Row],[CANT X MODULO]]*702,"")</f>
        <v>36.854999999999997</v>
      </c>
      <c r="Q262" s="3">
        <f>+SUMIFS(DETALLE_GD_1[CANTIDAD SOLICITADA],DETALLE_GD_1[CODIGO],PRODUCTOS[[#This Row],[CODIGO]])</f>
        <v>0</v>
      </c>
      <c r="R262" s="3">
        <f>+SUMIFS(DETALLE_GD_1[DEVOLUCIÓN],DETALLE_GD_1[CODIGO],PRODUCTOS[[#This Row],[CODIGO]])</f>
        <v>0</v>
      </c>
      <c r="S262" s="3">
        <f>+PRODUCTOS[[#This Row],[CANT. COMPRADA]]-PRODUCTOS[[#This Row],[DEVOLUCIONES]]</f>
        <v>0</v>
      </c>
      <c r="T262" s="3">
        <f>+IFERROR(PRODUCTOS[[#This Row],[CANTIDAD RECIBIDA]]/PRODUCTOS[[#This Row],[CANT X MODULO]],"")</f>
        <v>0</v>
      </c>
      <c r="U262" s="3">
        <f>+SUMIFS(DETALLE_GD_1[VALOR TOTAL POR ITEM GD],DETALLE_GD_1[CODIGO],PRODUCTOS[[#This Row],[CODIGO]])</f>
        <v>0</v>
      </c>
      <c r="V262" s="3" t="str">
        <f>+IFERROR(PRODUCTOS[[#This Row],[PRECIO DE COMPRA]]/PRODUCTOS[[#This Row],[CANT. COMPRADA]],"")</f>
        <v/>
      </c>
      <c r="W262" s="3" t="str">
        <f>+IFERROR(PRODUCTOS[[#This Row],[PRECIO COMPRA UNITARIO]]*PRODUCTOS[[#This Row],[PPTO FALTANTE]],"")</f>
        <v/>
      </c>
      <c r="X262" s="7" t="str">
        <f>+IFERROR(PRODUCTOS[[#This Row],[PROYECCION COMPRA]]/PRODUCTOS[[#This Row],[PPTO TOTAL]]-1,"")</f>
        <v/>
      </c>
      <c r="Y262" s="3">
        <f>+IFERROR((PRODUCTOS[[#This Row],[CANT X MODULO]]*704)-PRODUCTOS[[#This Row],[CANT. COMPRADA]],"")</f>
        <v>36.96</v>
      </c>
      <c r="Z262" s="17">
        <f>+IFERROR(PRODUCTOS[[#This Row],[CANT. COMPRADA]]/PRODUCTOS[[#This Row],[PPTO FALTANTE]],"")</f>
        <v>0</v>
      </c>
      <c r="AA262" s="3" t="str">
        <f>+IFERROR(PRODUCTOS[[#This Row],[PROYECCION COMPRA]]-(PRODUCTOS[[#This Row],[PPTO FALTANTE]]*PRODUCTOS[[#This Row],[PPTO]]),"")</f>
        <v/>
      </c>
      <c r="AB262" s="3" t="str">
        <f>+_xlfn.XLOOKUP(PRODUCTOS[[#This Row],[CODIGO]],DETALLE_GD_1[CODIGO],DETALLE_GD_1[VALOR PPTO],"",0)</f>
        <v/>
      </c>
      <c r="AC262" s="3" t="e">
        <f>+AB262-PRODUCTOS[[#This Row],[PPTO_ACTUALIZADO]]</f>
        <v>#VALUE!</v>
      </c>
    </row>
    <row r="263" spans="1:29" x14ac:dyDescent="0.25">
      <c r="A263">
        <v>407154</v>
      </c>
      <c r="B263" t="s">
        <v>365</v>
      </c>
      <c r="C263" t="s">
        <v>667</v>
      </c>
      <c r="D263" t="s">
        <v>240</v>
      </c>
      <c r="E263" t="s">
        <v>399</v>
      </c>
      <c r="F263" s="2">
        <v>214</v>
      </c>
      <c r="G263" s="6" t="s">
        <v>355</v>
      </c>
      <c r="H263" s="2">
        <v>214</v>
      </c>
      <c r="I263" t="b">
        <v>1</v>
      </c>
      <c r="J263" t="str">
        <f>+_xlfn.XLOOKUP(PRODUCTOS[[#This Row],[CODIGO]],P_CRITICOS[CODIGO],P_CRITICOS[DESC CORTA],"",0)</f>
        <v/>
      </c>
      <c r="K263" t="str">
        <f>+IFERROR(IF(VLOOKUP(PRODUCTOS[[#This Row],[CODIGO]],P_CRITICOS[],3,0)="*","PRODUCTO CRITICO","NO CRITICO"),"NO CRITICO")</f>
        <v>NO CRITICO</v>
      </c>
      <c r="L263" s="15">
        <f>+_xlfn.XLOOKUP(PRODUCTOS[[#This Row],[CODIGO]],BD_MODULO[Artículo],BD_MODULO[CUB_ACTUALIZADA],"",0)</f>
        <v>47.25</v>
      </c>
      <c r="M263" s="2">
        <f>+IFERROR(PRODUCTOS[[#This Row],[PPTO]]*PRODUCTOS[[#This Row],[CANT X MODULO]],"")</f>
        <v>10111.5</v>
      </c>
      <c r="N263" s="2">
        <f>+IFERROR(PRODUCTOS[[#This Row],[PPTO X MODULO]]*32,"")</f>
        <v>323568</v>
      </c>
      <c r="O263" s="2">
        <f>+IFERROR(PRODUCTOS[[#This Row],[PPTO X TORRE]]*22,"")</f>
        <v>7118496</v>
      </c>
      <c r="P263" s="3">
        <f>+IFERROR(PRODUCTOS[[#This Row],[CANT X MODULO]]*702,"")</f>
        <v>33169.5</v>
      </c>
      <c r="Q263" s="3">
        <f>+SUMIFS(DETALLE_GD_1[CANTIDAD SOLICITADA],DETALLE_GD_1[CODIGO],PRODUCTOS[[#This Row],[CODIGO]])</f>
        <v>0</v>
      </c>
      <c r="R263" s="3">
        <f>+SUMIFS(DETALLE_GD_1[DEVOLUCIÓN],DETALLE_GD_1[CODIGO],PRODUCTOS[[#This Row],[CODIGO]])</f>
        <v>0</v>
      </c>
      <c r="S263" s="3">
        <f>+PRODUCTOS[[#This Row],[CANT. COMPRADA]]-PRODUCTOS[[#This Row],[DEVOLUCIONES]]</f>
        <v>0</v>
      </c>
      <c r="T263" s="3">
        <f>+IFERROR(PRODUCTOS[[#This Row],[CANTIDAD RECIBIDA]]/PRODUCTOS[[#This Row],[CANT X MODULO]],"")</f>
        <v>0</v>
      </c>
      <c r="U263" s="3">
        <f>+SUMIFS(DETALLE_GD_1[VALOR TOTAL POR ITEM GD],DETALLE_GD_1[CODIGO],PRODUCTOS[[#This Row],[CODIGO]])</f>
        <v>0</v>
      </c>
      <c r="V263" s="3" t="str">
        <f>+IFERROR(PRODUCTOS[[#This Row],[PRECIO DE COMPRA]]/PRODUCTOS[[#This Row],[CANT. COMPRADA]],"")</f>
        <v/>
      </c>
      <c r="W263" s="3" t="str">
        <f>+IFERROR(PRODUCTOS[[#This Row],[PRECIO COMPRA UNITARIO]]*PRODUCTOS[[#This Row],[PPTO FALTANTE]],"")</f>
        <v/>
      </c>
      <c r="X263" s="7" t="str">
        <f>+IFERROR(PRODUCTOS[[#This Row],[PROYECCION COMPRA]]/PRODUCTOS[[#This Row],[PPTO TOTAL]]-1,"")</f>
        <v/>
      </c>
      <c r="Y263" s="3">
        <f>+IFERROR((PRODUCTOS[[#This Row],[CANT X MODULO]]*704)-PRODUCTOS[[#This Row],[CANT. COMPRADA]],"")</f>
        <v>33264</v>
      </c>
      <c r="Z263" s="17">
        <f>+IFERROR(PRODUCTOS[[#This Row],[CANT. COMPRADA]]/PRODUCTOS[[#This Row],[PPTO FALTANTE]],"")</f>
        <v>0</v>
      </c>
      <c r="AA263" s="3" t="str">
        <f>+IFERROR(PRODUCTOS[[#This Row],[PROYECCION COMPRA]]-(PRODUCTOS[[#This Row],[PPTO FALTANTE]]*PRODUCTOS[[#This Row],[PPTO]]),"")</f>
        <v/>
      </c>
      <c r="AB263" s="3" t="str">
        <f>+_xlfn.XLOOKUP(PRODUCTOS[[#This Row],[CODIGO]],DETALLE_GD_1[CODIGO],DETALLE_GD_1[VALOR PPTO],"",0)</f>
        <v/>
      </c>
      <c r="AC263" s="3" t="e">
        <f>+AB263-PRODUCTOS[[#This Row],[PPTO_ACTUALIZADO]]</f>
        <v>#VALUE!</v>
      </c>
    </row>
    <row r="264" spans="1:29" x14ac:dyDescent="0.25">
      <c r="A264" t="s">
        <v>479</v>
      </c>
      <c r="B264" t="s">
        <v>480</v>
      </c>
      <c r="C264" t="s">
        <v>676</v>
      </c>
      <c r="D264" t="s">
        <v>355</v>
      </c>
      <c r="E264" t="s">
        <v>355</v>
      </c>
      <c r="F264" s="2">
        <v>25238.09</v>
      </c>
      <c r="G264" s="6" t="s">
        <v>355</v>
      </c>
      <c r="H264" s="2">
        <v>25238.09</v>
      </c>
      <c r="I264" t="b">
        <v>1</v>
      </c>
      <c r="J264" t="str">
        <f>+_xlfn.XLOOKUP(PRODUCTOS[[#This Row],[CODIGO]],P_CRITICOS[CODIGO],P_CRITICOS[DESC CORTA],"",0)</f>
        <v/>
      </c>
      <c r="K264" t="str">
        <f>+IFERROR(IF(VLOOKUP(PRODUCTOS[[#This Row],[CODIGO]],P_CRITICOS[],3,0)="*","PRODUCTO CRITICO","NO CRITICO"),"NO CRITICO")</f>
        <v>NO CRITICO</v>
      </c>
      <c r="L264" s="15">
        <f>+_xlfn.XLOOKUP(PRODUCTOS[[#This Row],[CODIGO]],BD_MODULO[Artículo],BD_MODULO[CUB_ACTUALIZADA],"",0)</f>
        <v>1.05</v>
      </c>
      <c r="M264" s="2">
        <f>+IFERROR(PRODUCTOS[[#This Row],[PPTO]]*PRODUCTOS[[#This Row],[CANT X MODULO]],"")</f>
        <v>26499.994500000001</v>
      </c>
      <c r="N264" s="2">
        <f>+IFERROR(PRODUCTOS[[#This Row],[PPTO X MODULO]]*32,"")</f>
        <v>847999.82400000002</v>
      </c>
      <c r="O264" s="2">
        <f>+IFERROR(PRODUCTOS[[#This Row],[PPTO X TORRE]]*22,"")</f>
        <v>18655996.127999999</v>
      </c>
      <c r="P264" s="3">
        <f>+IFERROR(PRODUCTOS[[#This Row],[CANT X MODULO]]*702,"")</f>
        <v>737.1</v>
      </c>
      <c r="Q264" s="3">
        <f>+SUMIFS(DETALLE_GD_1[CANTIDAD SOLICITADA],DETALLE_GD_1[CODIGO],PRODUCTOS[[#This Row],[CODIGO]])</f>
        <v>0</v>
      </c>
      <c r="R264" s="3">
        <f>+SUMIFS(DETALLE_GD_1[DEVOLUCIÓN],DETALLE_GD_1[CODIGO],PRODUCTOS[[#This Row],[CODIGO]])</f>
        <v>0</v>
      </c>
      <c r="S264" s="3">
        <f>+PRODUCTOS[[#This Row],[CANT. COMPRADA]]-PRODUCTOS[[#This Row],[DEVOLUCIONES]]</f>
        <v>0</v>
      </c>
      <c r="T264" s="3">
        <f>+IFERROR(PRODUCTOS[[#This Row],[CANTIDAD RECIBIDA]]/PRODUCTOS[[#This Row],[CANT X MODULO]],"")</f>
        <v>0</v>
      </c>
      <c r="U264" s="3">
        <f>+SUMIFS(DETALLE_GD_1[VALOR TOTAL POR ITEM GD],DETALLE_GD_1[CODIGO],PRODUCTOS[[#This Row],[CODIGO]])</f>
        <v>0</v>
      </c>
      <c r="V264" s="3" t="str">
        <f>+IFERROR(PRODUCTOS[[#This Row],[PRECIO DE COMPRA]]/PRODUCTOS[[#This Row],[CANT. COMPRADA]],"")</f>
        <v/>
      </c>
      <c r="W264" s="3" t="str">
        <f>+IFERROR(PRODUCTOS[[#This Row],[PRECIO COMPRA UNITARIO]]*PRODUCTOS[[#This Row],[PPTO FALTANTE]],"")</f>
        <v/>
      </c>
      <c r="X264" s="7" t="str">
        <f>+IFERROR(PRODUCTOS[[#This Row],[PROYECCION COMPRA]]/PRODUCTOS[[#This Row],[PPTO TOTAL]]-1,"")</f>
        <v/>
      </c>
      <c r="Y264" s="3">
        <f>+IFERROR((PRODUCTOS[[#This Row],[CANT X MODULO]]*704)-PRODUCTOS[[#This Row],[CANT. COMPRADA]],"")</f>
        <v>739.2</v>
      </c>
      <c r="Z264" s="17">
        <f>+IFERROR(PRODUCTOS[[#This Row],[CANT. COMPRADA]]/PRODUCTOS[[#This Row],[PPTO FALTANTE]],"")</f>
        <v>0</v>
      </c>
      <c r="AA264" s="3" t="str">
        <f>+IFERROR(PRODUCTOS[[#This Row],[PROYECCION COMPRA]]-(PRODUCTOS[[#This Row],[PPTO FALTANTE]]*PRODUCTOS[[#This Row],[PPTO]]),"")</f>
        <v/>
      </c>
      <c r="AB264" s="3" t="str">
        <f>+_xlfn.XLOOKUP(PRODUCTOS[[#This Row],[CODIGO]],DETALLE_GD_1[CODIGO],DETALLE_GD_1[VALOR PPTO],"",0)</f>
        <v/>
      </c>
      <c r="AC264" s="3" t="e">
        <f>+AB264-PRODUCTOS[[#This Row],[PPTO_ACTUALIZADO]]</f>
        <v>#VALUE!</v>
      </c>
    </row>
    <row r="265" spans="1:29" x14ac:dyDescent="0.25">
      <c r="A265" t="s">
        <v>490</v>
      </c>
      <c r="B265" t="s">
        <v>490</v>
      </c>
      <c r="C265">
        <v>0</v>
      </c>
      <c r="D265" t="s">
        <v>355</v>
      </c>
      <c r="E265" t="s">
        <v>355</v>
      </c>
      <c r="G265" s="6" t="s">
        <v>355</v>
      </c>
      <c r="H265" s="2">
        <v>8826</v>
      </c>
      <c r="I265" t="b">
        <v>0</v>
      </c>
      <c r="J265" t="str">
        <f>+_xlfn.XLOOKUP(PRODUCTOS[[#This Row],[CODIGO]],P_CRITICOS[CODIGO],P_CRITICOS[DESC CORTA],"",0)</f>
        <v/>
      </c>
      <c r="K265" t="str">
        <f>+IFERROR(IF(VLOOKUP(PRODUCTOS[[#This Row],[CODIGO]],P_CRITICOS[],3,0)="*","PRODUCTO CRITICO","NO CRITICO"),"NO CRITICO")</f>
        <v>NO CRITICO</v>
      </c>
      <c r="L265" s="15">
        <f>+_xlfn.XLOOKUP(PRODUCTOS[[#This Row],[CODIGO]],BD_MODULO[Artículo],BD_MODULO[CUB_ACTUALIZADA],"",0)</f>
        <v>0.52500000000000002</v>
      </c>
      <c r="M265" s="2">
        <f>+IFERROR(PRODUCTOS[[#This Row],[PPTO]]*PRODUCTOS[[#This Row],[CANT X MODULO]],"")</f>
        <v>0</v>
      </c>
      <c r="N265" s="2">
        <f>+IFERROR(PRODUCTOS[[#This Row],[PPTO X MODULO]]*32,"")</f>
        <v>0</v>
      </c>
      <c r="O265" s="2">
        <f>+IFERROR(PRODUCTOS[[#This Row],[PPTO X TORRE]]*22,"")</f>
        <v>0</v>
      </c>
      <c r="P265" s="3">
        <f>+IFERROR(PRODUCTOS[[#This Row],[CANT X MODULO]]*702,"")</f>
        <v>368.55</v>
      </c>
      <c r="Q265" s="3">
        <f>+SUMIFS(DETALLE_GD_1[CANTIDAD SOLICITADA],DETALLE_GD_1[CODIGO],PRODUCTOS[[#This Row],[CODIGO]])</f>
        <v>0</v>
      </c>
      <c r="R265" s="3">
        <f>+SUMIFS(DETALLE_GD_1[DEVOLUCIÓN],DETALLE_GD_1[CODIGO],PRODUCTOS[[#This Row],[CODIGO]])</f>
        <v>0</v>
      </c>
      <c r="S265" s="3">
        <f>+PRODUCTOS[[#This Row],[CANT. COMPRADA]]-PRODUCTOS[[#This Row],[DEVOLUCIONES]]</f>
        <v>0</v>
      </c>
      <c r="T265" s="3">
        <f>+IFERROR(PRODUCTOS[[#This Row],[CANTIDAD RECIBIDA]]/PRODUCTOS[[#This Row],[CANT X MODULO]],"")</f>
        <v>0</v>
      </c>
      <c r="U265" s="3">
        <f>+SUMIFS(DETALLE_GD_1[VALOR TOTAL POR ITEM GD],DETALLE_GD_1[CODIGO],PRODUCTOS[[#This Row],[CODIGO]])</f>
        <v>0</v>
      </c>
      <c r="V265" s="3" t="str">
        <f>+IFERROR(PRODUCTOS[[#This Row],[PRECIO DE COMPRA]]/PRODUCTOS[[#This Row],[CANT. COMPRADA]],"")</f>
        <v/>
      </c>
      <c r="W265" s="3" t="str">
        <f>+IFERROR(PRODUCTOS[[#This Row],[PRECIO COMPRA UNITARIO]]*PRODUCTOS[[#This Row],[PPTO FALTANTE]],"")</f>
        <v/>
      </c>
      <c r="X265" s="7" t="str">
        <f>+IFERROR(PRODUCTOS[[#This Row],[PROYECCION COMPRA]]/PRODUCTOS[[#This Row],[PPTO TOTAL]]-1,"")</f>
        <v/>
      </c>
      <c r="Y265" s="3">
        <f>+IFERROR((PRODUCTOS[[#This Row],[CANT X MODULO]]*704)-PRODUCTOS[[#This Row],[CANT. COMPRADA]],"")</f>
        <v>369.6</v>
      </c>
      <c r="Z265" s="17">
        <f>+IFERROR(PRODUCTOS[[#This Row],[CANT. COMPRADA]]/PRODUCTOS[[#This Row],[PPTO FALTANTE]],"")</f>
        <v>0</v>
      </c>
      <c r="AA265" s="3" t="str">
        <f>+IFERROR(PRODUCTOS[[#This Row],[PROYECCION COMPRA]]-(PRODUCTOS[[#This Row],[PPTO FALTANTE]]*PRODUCTOS[[#This Row],[PPTO]]),"")</f>
        <v/>
      </c>
      <c r="AB265" s="3" t="str">
        <f>+_xlfn.XLOOKUP(PRODUCTOS[[#This Row],[CODIGO]],DETALLE_GD_1[CODIGO],DETALLE_GD_1[VALOR PPTO],"",0)</f>
        <v/>
      </c>
      <c r="AC265" s="3" t="e">
        <f>+AB265-PRODUCTOS[[#This Row],[PPTO_ACTUALIZADO]]</f>
        <v>#VALUE!</v>
      </c>
    </row>
    <row r="266" spans="1:29" x14ac:dyDescent="0.25">
      <c r="A266" t="s">
        <v>491</v>
      </c>
      <c r="B266" t="s">
        <v>492</v>
      </c>
      <c r="C266" t="s">
        <v>684</v>
      </c>
      <c r="D266" t="s">
        <v>355</v>
      </c>
      <c r="E266" t="s">
        <v>355</v>
      </c>
      <c r="G266" s="6" t="s">
        <v>355</v>
      </c>
      <c r="H266" s="2">
        <v>1</v>
      </c>
      <c r="I266" t="b">
        <v>0</v>
      </c>
      <c r="J266" t="str">
        <f>+_xlfn.XLOOKUP(PRODUCTOS[[#This Row],[CODIGO]],P_CRITICOS[CODIGO],P_CRITICOS[DESC CORTA],"",0)</f>
        <v/>
      </c>
      <c r="K266" t="str">
        <f>+IFERROR(IF(VLOOKUP(PRODUCTOS[[#This Row],[CODIGO]],P_CRITICOS[],3,0)="*","PRODUCTO CRITICO","NO CRITICO"),"NO CRITICO")</f>
        <v>NO CRITICO</v>
      </c>
      <c r="L266" s="15">
        <f>+_xlfn.XLOOKUP(PRODUCTOS[[#This Row],[CODIGO]],BD_MODULO[Artículo],BD_MODULO[CUB_ACTUALIZADA],"",0)</f>
        <v>0.52500000000000002</v>
      </c>
      <c r="M266" s="2">
        <f>+IFERROR(PRODUCTOS[[#This Row],[PPTO]]*PRODUCTOS[[#This Row],[CANT X MODULO]],"")</f>
        <v>0</v>
      </c>
      <c r="N266" s="2">
        <f>+IFERROR(PRODUCTOS[[#This Row],[PPTO X MODULO]]*32,"")</f>
        <v>0</v>
      </c>
      <c r="O266" s="2">
        <f>+IFERROR(PRODUCTOS[[#This Row],[PPTO X TORRE]]*22,"")</f>
        <v>0</v>
      </c>
      <c r="P266" s="3">
        <f>+IFERROR(PRODUCTOS[[#This Row],[CANT X MODULO]]*702,"")</f>
        <v>368.55</v>
      </c>
      <c r="Q266" s="3">
        <f>+SUMIFS(DETALLE_GD_1[CANTIDAD SOLICITADA],DETALLE_GD_1[CODIGO],PRODUCTOS[[#This Row],[CODIGO]])</f>
        <v>0</v>
      </c>
      <c r="R266" s="3">
        <f>+SUMIFS(DETALLE_GD_1[DEVOLUCIÓN],DETALLE_GD_1[CODIGO],PRODUCTOS[[#This Row],[CODIGO]])</f>
        <v>0</v>
      </c>
      <c r="S266" s="3">
        <f>+PRODUCTOS[[#This Row],[CANT. COMPRADA]]-PRODUCTOS[[#This Row],[DEVOLUCIONES]]</f>
        <v>0</v>
      </c>
      <c r="T266" s="3">
        <f>+IFERROR(PRODUCTOS[[#This Row],[CANTIDAD RECIBIDA]]/PRODUCTOS[[#This Row],[CANT X MODULO]],"")</f>
        <v>0</v>
      </c>
      <c r="U266" s="3">
        <f>+SUMIFS(DETALLE_GD_1[VALOR TOTAL POR ITEM GD],DETALLE_GD_1[CODIGO],PRODUCTOS[[#This Row],[CODIGO]])</f>
        <v>0</v>
      </c>
      <c r="V266" s="3" t="str">
        <f>+IFERROR(PRODUCTOS[[#This Row],[PRECIO DE COMPRA]]/PRODUCTOS[[#This Row],[CANT. COMPRADA]],"")</f>
        <v/>
      </c>
      <c r="W266" s="3" t="str">
        <f>+IFERROR(PRODUCTOS[[#This Row],[PRECIO COMPRA UNITARIO]]*PRODUCTOS[[#This Row],[PPTO FALTANTE]],"")</f>
        <v/>
      </c>
      <c r="X266" s="7" t="str">
        <f>+IFERROR(PRODUCTOS[[#This Row],[PROYECCION COMPRA]]/PRODUCTOS[[#This Row],[PPTO TOTAL]]-1,"")</f>
        <v/>
      </c>
      <c r="Y266" s="3">
        <f>+IFERROR((PRODUCTOS[[#This Row],[CANT X MODULO]]*704)-PRODUCTOS[[#This Row],[CANT. COMPRADA]],"")</f>
        <v>369.6</v>
      </c>
      <c r="Z266" s="17">
        <f>+IFERROR(PRODUCTOS[[#This Row],[CANT. COMPRADA]]/PRODUCTOS[[#This Row],[PPTO FALTANTE]],"")</f>
        <v>0</v>
      </c>
      <c r="AA266" s="3" t="str">
        <f>+IFERROR(PRODUCTOS[[#This Row],[PROYECCION COMPRA]]-(PRODUCTOS[[#This Row],[PPTO FALTANTE]]*PRODUCTOS[[#This Row],[PPTO]]),"")</f>
        <v/>
      </c>
      <c r="AB266" s="3" t="str">
        <f>+_xlfn.XLOOKUP(PRODUCTOS[[#This Row],[CODIGO]],DETALLE_GD_1[CODIGO],DETALLE_GD_1[VALOR PPTO],"",0)</f>
        <v/>
      </c>
      <c r="AC266" s="3" t="e">
        <f>+AB266-PRODUCTOS[[#This Row],[PPTO_ACTUALIZADO]]</f>
        <v>#VALUE!</v>
      </c>
    </row>
    <row r="267" spans="1:29" x14ac:dyDescent="0.25">
      <c r="A267">
        <v>410082</v>
      </c>
      <c r="B267" t="s">
        <v>497</v>
      </c>
      <c r="C267" t="s">
        <v>688</v>
      </c>
      <c r="D267" t="s">
        <v>355</v>
      </c>
      <c r="E267" t="s">
        <v>355</v>
      </c>
      <c r="F267" s="2">
        <v>12677</v>
      </c>
      <c r="G267" s="6" t="s">
        <v>355</v>
      </c>
      <c r="H267" s="2">
        <v>12677</v>
      </c>
      <c r="I267" t="b">
        <v>1</v>
      </c>
      <c r="J267" t="str">
        <f>+_xlfn.XLOOKUP(PRODUCTOS[[#This Row],[CODIGO]],P_CRITICOS[CODIGO],P_CRITICOS[DESC CORTA],"",0)</f>
        <v/>
      </c>
      <c r="K267" t="str">
        <f>+IFERROR(IF(VLOOKUP(PRODUCTOS[[#This Row],[CODIGO]],P_CRITICOS[],3,0)="*","PRODUCTO CRITICO","NO CRITICO"),"NO CRITICO")</f>
        <v>NO CRITICO</v>
      </c>
      <c r="L267" s="15">
        <f>+_xlfn.XLOOKUP(PRODUCTOS[[#This Row],[CODIGO]],BD_MODULO[Artículo],BD_MODULO[CUB_ACTUALIZADA],"",0)</f>
        <v>4.4625000000000004</v>
      </c>
      <c r="M267" s="2">
        <f>+IFERROR(PRODUCTOS[[#This Row],[PPTO]]*PRODUCTOS[[#This Row],[CANT X MODULO]],"")</f>
        <v>56571.112500000003</v>
      </c>
      <c r="N267" s="2">
        <f>+IFERROR(PRODUCTOS[[#This Row],[PPTO X MODULO]]*32,"")</f>
        <v>1810275.6</v>
      </c>
      <c r="O267" s="2">
        <f>+IFERROR(PRODUCTOS[[#This Row],[PPTO X TORRE]]*22,"")</f>
        <v>39826063.200000003</v>
      </c>
      <c r="P267" s="3">
        <f>+IFERROR(PRODUCTOS[[#This Row],[CANT X MODULO]]*702,"")</f>
        <v>3132.6750000000002</v>
      </c>
      <c r="Q267" s="3">
        <f>+SUMIFS(DETALLE_GD_1[CANTIDAD SOLICITADA],DETALLE_GD_1[CODIGO],PRODUCTOS[[#This Row],[CODIGO]])</f>
        <v>0</v>
      </c>
      <c r="R267" s="3">
        <f>+SUMIFS(DETALLE_GD_1[DEVOLUCIÓN],DETALLE_GD_1[CODIGO],PRODUCTOS[[#This Row],[CODIGO]])</f>
        <v>0</v>
      </c>
      <c r="S267" s="3">
        <f>+PRODUCTOS[[#This Row],[CANT. COMPRADA]]-PRODUCTOS[[#This Row],[DEVOLUCIONES]]</f>
        <v>0</v>
      </c>
      <c r="T267" s="3">
        <f>+IFERROR(PRODUCTOS[[#This Row],[CANTIDAD RECIBIDA]]/PRODUCTOS[[#This Row],[CANT X MODULO]],"")</f>
        <v>0</v>
      </c>
      <c r="U267" s="3">
        <f>+SUMIFS(DETALLE_GD_1[VALOR TOTAL POR ITEM GD],DETALLE_GD_1[CODIGO],PRODUCTOS[[#This Row],[CODIGO]])</f>
        <v>0</v>
      </c>
      <c r="V267" s="3" t="str">
        <f>+IFERROR(PRODUCTOS[[#This Row],[PRECIO DE COMPRA]]/PRODUCTOS[[#This Row],[CANT. COMPRADA]],"")</f>
        <v/>
      </c>
      <c r="W267" s="3" t="str">
        <f>+IFERROR(PRODUCTOS[[#This Row],[PRECIO COMPRA UNITARIO]]*PRODUCTOS[[#This Row],[PPTO FALTANTE]],"")</f>
        <v/>
      </c>
      <c r="X267" s="7" t="str">
        <f>+IFERROR(PRODUCTOS[[#This Row],[PROYECCION COMPRA]]/PRODUCTOS[[#This Row],[PPTO TOTAL]]-1,"")</f>
        <v/>
      </c>
      <c r="Y267" s="3">
        <f>+IFERROR((PRODUCTOS[[#This Row],[CANT X MODULO]]*704)-PRODUCTOS[[#This Row],[CANT. COMPRADA]],"")</f>
        <v>3141.6000000000004</v>
      </c>
      <c r="Z267" s="17">
        <f>+IFERROR(PRODUCTOS[[#This Row],[CANT. COMPRADA]]/PRODUCTOS[[#This Row],[PPTO FALTANTE]],"")</f>
        <v>0</v>
      </c>
      <c r="AA267" s="3" t="str">
        <f>+IFERROR(PRODUCTOS[[#This Row],[PROYECCION COMPRA]]-(PRODUCTOS[[#This Row],[PPTO FALTANTE]]*PRODUCTOS[[#This Row],[PPTO]]),"")</f>
        <v/>
      </c>
      <c r="AB267" s="3" t="str">
        <f>+_xlfn.XLOOKUP(PRODUCTOS[[#This Row],[CODIGO]],DETALLE_GD_1[CODIGO],DETALLE_GD_1[VALOR PPTO],"",0)</f>
        <v/>
      </c>
      <c r="AC267" s="3" t="e">
        <f>+AB267-PRODUCTOS[[#This Row],[PPTO_ACTUALIZADO]]</f>
        <v>#VALUE!</v>
      </c>
    </row>
    <row r="268" spans="1:29" x14ac:dyDescent="0.25">
      <c r="A268" t="s">
        <v>499</v>
      </c>
      <c r="B268" t="s">
        <v>500</v>
      </c>
      <c r="C268" t="s">
        <v>689</v>
      </c>
      <c r="D268" t="s">
        <v>355</v>
      </c>
      <c r="E268" t="s">
        <v>355</v>
      </c>
      <c r="G268" s="6" t="s">
        <v>355</v>
      </c>
      <c r="H268" s="2">
        <v>12677</v>
      </c>
      <c r="I268" t="b">
        <v>0</v>
      </c>
      <c r="J268" t="str">
        <f>+_xlfn.XLOOKUP(PRODUCTOS[[#This Row],[CODIGO]],P_CRITICOS[CODIGO],P_CRITICOS[DESC CORTA],"",0)</f>
        <v/>
      </c>
      <c r="K268" t="str">
        <f>+IFERROR(IF(VLOOKUP(PRODUCTOS[[#This Row],[CODIGO]],P_CRITICOS[],3,0)="*","PRODUCTO CRITICO","NO CRITICO"),"NO CRITICO")</f>
        <v>NO CRITICO</v>
      </c>
      <c r="L268" s="15">
        <f>+_xlfn.XLOOKUP(PRODUCTOS[[#This Row],[CODIGO]],BD_MODULO[Artículo],BD_MODULO[CUB_ACTUALIZADA],"",0)</f>
        <v>2.3625000000000003</v>
      </c>
      <c r="M268" s="2">
        <f>+IFERROR(PRODUCTOS[[#This Row],[PPTO]]*PRODUCTOS[[#This Row],[CANT X MODULO]],"")</f>
        <v>0</v>
      </c>
      <c r="N268" s="2">
        <f>+IFERROR(PRODUCTOS[[#This Row],[PPTO X MODULO]]*32,"")</f>
        <v>0</v>
      </c>
      <c r="O268" s="2">
        <f>+IFERROR(PRODUCTOS[[#This Row],[PPTO X TORRE]]*22,"")</f>
        <v>0</v>
      </c>
      <c r="P268" s="3">
        <f>+IFERROR(PRODUCTOS[[#This Row],[CANT X MODULO]]*702,"")</f>
        <v>1658.4750000000001</v>
      </c>
      <c r="Q268" s="3">
        <f>+SUMIFS(DETALLE_GD_1[CANTIDAD SOLICITADA],DETALLE_GD_1[CODIGO],PRODUCTOS[[#This Row],[CODIGO]])</f>
        <v>0</v>
      </c>
      <c r="R268" s="3">
        <f>+SUMIFS(DETALLE_GD_1[DEVOLUCIÓN],DETALLE_GD_1[CODIGO],PRODUCTOS[[#This Row],[CODIGO]])</f>
        <v>0</v>
      </c>
      <c r="S268" s="3">
        <f>+PRODUCTOS[[#This Row],[CANT. COMPRADA]]-PRODUCTOS[[#This Row],[DEVOLUCIONES]]</f>
        <v>0</v>
      </c>
      <c r="T268" s="3">
        <f>+IFERROR(PRODUCTOS[[#This Row],[CANTIDAD RECIBIDA]]/PRODUCTOS[[#This Row],[CANT X MODULO]],"")</f>
        <v>0</v>
      </c>
      <c r="U268" s="3">
        <f>+SUMIFS(DETALLE_GD_1[VALOR TOTAL POR ITEM GD],DETALLE_GD_1[CODIGO],PRODUCTOS[[#This Row],[CODIGO]])</f>
        <v>0</v>
      </c>
      <c r="V268" s="3" t="str">
        <f>+IFERROR(PRODUCTOS[[#This Row],[PRECIO DE COMPRA]]/PRODUCTOS[[#This Row],[CANT. COMPRADA]],"")</f>
        <v/>
      </c>
      <c r="W268" s="3" t="str">
        <f>+IFERROR(PRODUCTOS[[#This Row],[PRECIO COMPRA UNITARIO]]*PRODUCTOS[[#This Row],[PPTO FALTANTE]],"")</f>
        <v/>
      </c>
      <c r="X268" s="7" t="str">
        <f>+IFERROR(PRODUCTOS[[#This Row],[PROYECCION COMPRA]]/PRODUCTOS[[#This Row],[PPTO TOTAL]]-1,"")</f>
        <v/>
      </c>
      <c r="Y268" s="3">
        <f>+IFERROR((PRODUCTOS[[#This Row],[CANT X MODULO]]*704)-PRODUCTOS[[#This Row],[CANT. COMPRADA]],"")</f>
        <v>1663.2000000000003</v>
      </c>
      <c r="Z268" s="17">
        <f>+IFERROR(PRODUCTOS[[#This Row],[CANT. COMPRADA]]/PRODUCTOS[[#This Row],[PPTO FALTANTE]],"")</f>
        <v>0</v>
      </c>
      <c r="AA268" s="3" t="str">
        <f>+IFERROR(PRODUCTOS[[#This Row],[PROYECCION COMPRA]]-(PRODUCTOS[[#This Row],[PPTO FALTANTE]]*PRODUCTOS[[#This Row],[PPTO]]),"")</f>
        <v/>
      </c>
      <c r="AB268" s="3" t="str">
        <f>+_xlfn.XLOOKUP(PRODUCTOS[[#This Row],[CODIGO]],DETALLE_GD_1[CODIGO],DETALLE_GD_1[VALOR PPTO],"",0)</f>
        <v/>
      </c>
      <c r="AC268" s="3" t="e">
        <f>+AB268-PRODUCTOS[[#This Row],[PPTO_ACTUALIZADO]]</f>
        <v>#VALUE!</v>
      </c>
    </row>
    <row r="269" spans="1:29" x14ac:dyDescent="0.25">
      <c r="A269" t="s">
        <v>501</v>
      </c>
      <c r="B269" t="s">
        <v>502</v>
      </c>
      <c r="C269" t="s">
        <v>690</v>
      </c>
      <c r="D269" t="s">
        <v>355</v>
      </c>
      <c r="E269" t="s">
        <v>355</v>
      </c>
      <c r="F269" s="2">
        <v>7253</v>
      </c>
      <c r="G269" s="6" t="s">
        <v>355</v>
      </c>
      <c r="H269" s="2">
        <v>7253</v>
      </c>
      <c r="I269" t="b">
        <v>1</v>
      </c>
      <c r="J269" t="str">
        <f>+_xlfn.XLOOKUP(PRODUCTOS[[#This Row],[CODIGO]],P_CRITICOS[CODIGO],P_CRITICOS[DESC CORTA],"",0)</f>
        <v/>
      </c>
      <c r="K269" t="str">
        <f>+IFERROR(IF(VLOOKUP(PRODUCTOS[[#This Row],[CODIGO]],P_CRITICOS[],3,0)="*","PRODUCTO CRITICO","NO CRITICO"),"NO CRITICO")</f>
        <v>NO CRITICO</v>
      </c>
      <c r="L269" s="15">
        <f>+_xlfn.XLOOKUP(PRODUCTOS[[#This Row],[CODIGO]],BD_MODULO[Artículo],BD_MODULO[CUB_ACTUALIZADA],"",0)</f>
        <v>2.1</v>
      </c>
      <c r="M269" s="2">
        <f>+IFERROR(PRODUCTOS[[#This Row],[PPTO]]*PRODUCTOS[[#This Row],[CANT X MODULO]],"")</f>
        <v>15231.300000000001</v>
      </c>
      <c r="N269" s="2">
        <f>+IFERROR(PRODUCTOS[[#This Row],[PPTO X MODULO]]*32,"")</f>
        <v>487401.60000000003</v>
      </c>
      <c r="O269" s="2">
        <f>+IFERROR(PRODUCTOS[[#This Row],[PPTO X TORRE]]*22,"")</f>
        <v>10722835.200000001</v>
      </c>
      <c r="P269" s="3">
        <f>+IFERROR(PRODUCTOS[[#This Row],[CANT X MODULO]]*702,"")</f>
        <v>1474.2</v>
      </c>
      <c r="Q269" s="3">
        <f>+SUMIFS(DETALLE_GD_1[CANTIDAD SOLICITADA],DETALLE_GD_1[CODIGO],PRODUCTOS[[#This Row],[CODIGO]])</f>
        <v>0</v>
      </c>
      <c r="R269" s="3">
        <f>+SUMIFS(DETALLE_GD_1[DEVOLUCIÓN],DETALLE_GD_1[CODIGO],PRODUCTOS[[#This Row],[CODIGO]])</f>
        <v>0</v>
      </c>
      <c r="S269" s="3">
        <f>+PRODUCTOS[[#This Row],[CANT. COMPRADA]]-PRODUCTOS[[#This Row],[DEVOLUCIONES]]</f>
        <v>0</v>
      </c>
      <c r="T269" s="3">
        <f>+IFERROR(PRODUCTOS[[#This Row],[CANTIDAD RECIBIDA]]/PRODUCTOS[[#This Row],[CANT X MODULO]],"")</f>
        <v>0</v>
      </c>
      <c r="U269" s="3">
        <f>+SUMIFS(DETALLE_GD_1[VALOR TOTAL POR ITEM GD],DETALLE_GD_1[CODIGO],PRODUCTOS[[#This Row],[CODIGO]])</f>
        <v>0</v>
      </c>
      <c r="V269" s="3" t="str">
        <f>+IFERROR(PRODUCTOS[[#This Row],[PRECIO DE COMPRA]]/PRODUCTOS[[#This Row],[CANT. COMPRADA]],"")</f>
        <v/>
      </c>
      <c r="W269" s="3" t="str">
        <f>+IFERROR(PRODUCTOS[[#This Row],[PRECIO COMPRA UNITARIO]]*PRODUCTOS[[#This Row],[PPTO FALTANTE]],"")</f>
        <v/>
      </c>
      <c r="X269" s="7" t="str">
        <f>+IFERROR(PRODUCTOS[[#This Row],[PROYECCION COMPRA]]/PRODUCTOS[[#This Row],[PPTO TOTAL]]-1,"")</f>
        <v/>
      </c>
      <c r="Y269" s="3">
        <f>+IFERROR((PRODUCTOS[[#This Row],[CANT X MODULO]]*704)-PRODUCTOS[[#This Row],[CANT. COMPRADA]],"")</f>
        <v>1478.4</v>
      </c>
      <c r="Z269" s="17">
        <f>+IFERROR(PRODUCTOS[[#This Row],[CANT. COMPRADA]]/PRODUCTOS[[#This Row],[PPTO FALTANTE]],"")</f>
        <v>0</v>
      </c>
      <c r="AA269" s="3" t="str">
        <f>+IFERROR(PRODUCTOS[[#This Row],[PROYECCION COMPRA]]-(PRODUCTOS[[#This Row],[PPTO FALTANTE]]*PRODUCTOS[[#This Row],[PPTO]]),"")</f>
        <v/>
      </c>
      <c r="AB269" s="3" t="str">
        <f>+_xlfn.XLOOKUP(PRODUCTOS[[#This Row],[CODIGO]],DETALLE_GD_1[CODIGO],DETALLE_GD_1[VALOR PPTO],"",0)</f>
        <v/>
      </c>
      <c r="AC269" s="3" t="e">
        <f>+AB269-PRODUCTOS[[#This Row],[PPTO_ACTUALIZADO]]</f>
        <v>#VALUE!</v>
      </c>
    </row>
    <row r="270" spans="1:29" x14ac:dyDescent="0.25">
      <c r="A270" t="s">
        <v>503</v>
      </c>
      <c r="B270" t="s">
        <v>504</v>
      </c>
      <c r="C270" t="s">
        <v>691</v>
      </c>
      <c r="D270" t="s">
        <v>355</v>
      </c>
      <c r="E270" t="s">
        <v>355</v>
      </c>
      <c r="F270" s="2">
        <v>51840</v>
      </c>
      <c r="G270" s="6" t="s">
        <v>355</v>
      </c>
      <c r="H270" s="2">
        <v>51840</v>
      </c>
      <c r="I270" t="b">
        <v>1</v>
      </c>
      <c r="J270" t="str">
        <f>+_xlfn.XLOOKUP(PRODUCTOS[[#This Row],[CODIGO]],P_CRITICOS[CODIGO],P_CRITICOS[DESC CORTA],"",0)</f>
        <v/>
      </c>
      <c r="K270" t="str">
        <f>+IFERROR(IF(VLOOKUP(PRODUCTOS[[#This Row],[CODIGO]],P_CRITICOS[],3,0)="*","PRODUCTO CRITICO","NO CRITICO"),"NO CRITICO")</f>
        <v>NO CRITICO</v>
      </c>
      <c r="L270" s="15">
        <f>+_xlfn.XLOOKUP(PRODUCTOS[[#This Row],[CODIGO]],BD_MODULO[Artículo],BD_MODULO[CUB_ACTUALIZADA],"",0)</f>
        <v>1.1812499999999999</v>
      </c>
      <c r="M270" s="2">
        <f>+IFERROR(PRODUCTOS[[#This Row],[PPTO]]*PRODUCTOS[[#This Row],[CANT X MODULO]],"")</f>
        <v>61235.999999999993</v>
      </c>
      <c r="N270" s="2">
        <f>+IFERROR(PRODUCTOS[[#This Row],[PPTO X MODULO]]*32,"")</f>
        <v>1959551.9999999998</v>
      </c>
      <c r="O270" s="2">
        <f>+IFERROR(PRODUCTOS[[#This Row],[PPTO X TORRE]]*22,"")</f>
        <v>43110143.999999993</v>
      </c>
      <c r="P270" s="3">
        <f>+IFERROR(PRODUCTOS[[#This Row],[CANT X MODULO]]*702,"")</f>
        <v>829.23749999999995</v>
      </c>
      <c r="Q270" s="3">
        <f>+SUMIFS(DETALLE_GD_1[CANTIDAD SOLICITADA],DETALLE_GD_1[CODIGO],PRODUCTOS[[#This Row],[CODIGO]])</f>
        <v>0</v>
      </c>
      <c r="R270" s="3">
        <f>+SUMIFS(DETALLE_GD_1[DEVOLUCIÓN],DETALLE_GD_1[CODIGO],PRODUCTOS[[#This Row],[CODIGO]])</f>
        <v>0</v>
      </c>
      <c r="S270" s="3">
        <f>+PRODUCTOS[[#This Row],[CANT. COMPRADA]]-PRODUCTOS[[#This Row],[DEVOLUCIONES]]</f>
        <v>0</v>
      </c>
      <c r="T270" s="3">
        <f>+IFERROR(PRODUCTOS[[#This Row],[CANTIDAD RECIBIDA]]/PRODUCTOS[[#This Row],[CANT X MODULO]],"")</f>
        <v>0</v>
      </c>
      <c r="U270" s="3">
        <f>+SUMIFS(DETALLE_GD_1[VALOR TOTAL POR ITEM GD],DETALLE_GD_1[CODIGO],PRODUCTOS[[#This Row],[CODIGO]])</f>
        <v>0</v>
      </c>
      <c r="V270" s="3" t="str">
        <f>+IFERROR(PRODUCTOS[[#This Row],[PRECIO DE COMPRA]]/PRODUCTOS[[#This Row],[CANT. COMPRADA]],"")</f>
        <v/>
      </c>
      <c r="W270" s="3" t="str">
        <f>+IFERROR(PRODUCTOS[[#This Row],[PRECIO COMPRA UNITARIO]]*PRODUCTOS[[#This Row],[PPTO FALTANTE]],"")</f>
        <v/>
      </c>
      <c r="X270" s="7" t="str">
        <f>+IFERROR(PRODUCTOS[[#This Row],[PROYECCION COMPRA]]/PRODUCTOS[[#This Row],[PPTO TOTAL]]-1,"")</f>
        <v/>
      </c>
      <c r="Y270" s="3">
        <f>+IFERROR((PRODUCTOS[[#This Row],[CANT X MODULO]]*704)-PRODUCTOS[[#This Row],[CANT. COMPRADA]],"")</f>
        <v>831.59999999999991</v>
      </c>
      <c r="Z270" s="17">
        <f>+IFERROR(PRODUCTOS[[#This Row],[CANT. COMPRADA]]/PRODUCTOS[[#This Row],[PPTO FALTANTE]],"")</f>
        <v>0</v>
      </c>
      <c r="AA270" s="3" t="str">
        <f>+IFERROR(PRODUCTOS[[#This Row],[PROYECCION COMPRA]]-(PRODUCTOS[[#This Row],[PPTO FALTANTE]]*PRODUCTOS[[#This Row],[PPTO]]),"")</f>
        <v/>
      </c>
      <c r="AB270" s="3" t="str">
        <f>+_xlfn.XLOOKUP(PRODUCTOS[[#This Row],[CODIGO]],DETALLE_GD_1[CODIGO],DETALLE_GD_1[VALOR PPTO],"",0)</f>
        <v/>
      </c>
      <c r="AC270" s="3" t="e">
        <f>+AB270-PRODUCTOS[[#This Row],[PPTO_ACTUALIZADO]]</f>
        <v>#VALUE!</v>
      </c>
    </row>
    <row r="271" spans="1:29" x14ac:dyDescent="0.25">
      <c r="A271" t="s">
        <v>505</v>
      </c>
      <c r="B271" t="s">
        <v>506</v>
      </c>
      <c r="C271" t="s">
        <v>692</v>
      </c>
      <c r="D271" t="s">
        <v>355</v>
      </c>
      <c r="E271" t="s">
        <v>355</v>
      </c>
      <c r="G271" s="6" t="s">
        <v>355</v>
      </c>
      <c r="H271" s="2">
        <v>552</v>
      </c>
      <c r="I271" t="b">
        <v>0</v>
      </c>
      <c r="J271" t="str">
        <f>+_xlfn.XLOOKUP(PRODUCTOS[[#This Row],[CODIGO]],P_CRITICOS[CODIGO],P_CRITICOS[DESC CORTA],"",0)</f>
        <v/>
      </c>
      <c r="K271" t="str">
        <f>+IFERROR(IF(VLOOKUP(PRODUCTOS[[#This Row],[CODIGO]],P_CRITICOS[],3,0)="*","PRODUCTO CRITICO","NO CRITICO"),"NO CRITICO")</f>
        <v>NO CRITICO</v>
      </c>
      <c r="L271" s="15">
        <f>+_xlfn.XLOOKUP(PRODUCTOS[[#This Row],[CODIGO]],BD_MODULO[Artículo],BD_MODULO[CUB_ACTUALIZADA],"",0)</f>
        <v>4.7250000000000005</v>
      </c>
      <c r="M271" s="2">
        <f>+IFERROR(PRODUCTOS[[#This Row],[PPTO]]*PRODUCTOS[[#This Row],[CANT X MODULO]],"")</f>
        <v>0</v>
      </c>
      <c r="N271" s="2">
        <f>+IFERROR(PRODUCTOS[[#This Row],[PPTO X MODULO]]*32,"")</f>
        <v>0</v>
      </c>
      <c r="O271" s="2">
        <f>+IFERROR(PRODUCTOS[[#This Row],[PPTO X TORRE]]*22,"")</f>
        <v>0</v>
      </c>
      <c r="P271" s="3">
        <f>+IFERROR(PRODUCTOS[[#This Row],[CANT X MODULO]]*702,"")</f>
        <v>3316.9500000000003</v>
      </c>
      <c r="Q271" s="3">
        <f>+SUMIFS(DETALLE_GD_1[CANTIDAD SOLICITADA],DETALLE_GD_1[CODIGO],PRODUCTOS[[#This Row],[CODIGO]])</f>
        <v>0</v>
      </c>
      <c r="R271" s="3">
        <f>+SUMIFS(DETALLE_GD_1[DEVOLUCIÓN],DETALLE_GD_1[CODIGO],PRODUCTOS[[#This Row],[CODIGO]])</f>
        <v>0</v>
      </c>
      <c r="S271" s="3">
        <f>+PRODUCTOS[[#This Row],[CANT. COMPRADA]]-PRODUCTOS[[#This Row],[DEVOLUCIONES]]</f>
        <v>0</v>
      </c>
      <c r="T271" s="3">
        <f>+IFERROR(PRODUCTOS[[#This Row],[CANTIDAD RECIBIDA]]/PRODUCTOS[[#This Row],[CANT X MODULO]],"")</f>
        <v>0</v>
      </c>
      <c r="U271" s="3">
        <f>+SUMIFS(DETALLE_GD_1[VALOR TOTAL POR ITEM GD],DETALLE_GD_1[CODIGO],PRODUCTOS[[#This Row],[CODIGO]])</f>
        <v>0</v>
      </c>
      <c r="V271" s="3" t="str">
        <f>+IFERROR(PRODUCTOS[[#This Row],[PRECIO DE COMPRA]]/PRODUCTOS[[#This Row],[CANT. COMPRADA]],"")</f>
        <v/>
      </c>
      <c r="W271" s="3" t="str">
        <f>+IFERROR(PRODUCTOS[[#This Row],[PRECIO COMPRA UNITARIO]]*PRODUCTOS[[#This Row],[PPTO FALTANTE]],"")</f>
        <v/>
      </c>
      <c r="X271" s="7" t="str">
        <f>+IFERROR(PRODUCTOS[[#This Row],[PROYECCION COMPRA]]/PRODUCTOS[[#This Row],[PPTO TOTAL]]-1,"")</f>
        <v/>
      </c>
      <c r="Y271" s="3">
        <f>+IFERROR((PRODUCTOS[[#This Row],[CANT X MODULO]]*704)-PRODUCTOS[[#This Row],[CANT. COMPRADA]],"")</f>
        <v>3326.4000000000005</v>
      </c>
      <c r="Z271" s="17">
        <f>+IFERROR(PRODUCTOS[[#This Row],[CANT. COMPRADA]]/PRODUCTOS[[#This Row],[PPTO FALTANTE]],"")</f>
        <v>0</v>
      </c>
      <c r="AA271" s="3" t="str">
        <f>+IFERROR(PRODUCTOS[[#This Row],[PROYECCION COMPRA]]-(PRODUCTOS[[#This Row],[PPTO FALTANTE]]*PRODUCTOS[[#This Row],[PPTO]]),"")</f>
        <v/>
      </c>
      <c r="AB271" s="3" t="str">
        <f>+_xlfn.XLOOKUP(PRODUCTOS[[#This Row],[CODIGO]],DETALLE_GD_1[CODIGO],DETALLE_GD_1[VALOR PPTO],"",0)</f>
        <v/>
      </c>
      <c r="AC271" s="3" t="e">
        <f>+AB271-PRODUCTOS[[#This Row],[PPTO_ACTUALIZADO]]</f>
        <v>#VALUE!</v>
      </c>
    </row>
    <row r="272" spans="1:29" x14ac:dyDescent="0.25">
      <c r="A272">
        <v>4212254</v>
      </c>
      <c r="B272" t="s">
        <v>308</v>
      </c>
      <c r="C272" t="s">
        <v>658</v>
      </c>
      <c r="D272" t="s">
        <v>244</v>
      </c>
      <c r="E272">
        <v>0</v>
      </c>
      <c r="F272" s="2">
        <v>58650</v>
      </c>
      <c r="G272" s="6" t="s">
        <v>31</v>
      </c>
      <c r="H272" s="2">
        <v>58650</v>
      </c>
      <c r="I272" t="b">
        <v>1</v>
      </c>
      <c r="J272" t="str">
        <f>+_xlfn.XLOOKUP(PRODUCTOS[[#This Row],[CODIGO]],P_CRITICOS[CODIGO],P_CRITICOS[DESC CORTA],"",0)</f>
        <v/>
      </c>
      <c r="K272" t="str">
        <f>+IFERROR(IF(VLOOKUP(PRODUCTOS[[#This Row],[CODIGO]],P_CRITICOS[],3,0)="*","PRODUCTO CRITICO","NO CRITICO"),"NO CRITICO")</f>
        <v>NO CRITICO</v>
      </c>
      <c r="L272" s="15">
        <f>+_xlfn.XLOOKUP(PRODUCTOS[[#This Row],[CODIGO]],BD_MODULO[Artículo],BD_MODULO[CUB_ACTUALIZADA],"",0)</f>
        <v>0.52500000000000002</v>
      </c>
      <c r="M272" s="2">
        <f>+IFERROR(PRODUCTOS[[#This Row],[PPTO]]*PRODUCTOS[[#This Row],[CANT X MODULO]],"")</f>
        <v>30791.25</v>
      </c>
      <c r="N272" s="2">
        <f>+IFERROR(PRODUCTOS[[#This Row],[PPTO X MODULO]]*32,"")</f>
        <v>985320</v>
      </c>
      <c r="O272" s="2">
        <f>+IFERROR(PRODUCTOS[[#This Row],[PPTO X TORRE]]*22,"")</f>
        <v>21677040</v>
      </c>
      <c r="P272" s="3">
        <f>+IFERROR(PRODUCTOS[[#This Row],[CANT X MODULO]]*702,"")</f>
        <v>368.55</v>
      </c>
      <c r="Q272" s="3">
        <f>+SUMIFS(DETALLE_GD_1[CANTIDAD SOLICITADA],DETALLE_GD_1[CODIGO],PRODUCTOS[[#This Row],[CODIGO]])</f>
        <v>0</v>
      </c>
      <c r="R272" s="3">
        <f>+SUMIFS(DETALLE_GD_1[DEVOLUCIÓN],DETALLE_GD_1[CODIGO],PRODUCTOS[[#This Row],[CODIGO]])</f>
        <v>0</v>
      </c>
      <c r="S272" s="3">
        <f>+PRODUCTOS[[#This Row],[CANT. COMPRADA]]-PRODUCTOS[[#This Row],[DEVOLUCIONES]]</f>
        <v>0</v>
      </c>
      <c r="T272" s="3">
        <f>+IFERROR(PRODUCTOS[[#This Row],[CANTIDAD RECIBIDA]]/PRODUCTOS[[#This Row],[CANT X MODULO]],"")</f>
        <v>0</v>
      </c>
      <c r="U272" s="3">
        <f>+SUMIFS(DETALLE_GD_1[VALOR TOTAL POR ITEM GD],DETALLE_GD_1[CODIGO],PRODUCTOS[[#This Row],[CODIGO]])</f>
        <v>0</v>
      </c>
      <c r="V272" s="3" t="str">
        <f>+IFERROR(PRODUCTOS[[#This Row],[PRECIO DE COMPRA]]/PRODUCTOS[[#This Row],[CANT. COMPRADA]],"")</f>
        <v/>
      </c>
      <c r="W272" s="3" t="str">
        <f>+IFERROR(PRODUCTOS[[#This Row],[PRECIO COMPRA UNITARIO]]*PRODUCTOS[[#This Row],[PPTO FALTANTE]],"")</f>
        <v/>
      </c>
      <c r="X272" s="7" t="str">
        <f>+IFERROR(PRODUCTOS[[#This Row],[PROYECCION COMPRA]]/PRODUCTOS[[#This Row],[PPTO TOTAL]]-1,"")</f>
        <v/>
      </c>
      <c r="Y272" s="3">
        <f>+IFERROR((PRODUCTOS[[#This Row],[CANT X MODULO]]*704)-PRODUCTOS[[#This Row],[CANT. COMPRADA]],"")</f>
        <v>369.6</v>
      </c>
      <c r="Z272" s="17">
        <f>+IFERROR(PRODUCTOS[[#This Row],[CANT. COMPRADA]]/PRODUCTOS[[#This Row],[PPTO FALTANTE]],"")</f>
        <v>0</v>
      </c>
      <c r="AA272" s="3" t="str">
        <f>+IFERROR(PRODUCTOS[[#This Row],[PROYECCION COMPRA]]-(PRODUCTOS[[#This Row],[PPTO FALTANTE]]*PRODUCTOS[[#This Row],[PPTO]]),"")</f>
        <v/>
      </c>
      <c r="AB272" s="3" t="str">
        <f>+_xlfn.XLOOKUP(PRODUCTOS[[#This Row],[CODIGO]],DETALLE_GD_1[CODIGO],DETALLE_GD_1[VALOR PPTO],"",0)</f>
        <v/>
      </c>
      <c r="AC272" s="3" t="e">
        <f>+AB272-PRODUCTOS[[#This Row],[PPTO_ACTUALIZADO]]</f>
        <v>#VALUE!</v>
      </c>
    </row>
    <row r="273" spans="1:29" x14ac:dyDescent="0.25">
      <c r="A273" t="s">
        <v>241</v>
      </c>
      <c r="B273" t="s">
        <v>35</v>
      </c>
      <c r="C273">
        <v>0</v>
      </c>
      <c r="D273" t="s">
        <v>240</v>
      </c>
      <c r="E273" t="s">
        <v>399</v>
      </c>
      <c r="F273" s="2">
        <v>233358.08812299999</v>
      </c>
      <c r="G273" s="6" t="s">
        <v>36</v>
      </c>
      <c r="H273" s="2">
        <v>233358.08812299999</v>
      </c>
      <c r="I273" t="b">
        <v>1</v>
      </c>
      <c r="J273" t="str">
        <f>+_xlfn.XLOOKUP(PRODUCTOS[[#This Row],[CODIGO]],P_CRITICOS[CODIGO],P_CRITICOS[DESC CORTA],"",0)</f>
        <v/>
      </c>
      <c r="K273" t="str">
        <f>+IFERROR(IF(VLOOKUP(PRODUCTOS[[#This Row],[CODIGO]],P_CRITICOS[],3,0)="*","PRODUCTO CRITICO","NO CRITICO"),"NO CRITICO")</f>
        <v>NO CRITICO</v>
      </c>
      <c r="L273" s="15">
        <f>+_xlfn.XLOOKUP(PRODUCTOS[[#This Row],[CODIGO]],BD_MODULO[Artículo],BD_MODULO[CUB_ACTUALIZADA],"",0)</f>
        <v>5.46875E-2</v>
      </c>
      <c r="M273" s="2">
        <f>+IFERROR(PRODUCTOS[[#This Row],[PPTO]]*PRODUCTOS[[#This Row],[CANT X MODULO]],"")</f>
        <v>12761.770444226562</v>
      </c>
      <c r="N273" s="2">
        <f>+IFERROR(PRODUCTOS[[#This Row],[PPTO X MODULO]]*32,"")</f>
        <v>408376.65421524999</v>
      </c>
      <c r="O273" s="2">
        <f>+IFERROR(PRODUCTOS[[#This Row],[PPTO X TORRE]]*22,"")</f>
        <v>8984286.3927354999</v>
      </c>
      <c r="P273" s="3">
        <f>+IFERROR(PRODUCTOS[[#This Row],[CANT X MODULO]]*702,"")</f>
        <v>38.390625</v>
      </c>
      <c r="Q273" s="3">
        <f>+SUMIFS(DETALLE_GD_1[CANTIDAD SOLICITADA],DETALLE_GD_1[CODIGO],PRODUCTOS[[#This Row],[CODIGO]])</f>
        <v>0</v>
      </c>
      <c r="R273" s="3">
        <f>+SUMIFS(DETALLE_GD_1[DEVOLUCIÓN],DETALLE_GD_1[CODIGO],PRODUCTOS[[#This Row],[CODIGO]])</f>
        <v>0</v>
      </c>
      <c r="S273" s="3">
        <f>+PRODUCTOS[[#This Row],[CANT. COMPRADA]]-PRODUCTOS[[#This Row],[DEVOLUCIONES]]</f>
        <v>0</v>
      </c>
      <c r="T273" s="3">
        <f>+IFERROR(PRODUCTOS[[#This Row],[CANTIDAD RECIBIDA]]/PRODUCTOS[[#This Row],[CANT X MODULO]],"")</f>
        <v>0</v>
      </c>
      <c r="U273" s="3">
        <f>+SUMIFS(DETALLE_GD_1[VALOR TOTAL POR ITEM GD],DETALLE_GD_1[CODIGO],PRODUCTOS[[#This Row],[CODIGO]])</f>
        <v>0</v>
      </c>
      <c r="V273" s="3" t="str">
        <f>+IFERROR(PRODUCTOS[[#This Row],[PRECIO DE COMPRA]]/PRODUCTOS[[#This Row],[CANT. COMPRADA]],"")</f>
        <v/>
      </c>
      <c r="W273" s="3" t="str">
        <f>+IFERROR(PRODUCTOS[[#This Row],[PRECIO COMPRA UNITARIO]]*PRODUCTOS[[#This Row],[PPTO FALTANTE]],"")</f>
        <v/>
      </c>
      <c r="X273" s="7" t="str">
        <f>+IFERROR(PRODUCTOS[[#This Row],[PROYECCION COMPRA]]/PRODUCTOS[[#This Row],[PPTO TOTAL]]-1,"")</f>
        <v/>
      </c>
      <c r="Y273" s="3">
        <f>+IFERROR((PRODUCTOS[[#This Row],[CANT X MODULO]]*704)-PRODUCTOS[[#This Row],[CANT. COMPRADA]],"")</f>
        <v>38.5</v>
      </c>
      <c r="Z273" s="17">
        <f>+IFERROR(PRODUCTOS[[#This Row],[CANT. COMPRADA]]/PRODUCTOS[[#This Row],[PPTO FALTANTE]],"")</f>
        <v>0</v>
      </c>
      <c r="AA273" s="3" t="str">
        <f>+IFERROR(PRODUCTOS[[#This Row],[PROYECCION COMPRA]]-(PRODUCTOS[[#This Row],[PPTO FALTANTE]]*PRODUCTOS[[#This Row],[PPTO]]),"")</f>
        <v/>
      </c>
      <c r="AB273" s="3" t="str">
        <f>+_xlfn.XLOOKUP(PRODUCTOS[[#This Row],[CODIGO]],DETALLE_GD_1[CODIGO],DETALLE_GD_1[VALOR PPTO],"",0)</f>
        <v/>
      </c>
      <c r="AC273" s="3" t="e">
        <f>+AB273-PRODUCTOS[[#This Row],[PPTO_ACTUALIZADO]]</f>
        <v>#VALUE!</v>
      </c>
    </row>
    <row r="274" spans="1:29" x14ac:dyDescent="0.25">
      <c r="A274" t="s">
        <v>353</v>
      </c>
      <c r="B274" t="s">
        <v>347</v>
      </c>
      <c r="C274" t="s">
        <v>528</v>
      </c>
      <c r="D274" t="s">
        <v>240</v>
      </c>
      <c r="E274" t="s">
        <v>412</v>
      </c>
      <c r="F274" s="2">
        <v>9390</v>
      </c>
      <c r="G274" s="6" t="s">
        <v>18</v>
      </c>
      <c r="H274" s="2">
        <v>9390</v>
      </c>
      <c r="I274" t="b">
        <v>1</v>
      </c>
      <c r="J274" t="str">
        <f>+_xlfn.XLOOKUP(PRODUCTOS[[#This Row],[CODIGO]],P_CRITICOS[CODIGO],P_CRITICOS[DESC CORTA],"",0)</f>
        <v>ESPUMA EXPANSIVA</v>
      </c>
      <c r="K274" t="str">
        <f>+IFERROR(IF(VLOOKUP(PRODUCTOS[[#This Row],[CODIGO]],P_CRITICOS[],3,0)="*","PRODUCTO CRITICO","NO CRITICO"),"NO CRITICO")</f>
        <v>PRODUCTO CRITICO</v>
      </c>
      <c r="L274" s="15">
        <f>+_xlfn.XLOOKUP(PRODUCTOS[[#This Row],[CODIGO]],BD_MODULO[Artículo],BD_MODULO[CUB_ACTUALIZADA],"",0)</f>
        <v>17.587499999999999</v>
      </c>
      <c r="M274" s="2">
        <f>+IFERROR(PRODUCTOS[[#This Row],[PPTO]]*PRODUCTOS[[#This Row],[CANT X MODULO]],"")</f>
        <v>165146.625</v>
      </c>
      <c r="N274" s="2">
        <f>+IFERROR(PRODUCTOS[[#This Row],[PPTO X MODULO]]*32,"")</f>
        <v>5284692</v>
      </c>
      <c r="O274" s="2">
        <f>+IFERROR(PRODUCTOS[[#This Row],[PPTO X TORRE]]*22,"")</f>
        <v>116263224</v>
      </c>
      <c r="P274" s="3">
        <f>+IFERROR(PRODUCTOS[[#This Row],[CANT X MODULO]]*702,"")</f>
        <v>12346.424999999999</v>
      </c>
      <c r="Q274" s="3">
        <f>+SUMIFS(DETALLE_GD_1[CANTIDAD SOLICITADA],DETALLE_GD_1[CODIGO],PRODUCTOS[[#This Row],[CODIGO]])</f>
        <v>0</v>
      </c>
      <c r="R274" s="3">
        <f>+SUMIFS(DETALLE_GD_1[DEVOLUCIÓN],DETALLE_GD_1[CODIGO],PRODUCTOS[[#This Row],[CODIGO]])</f>
        <v>0</v>
      </c>
      <c r="S274" s="3">
        <f>+PRODUCTOS[[#This Row],[CANT. COMPRADA]]-PRODUCTOS[[#This Row],[DEVOLUCIONES]]</f>
        <v>0</v>
      </c>
      <c r="T274" s="3">
        <f>+IFERROR(PRODUCTOS[[#This Row],[CANTIDAD RECIBIDA]]/PRODUCTOS[[#This Row],[CANT X MODULO]],"")</f>
        <v>0</v>
      </c>
      <c r="U274" s="3">
        <f>+SUMIFS(DETALLE_GD_1[VALOR TOTAL POR ITEM GD],DETALLE_GD_1[CODIGO],PRODUCTOS[[#This Row],[CODIGO]])</f>
        <v>0</v>
      </c>
      <c r="V274" s="3" t="str">
        <f>+IFERROR(PRODUCTOS[[#This Row],[PRECIO DE COMPRA]]/PRODUCTOS[[#This Row],[CANT. COMPRADA]],"")</f>
        <v/>
      </c>
      <c r="W274" s="3" t="str">
        <f>+IFERROR(PRODUCTOS[[#This Row],[PRECIO COMPRA UNITARIO]]*PRODUCTOS[[#This Row],[PPTO FALTANTE]],"")</f>
        <v/>
      </c>
      <c r="X274" s="7" t="str">
        <f>+IFERROR(PRODUCTOS[[#This Row],[PROYECCION COMPRA]]/PRODUCTOS[[#This Row],[PPTO TOTAL]]-1,"")</f>
        <v/>
      </c>
      <c r="Y274" s="3">
        <f>+IFERROR((PRODUCTOS[[#This Row],[CANT X MODULO]]*704)-PRODUCTOS[[#This Row],[CANT. COMPRADA]],"")</f>
        <v>12381.599999999999</v>
      </c>
      <c r="Z274" s="17">
        <f>+IFERROR(PRODUCTOS[[#This Row],[CANT. COMPRADA]]/PRODUCTOS[[#This Row],[PPTO FALTANTE]],"")</f>
        <v>0</v>
      </c>
      <c r="AA274" s="3" t="str">
        <f>+IFERROR(PRODUCTOS[[#This Row],[PROYECCION COMPRA]]-(PRODUCTOS[[#This Row],[PPTO FALTANTE]]*PRODUCTOS[[#This Row],[PPTO]]),"")</f>
        <v/>
      </c>
      <c r="AB274" s="3" t="str">
        <f>+_xlfn.XLOOKUP(PRODUCTOS[[#This Row],[CODIGO]],DETALLE_GD_1[CODIGO],DETALLE_GD_1[VALOR PPTO],"",0)</f>
        <v/>
      </c>
      <c r="AC274" s="3" t="e">
        <f>+AB274-PRODUCTOS[[#This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270"/>
  <sheetViews>
    <sheetView zoomScaleNormal="100" workbookViewId="0">
      <selection activeCell="P161" sqref="P161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customWidth="1"/>
    <col min="5" max="5" width="20.5703125" customWidth="1"/>
    <col min="6" max="6" width="18.5703125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693</v>
      </c>
      <c r="B1" t="s">
        <v>2</v>
      </c>
      <c r="C1" t="s">
        <v>322</v>
      </c>
      <c r="D1" t="s">
        <v>694</v>
      </c>
      <c r="E1" t="s">
        <v>697</v>
      </c>
      <c r="F1" t="s">
        <v>371</v>
      </c>
      <c r="G1" t="s">
        <v>702</v>
      </c>
      <c r="H1" t="s">
        <v>354</v>
      </c>
      <c r="I1" t="s">
        <v>703</v>
      </c>
      <c r="J1" t="s">
        <v>773</v>
      </c>
      <c r="K1" s="3" t="s">
        <v>712</v>
      </c>
      <c r="L1" s="3" t="s">
        <v>786</v>
      </c>
      <c r="M1" s="3" t="s">
        <v>787</v>
      </c>
      <c r="N1" t="s">
        <v>788</v>
      </c>
      <c r="O1" t="s">
        <v>711</v>
      </c>
      <c r="P1" t="s">
        <v>699</v>
      </c>
      <c r="Q1" t="s">
        <v>700</v>
      </c>
      <c r="R1" t="s">
        <v>715</v>
      </c>
      <c r="V1" s="37" t="s">
        <v>701</v>
      </c>
    </row>
    <row r="2" spans="1:22" hidden="1" x14ac:dyDescent="0.25">
      <c r="A2" s="1">
        <v>46125</v>
      </c>
      <c r="B2" t="s">
        <v>21</v>
      </c>
      <c r="C2" t="s">
        <v>507</v>
      </c>
      <c r="D2" t="s">
        <v>20</v>
      </c>
      <c r="F2">
        <v>3</v>
      </c>
      <c r="G2">
        <v>44</v>
      </c>
      <c r="H2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 t="str">
        <f>IF($V$2-REG_STOCK[[#This Row],[ALCANCE FISICO]]&gt;0,"",($V$2-REG_STOCK[[#This Row],[ALCANCE FISICO]]/REG_STOCK[[#This Row],[CUBICACION PPTO.]]))</f>
        <v/>
      </c>
      <c r="P2" s="3">
        <f>+_xlfn.XLOOKUP(REG_STOCK[[#This Row],[CODIGO]],PRODUCTOS[CODIGO],PRODUCTOS[PRECIO COMPRA UNITARIO],"",0)</f>
        <v>15443.519144144144</v>
      </c>
      <c r="Q2" s="3" t="str">
        <f>IFERROR(REG_STOCK[[#This Row],[VALOR UNITARIO]]*REG_STOCK[[#This Row],[PERDIDA O EN PROCESO]],"")</f>
        <v/>
      </c>
      <c r="R2" s="3">
        <f>+REG_STOCK[[#This Row],[VALOR UNITARIO]]*REG_STOCK[[#This Row],[STOCK FISICO]]</f>
        <v>679514.84234234237</v>
      </c>
      <c r="V2">
        <v>110</v>
      </c>
    </row>
    <row r="3" spans="1:22" hidden="1" x14ac:dyDescent="0.25">
      <c r="A3" s="1">
        <v>46125</v>
      </c>
      <c r="B3">
        <v>304101</v>
      </c>
      <c r="C3" t="s">
        <v>695</v>
      </c>
      <c r="D3" t="s">
        <v>18</v>
      </c>
      <c r="E3">
        <v>1825</v>
      </c>
      <c r="F3">
        <v>0.5</v>
      </c>
      <c r="G3">
        <v>118</v>
      </c>
      <c r="H3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9649.1185596629002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1138595.9900402222</v>
      </c>
    </row>
    <row r="4" spans="1:22" hidden="1" x14ac:dyDescent="0.25">
      <c r="A4" s="1">
        <v>46125</v>
      </c>
      <c r="B4">
        <v>302044</v>
      </c>
      <c r="C4" t="s">
        <v>510</v>
      </c>
      <c r="D4" t="s">
        <v>20</v>
      </c>
      <c r="E4">
        <v>1754</v>
      </c>
      <c r="G4">
        <v>155</v>
      </c>
      <c r="H4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t="s">
        <v>511</v>
      </c>
      <c r="D5" t="s">
        <v>20</v>
      </c>
      <c r="E5">
        <v>1596</v>
      </c>
      <c r="F5">
        <v>8.9250000000000038E-2</v>
      </c>
      <c r="G5">
        <v>452</v>
      </c>
      <c r="H5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5690.5508432539682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2572128.9811507938</v>
      </c>
    </row>
    <row r="6" spans="1:22" hidden="1" x14ac:dyDescent="0.25">
      <c r="A6" s="1">
        <v>46125</v>
      </c>
      <c r="B6">
        <v>302028</v>
      </c>
      <c r="C6" t="s">
        <v>512</v>
      </c>
      <c r="D6" t="s">
        <v>20</v>
      </c>
      <c r="E6">
        <v>7561</v>
      </c>
      <c r="F6">
        <v>0.22500000000000006</v>
      </c>
      <c r="G6">
        <v>324</v>
      </c>
      <c r="H6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4769.5117820983787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1545321.8173998748</v>
      </c>
    </row>
    <row r="7" spans="1:22" hidden="1" x14ac:dyDescent="0.25">
      <c r="A7" s="1">
        <v>46125</v>
      </c>
      <c r="B7">
        <v>304049</v>
      </c>
      <c r="C7" t="s">
        <v>318</v>
      </c>
      <c r="D7" t="s">
        <v>18</v>
      </c>
      <c r="E7">
        <v>585</v>
      </c>
      <c r="F7">
        <v>5.5999999999999982E-3</v>
      </c>
      <c r="G7">
        <v>165</v>
      </c>
      <c r="H7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15095.117424242424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2490694.375</v>
      </c>
    </row>
    <row r="8" spans="1:22" hidden="1" x14ac:dyDescent="0.25">
      <c r="A8" s="1">
        <v>46125</v>
      </c>
      <c r="B8">
        <v>304007</v>
      </c>
      <c r="C8" t="s">
        <v>80</v>
      </c>
      <c r="D8" t="s">
        <v>18</v>
      </c>
      <c r="E8">
        <v>612</v>
      </c>
      <c r="F8">
        <v>22</v>
      </c>
      <c r="G8">
        <v>107</v>
      </c>
      <c r="H8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 t="str">
        <f>IF($V$2-REG_STOCK[[#This Row],[ALCANCE FISICO]]&gt;0,"",($V$2-REG_STOCK[[#This Row],[ALCANCE FISICO]]/REG_STOCK[[#This Row],[CUBICACION PPTO.]]))</f>
        <v/>
      </c>
      <c r="P8" s="3">
        <f>+_xlfn.XLOOKUP(REG_STOCK[[#This Row],[CODIGO]],PRODUCTOS[CODIGO],PRODUCTOS[PRECIO COMPRA UNITARIO],"",0)</f>
        <v>11497.288819875776</v>
      </c>
      <c r="Q8" s="3" t="str">
        <f>IFERROR(REG_STOCK[[#This Row],[VALOR UNITARIO]]*REG_STOCK[[#This Row],[PERDIDA O EN PROCESO]],"")</f>
        <v/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t="s">
        <v>204</v>
      </c>
      <c r="D9" t="s">
        <v>18</v>
      </c>
      <c r="E9">
        <v>910</v>
      </c>
      <c r="F9">
        <v>0.25</v>
      </c>
      <c r="G9">
        <v>185</v>
      </c>
      <c r="H9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16231.199726402188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3002771.9493844048</v>
      </c>
    </row>
    <row r="10" spans="1:22" hidden="1" x14ac:dyDescent="0.25">
      <c r="A10" s="1">
        <v>46125</v>
      </c>
      <c r="B10">
        <v>302046</v>
      </c>
      <c r="C10" t="s">
        <v>516</v>
      </c>
      <c r="D10" t="s">
        <v>20</v>
      </c>
      <c r="E10">
        <v>2173</v>
      </c>
      <c r="F10">
        <v>4</v>
      </c>
      <c r="G10">
        <v>131</v>
      </c>
      <c r="H10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 t="str">
        <f>IF($V$2-REG_STOCK[[#This Row],[ALCANCE FISICO]]&gt;0,"",($V$2-REG_STOCK[[#This Row],[ALCANCE FISICO]]/REG_STOCK[[#This Row],[CUBICACION PPTO.]]))</f>
        <v/>
      </c>
      <c r="P10" s="3">
        <f>+_xlfn.XLOOKUP(REG_STOCK[[#This Row],[CODIGO]],PRODUCTOS[CODIGO],PRODUCTOS[PRECIO COMPRA UNITARIO],"",0)</f>
        <v>10289.047343394666</v>
      </c>
      <c r="Q10" s="3" t="str">
        <f>IFERROR(REG_STOCK[[#This Row],[VALOR UNITARIO]]*REG_STOCK[[#This Row],[PERDIDA O EN PROCESO]],"")</f>
        <v/>
      </c>
      <c r="R10" s="3">
        <f>+REG_STOCK[[#This Row],[VALOR UNITARIO]]*REG_STOCK[[#This Row],[STOCK FISICO]]</f>
        <v>1347865.2019847012</v>
      </c>
    </row>
    <row r="11" spans="1:22" hidden="1" x14ac:dyDescent="0.25">
      <c r="A11" s="1">
        <v>46125</v>
      </c>
      <c r="B11">
        <v>701043</v>
      </c>
      <c r="C11" t="s">
        <v>197</v>
      </c>
      <c r="D11" t="s">
        <v>696</v>
      </c>
      <c r="E11">
        <v>396</v>
      </c>
      <c r="F11">
        <v>4.5</v>
      </c>
      <c r="G11">
        <v>62</v>
      </c>
      <c r="H1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 t="str">
        <f>IF($V$2-REG_STOCK[[#This Row],[ALCANCE FISICO]]&gt;0,"",($V$2-REG_STOCK[[#This Row],[ALCANCE FISICO]]/REG_STOCK[[#This Row],[CUBICACION PPTO.]]))</f>
        <v/>
      </c>
      <c r="P11" s="3">
        <f>+_xlfn.XLOOKUP(REG_STOCK[[#This Row],[CODIGO]],PRODUCTOS[CODIGO],PRODUCTOS[PRECIO COMPRA UNITARIO],"",0)</f>
        <v>22537.549256505576</v>
      </c>
      <c r="Q11" s="3" t="str">
        <f>IFERROR(REG_STOCK[[#This Row],[VALOR UNITARIO]]*REG_STOCK[[#This Row],[PERDIDA O EN PROCESO]],"")</f>
        <v/>
      </c>
      <c r="R11" s="3">
        <f>+REG_STOCK[[#This Row],[VALOR UNITARIO]]*REG_STOCK[[#This Row],[STOCK FISICO]]</f>
        <v>1397328.0539033457</v>
      </c>
    </row>
    <row r="12" spans="1:22" hidden="1" x14ac:dyDescent="0.25">
      <c r="A12" s="1">
        <v>46132</v>
      </c>
      <c r="B12" t="s">
        <v>21</v>
      </c>
      <c r="C12" t="s">
        <v>507</v>
      </c>
      <c r="D12" t="s">
        <v>20</v>
      </c>
      <c r="E12">
        <v>388</v>
      </c>
      <c r="F12">
        <v>0.33250000000000002</v>
      </c>
      <c r="G12">
        <v>44</v>
      </c>
      <c r="H12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 t="str">
        <f>IF($V$2-REG_STOCK[[#This Row],[ALCANCE FISICO]]&gt;0,"",($V$2-REG_STOCK[[#This Row],[ALCANCE FISICO]]/REG_STOCK[[#This Row],[CUBICACION PPTO.]]))</f>
        <v/>
      </c>
      <c r="P12" s="3">
        <f>+_xlfn.XLOOKUP(REG_STOCK[[#This Row],[CODIGO]],PRODUCTOS[CODIGO],PRODUCTOS[PRECIO COMPRA UNITARIO],"",0)</f>
        <v>15443.519144144144</v>
      </c>
      <c r="Q12" s="3" t="str">
        <f>IFERROR(REG_STOCK[[#This Row],[VALOR UNITARIO]]*REG_STOCK[[#This Row],[PERDIDA O EN PROCESO]],"")</f>
        <v/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t="s">
        <v>747</v>
      </c>
      <c r="D13" t="s">
        <v>26</v>
      </c>
      <c r="E13">
        <v>3494</v>
      </c>
      <c r="F13">
        <v>0.56100000000000005</v>
      </c>
      <c r="G13">
        <v>32</v>
      </c>
      <c r="H13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2062.9827561636025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66015.448197235281</v>
      </c>
    </row>
    <row r="14" spans="1:22" hidden="1" x14ac:dyDescent="0.25">
      <c r="A14" s="1">
        <v>46132</v>
      </c>
      <c r="B14">
        <v>304002</v>
      </c>
      <c r="C14" t="s">
        <v>37</v>
      </c>
      <c r="D14" t="s">
        <v>18</v>
      </c>
      <c r="E14">
        <v>1247</v>
      </c>
      <c r="G14">
        <v>233</v>
      </c>
      <c r="H14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21604.880388238653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5033937.1304596057</v>
      </c>
    </row>
    <row r="15" spans="1:22" hidden="1" x14ac:dyDescent="0.25">
      <c r="A15" s="1">
        <v>46132</v>
      </c>
      <c r="B15">
        <v>304007</v>
      </c>
      <c r="C15" t="s">
        <v>80</v>
      </c>
      <c r="D15" t="s">
        <v>18</v>
      </c>
      <c r="E15">
        <v>684</v>
      </c>
      <c r="F15">
        <v>0.25</v>
      </c>
      <c r="G15">
        <v>91</v>
      </c>
      <c r="H15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 t="str">
        <f>IF($V$2-REG_STOCK[[#This Row],[ALCANCE FISICO]]&gt;0,"",($V$2-REG_STOCK[[#This Row],[ALCANCE FISICO]]/REG_STOCK[[#This Row],[CUBICACION PPTO.]]))</f>
        <v/>
      </c>
      <c r="P15" s="3">
        <f>+_xlfn.XLOOKUP(REG_STOCK[[#This Row],[CODIGO]],PRODUCTOS[CODIGO],PRODUCTOS[PRECIO COMPRA UNITARIO],"",0)</f>
        <v>11497.288819875776</v>
      </c>
      <c r="Q15" s="3" t="str">
        <f>IFERROR(REG_STOCK[[#This Row],[VALOR UNITARIO]]*REG_STOCK[[#This Row],[PERDIDA O EN PROCESO]],"")</f>
        <v/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t="s">
        <v>197</v>
      </c>
      <c r="D16" t="s">
        <v>696</v>
      </c>
      <c r="E16">
        <v>476</v>
      </c>
      <c r="F16">
        <v>0.16500000000000001</v>
      </c>
      <c r="G16">
        <v>58</v>
      </c>
      <c r="H16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 t="str">
        <f>IF($V$2-REG_STOCK[[#This Row],[ALCANCE FISICO]]&gt;0,"",($V$2-REG_STOCK[[#This Row],[ALCANCE FISICO]]/REG_STOCK[[#This Row],[CUBICACION PPTO.]]))</f>
        <v/>
      </c>
      <c r="P16" s="3">
        <f>+_xlfn.XLOOKUP(REG_STOCK[[#This Row],[CODIGO]],PRODUCTOS[CODIGO],PRODUCTOS[PRECIO COMPRA UNITARIO],"",0)</f>
        <v>22537.549256505576</v>
      </c>
      <c r="Q16" s="3" t="str">
        <f>IFERROR(REG_STOCK[[#This Row],[VALOR UNITARIO]]*REG_STOCK[[#This Row],[PERDIDA O EN PROCESO]],"")</f>
        <v/>
      </c>
      <c r="R16" s="3">
        <f>+REG_STOCK[[#This Row],[VALOR UNITARIO]]*REG_STOCK[[#This Row],[STOCK FISICO]]</f>
        <v>1307177.8568773235</v>
      </c>
    </row>
    <row r="17" spans="1:18" hidden="1" x14ac:dyDescent="0.25">
      <c r="A17" s="1">
        <v>46132</v>
      </c>
      <c r="B17">
        <v>302046</v>
      </c>
      <c r="C17" t="s">
        <v>516</v>
      </c>
      <c r="D17" t="s">
        <v>20</v>
      </c>
      <c r="E17">
        <v>2509</v>
      </c>
      <c r="F17">
        <v>0.25</v>
      </c>
      <c r="G17">
        <v>398</v>
      </c>
      <c r="H17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 t="str">
        <f>IF($V$2-REG_STOCK[[#This Row],[ALCANCE FISICO]]&gt;0,"",($V$2-REG_STOCK[[#This Row],[ALCANCE FISICO]]/REG_STOCK[[#This Row],[CUBICACION PPTO.]]))</f>
        <v/>
      </c>
      <c r="P17" s="3">
        <f>+_xlfn.XLOOKUP(REG_STOCK[[#This Row],[CODIGO]],PRODUCTOS[CODIGO],PRODUCTOS[PRECIO COMPRA UNITARIO],"",0)</f>
        <v>10289.047343394666</v>
      </c>
      <c r="Q17" s="3" t="str">
        <f>IFERROR(REG_STOCK[[#This Row],[VALOR UNITARIO]]*REG_STOCK[[#This Row],[PERDIDA O EN PROCESO]],"")</f>
        <v/>
      </c>
      <c r="R17" s="3">
        <f>+REG_STOCK[[#This Row],[VALOR UNITARIO]]*REG_STOCK[[#This Row],[STOCK FISICO]]</f>
        <v>4095040.8426710772</v>
      </c>
    </row>
    <row r="18" spans="1:18" hidden="1" x14ac:dyDescent="0.25">
      <c r="A18" s="1">
        <v>46139</v>
      </c>
      <c r="B18">
        <v>304007</v>
      </c>
      <c r="C18" t="s">
        <v>80</v>
      </c>
      <c r="D18" t="s">
        <v>18</v>
      </c>
      <c r="E18">
        <v>684</v>
      </c>
      <c r="F18">
        <v>1.0800000000000002E-2</v>
      </c>
      <c r="G18">
        <v>127</v>
      </c>
      <c r="H18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 t="str">
        <f>IF($V$2-REG_STOCK[[#This Row],[ALCANCE FISICO]]&gt;0,"",($V$2-REG_STOCK[[#This Row],[ALCANCE FISICO]]/REG_STOCK[[#This Row],[CUBICACION PPTO.]]))</f>
        <v/>
      </c>
      <c r="P18" s="3">
        <f>+_xlfn.XLOOKUP(REG_STOCK[[#This Row],[CODIGO]],PRODUCTOS[CODIGO],PRODUCTOS[PRECIO COMPRA UNITARIO],"",0)</f>
        <v>11497.288819875776</v>
      </c>
      <c r="Q18" s="3" t="str">
        <f>IFERROR(REG_STOCK[[#This Row],[VALOR UNITARIO]]*REG_STOCK[[#This Row],[PERDIDA O EN PROCESO]],"")</f>
        <v/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t="s">
        <v>197</v>
      </c>
      <c r="D19" t="s">
        <v>696</v>
      </c>
      <c r="E19">
        <v>556</v>
      </c>
      <c r="F19">
        <v>0.5</v>
      </c>
      <c r="G19">
        <v>104</v>
      </c>
      <c r="H19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 t="str">
        <f>IF($V$2-REG_STOCK[[#This Row],[ALCANCE FISICO]]&gt;0,"",($V$2-REG_STOCK[[#This Row],[ALCANCE FISICO]]/REG_STOCK[[#This Row],[CUBICACION PPTO.]]))</f>
        <v/>
      </c>
      <c r="P19" s="3">
        <f>+_xlfn.XLOOKUP(REG_STOCK[[#This Row],[CODIGO]],PRODUCTOS[CODIGO],PRODUCTOS[PRECIO COMPRA UNITARIO],"",0)</f>
        <v>22537.549256505576</v>
      </c>
      <c r="Q19" s="3" t="str">
        <f>IFERROR(REG_STOCK[[#This Row],[VALOR UNITARIO]]*REG_STOCK[[#This Row],[PERDIDA O EN PROCESO]],"")</f>
        <v/>
      </c>
      <c r="R19" s="3">
        <f>+REG_STOCK[[#This Row],[VALOR UNITARIO]]*REG_STOCK[[#This Row],[STOCK FISICO]]</f>
        <v>2343905.1226765797</v>
      </c>
    </row>
    <row r="20" spans="1:18" hidden="1" x14ac:dyDescent="0.25">
      <c r="A20" s="1">
        <v>46139</v>
      </c>
      <c r="B20">
        <v>302046</v>
      </c>
      <c r="C20" t="s">
        <v>516</v>
      </c>
      <c r="D20" t="s">
        <v>20</v>
      </c>
      <c r="E20">
        <v>2509</v>
      </c>
      <c r="F20">
        <v>8.4000000000000012E-3</v>
      </c>
      <c r="G20">
        <v>36</v>
      </c>
      <c r="H20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 t="str">
        <f>IF($V$2-REG_STOCK[[#This Row],[ALCANCE FISICO]]&gt;0,"",($V$2-REG_STOCK[[#This Row],[ALCANCE FISICO]]/REG_STOCK[[#This Row],[CUBICACION PPTO.]]))</f>
        <v/>
      </c>
      <c r="P20" s="3">
        <f>+_xlfn.XLOOKUP(REG_STOCK[[#This Row],[CODIGO]],PRODUCTOS[CODIGO],PRODUCTOS[PRECIO COMPRA UNITARIO],"",0)</f>
        <v>10289.047343394666</v>
      </c>
      <c r="Q20" s="3" t="str">
        <f>IFERROR(REG_STOCK[[#This Row],[VALOR UNITARIO]]*REG_STOCK[[#This Row],[PERDIDA O EN PROCESO]],"")</f>
        <v/>
      </c>
      <c r="R20" s="3">
        <f>+REG_STOCK[[#This Row],[VALOR UNITARIO]]*REG_STOCK[[#This Row],[STOCK FISICO]]</f>
        <v>370405.70436220797</v>
      </c>
    </row>
    <row r="21" spans="1:18" hidden="1" x14ac:dyDescent="0.25">
      <c r="A21" s="1">
        <v>46139</v>
      </c>
      <c r="B21">
        <v>302010</v>
      </c>
      <c r="C21" t="s">
        <v>511</v>
      </c>
      <c r="D21" t="s">
        <v>20</v>
      </c>
      <c r="E21">
        <v>2184</v>
      </c>
      <c r="F21">
        <v>8.4000000000000012E-3</v>
      </c>
      <c r="G21">
        <v>168</v>
      </c>
      <c r="H2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5690.5508432539682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956012.54166666663</v>
      </c>
    </row>
    <row r="22" spans="1:18" hidden="1" x14ac:dyDescent="0.25">
      <c r="A22" s="1">
        <v>46139</v>
      </c>
      <c r="B22">
        <v>1901008</v>
      </c>
      <c r="C22" t="s">
        <v>747</v>
      </c>
      <c r="D22" t="s">
        <v>26</v>
      </c>
      <c r="E22">
        <v>3696</v>
      </c>
      <c r="F22">
        <v>0.25</v>
      </c>
      <c r="G22">
        <v>27</v>
      </c>
      <c r="H22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2062.9827561636025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55700.534416417271</v>
      </c>
    </row>
    <row r="23" spans="1:18" hidden="1" x14ac:dyDescent="0.25">
      <c r="A23" s="1">
        <v>46139</v>
      </c>
      <c r="B23">
        <v>304002</v>
      </c>
      <c r="C23" t="s">
        <v>37</v>
      </c>
      <c r="D23" t="s">
        <v>18</v>
      </c>
      <c r="E23">
        <v>1319</v>
      </c>
      <c r="G23">
        <v>311</v>
      </c>
      <c r="H23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21604.880388238653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6719117.8007422211</v>
      </c>
    </row>
    <row r="24" spans="1:18" hidden="1" x14ac:dyDescent="0.25">
      <c r="A24" s="1">
        <v>46139</v>
      </c>
      <c r="B24">
        <v>304101</v>
      </c>
      <c r="C24" t="s">
        <v>695</v>
      </c>
      <c r="D24" t="s">
        <v>18</v>
      </c>
      <c r="E24">
        <v>2413</v>
      </c>
      <c r="F24">
        <v>0.25</v>
      </c>
      <c r="G24">
        <v>232</v>
      </c>
      <c r="H24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9649.1185596629002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2238595.505841793</v>
      </c>
    </row>
    <row r="25" spans="1:18" hidden="1" x14ac:dyDescent="0.25">
      <c r="A25" s="1">
        <v>46139</v>
      </c>
      <c r="B25">
        <v>302028</v>
      </c>
      <c r="C25" t="s">
        <v>512</v>
      </c>
      <c r="D25" t="s">
        <v>20</v>
      </c>
      <c r="E25">
        <v>8641</v>
      </c>
      <c r="F25">
        <v>0.10000000000000002</v>
      </c>
      <c r="G25">
        <v>134</v>
      </c>
      <c r="H25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4769.5117820983787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639114.5788011828</v>
      </c>
    </row>
    <row r="26" spans="1:18" hidden="1" x14ac:dyDescent="0.25">
      <c r="A26" s="1">
        <v>46139</v>
      </c>
      <c r="B26">
        <v>304049</v>
      </c>
      <c r="C26" t="s">
        <v>318</v>
      </c>
      <c r="D26" t="s">
        <v>18</v>
      </c>
      <c r="E26">
        <v>975</v>
      </c>
      <c r="F26">
        <v>3.25</v>
      </c>
      <c r="G26">
        <v>87</v>
      </c>
      <c r="H26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15095.117424242424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1313275.2159090908</v>
      </c>
    </row>
    <row r="27" spans="1:18" hidden="1" x14ac:dyDescent="0.25">
      <c r="A27" s="1">
        <v>46139</v>
      </c>
      <c r="B27">
        <v>701096</v>
      </c>
      <c r="C27" t="s">
        <v>204</v>
      </c>
      <c r="D27" t="s">
        <v>18</v>
      </c>
      <c r="E27">
        <v>1260</v>
      </c>
      <c r="F27">
        <v>36</v>
      </c>
      <c r="G27">
        <v>81</v>
      </c>
      <c r="H27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16231.199726402188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1314727.1778385772</v>
      </c>
    </row>
    <row r="28" spans="1:18" hidden="1" x14ac:dyDescent="0.25">
      <c r="A28" s="1">
        <v>46146</v>
      </c>
      <c r="B28">
        <v>304007</v>
      </c>
      <c r="C28" t="s">
        <v>80</v>
      </c>
      <c r="D28" t="s">
        <v>18</v>
      </c>
      <c r="E28">
        <v>684</v>
      </c>
      <c r="F28">
        <v>0.375</v>
      </c>
      <c r="G28">
        <v>103</v>
      </c>
      <c r="H28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 t="str">
        <f>IF($V$2-REG_STOCK[[#This Row],[ALCANCE FISICO]]&gt;0,"",($V$2-REG_STOCK[[#This Row],[ALCANCE FISICO]]/REG_STOCK[[#This Row],[CUBICACION PPTO.]]))</f>
        <v/>
      </c>
      <c r="P28" s="3">
        <f>+_xlfn.XLOOKUP(REG_STOCK[[#This Row],[CODIGO]],PRODUCTOS[CODIGO],PRODUCTOS[PRECIO COMPRA UNITARIO],"",0)</f>
        <v>11497.288819875776</v>
      </c>
      <c r="Q28" s="3" t="str">
        <f>IFERROR(REG_STOCK[[#This Row],[VALOR UNITARIO]]*REG_STOCK[[#This Row],[PERDIDA O EN PROCESO]],"")</f>
        <v/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t="s">
        <v>197</v>
      </c>
      <c r="D29" t="s">
        <v>696</v>
      </c>
      <c r="E29">
        <v>596</v>
      </c>
      <c r="F29">
        <v>36</v>
      </c>
      <c r="G29">
        <v>109</v>
      </c>
      <c r="H29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 t="str">
        <f>IF($V$2-REG_STOCK[[#This Row],[ALCANCE FISICO]]&gt;0,"",($V$2-REG_STOCK[[#This Row],[ALCANCE FISICO]]/REG_STOCK[[#This Row],[CUBICACION PPTO.]]))</f>
        <v/>
      </c>
      <c r="P29" s="3">
        <f>+_xlfn.XLOOKUP(REG_STOCK[[#This Row],[CODIGO]],PRODUCTOS[CODIGO],PRODUCTOS[PRECIO COMPRA UNITARIO],"",0)</f>
        <v>22537.549256505576</v>
      </c>
      <c r="Q29" s="3" t="str">
        <f>IFERROR(REG_STOCK[[#This Row],[VALOR UNITARIO]]*REG_STOCK[[#This Row],[PERDIDA O EN PROCESO]],"")</f>
        <v/>
      </c>
      <c r="R29" s="3">
        <f>+REG_STOCK[[#This Row],[VALOR UNITARIO]]*REG_STOCK[[#This Row],[STOCK FISICO]]</f>
        <v>2456592.8689591079</v>
      </c>
    </row>
    <row r="30" spans="1:18" hidden="1" x14ac:dyDescent="0.25">
      <c r="A30" s="1">
        <v>46146</v>
      </c>
      <c r="B30">
        <v>302046</v>
      </c>
      <c r="C30" t="s">
        <v>516</v>
      </c>
      <c r="D30" t="s">
        <v>20</v>
      </c>
      <c r="E30">
        <v>2509</v>
      </c>
      <c r="F30">
        <v>0.33150000000000007</v>
      </c>
      <c r="G30">
        <v>36</v>
      </c>
      <c r="H30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 t="str">
        <f>IF($V$2-REG_STOCK[[#This Row],[ALCANCE FISICO]]&gt;0,"",($V$2-REG_STOCK[[#This Row],[ALCANCE FISICO]]/REG_STOCK[[#This Row],[CUBICACION PPTO.]]))</f>
        <v/>
      </c>
      <c r="P30" s="3">
        <f>+_xlfn.XLOOKUP(REG_STOCK[[#This Row],[CODIGO]],PRODUCTOS[CODIGO],PRODUCTOS[PRECIO COMPRA UNITARIO],"",0)</f>
        <v>10289.047343394666</v>
      </c>
      <c r="Q30" s="3" t="str">
        <f>IFERROR(REG_STOCK[[#This Row],[VALOR UNITARIO]]*REG_STOCK[[#This Row],[PERDIDA O EN PROCESO]],"")</f>
        <v/>
      </c>
      <c r="R30" s="3">
        <f>+REG_STOCK[[#This Row],[VALOR UNITARIO]]*REG_STOCK[[#This Row],[STOCK FISICO]]</f>
        <v>370405.70436220797</v>
      </c>
    </row>
    <row r="31" spans="1:18" hidden="1" x14ac:dyDescent="0.25">
      <c r="A31" s="1">
        <v>46146</v>
      </c>
      <c r="B31">
        <v>302010</v>
      </c>
      <c r="C31" t="s">
        <v>511</v>
      </c>
      <c r="D31" t="s">
        <v>20</v>
      </c>
      <c r="E31">
        <v>1596</v>
      </c>
      <c r="F31">
        <v>0.33150000000000007</v>
      </c>
      <c r="G31">
        <v>0</v>
      </c>
      <c r="H3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5690.5508432539682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t="s">
        <v>747</v>
      </c>
      <c r="D32" t="s">
        <v>26</v>
      </c>
      <c r="E32">
        <v>3696</v>
      </c>
      <c r="F32">
        <v>0.4375</v>
      </c>
      <c r="G32">
        <v>6</v>
      </c>
      <c r="H32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2062.9827561636025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12377.896536981614</v>
      </c>
    </row>
    <row r="33" spans="1:18" hidden="1" x14ac:dyDescent="0.25">
      <c r="A33" s="1">
        <v>46146</v>
      </c>
      <c r="B33">
        <v>304002</v>
      </c>
      <c r="C33" t="s">
        <v>37</v>
      </c>
      <c r="D33" t="s">
        <v>18</v>
      </c>
      <c r="E33">
        <v>1319</v>
      </c>
      <c r="G33">
        <v>219</v>
      </c>
      <c r="H33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21604.880388238653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4731468.8050242653</v>
      </c>
    </row>
    <row r="34" spans="1:18" hidden="1" x14ac:dyDescent="0.25">
      <c r="A34" s="1">
        <v>46146</v>
      </c>
      <c r="B34">
        <v>304101</v>
      </c>
      <c r="C34" t="s">
        <v>695</v>
      </c>
      <c r="D34" t="s">
        <v>18</v>
      </c>
      <c r="E34">
        <v>2665</v>
      </c>
      <c r="F34">
        <v>36</v>
      </c>
      <c r="G34">
        <v>279</v>
      </c>
      <c r="H34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9649.1185596629002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2692104.0781459492</v>
      </c>
    </row>
    <row r="35" spans="1:18" hidden="1" x14ac:dyDescent="0.25">
      <c r="A35" s="1">
        <v>46146</v>
      </c>
      <c r="B35">
        <v>302028</v>
      </c>
      <c r="C35" t="s">
        <v>512</v>
      </c>
      <c r="D35" t="s">
        <v>20</v>
      </c>
      <c r="E35">
        <v>8041</v>
      </c>
      <c r="F35">
        <v>2.625</v>
      </c>
      <c r="G35">
        <v>0</v>
      </c>
      <c r="H35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4769.5117820983787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t="s">
        <v>318</v>
      </c>
      <c r="D36" t="s">
        <v>18</v>
      </c>
      <c r="E36">
        <v>1105</v>
      </c>
      <c r="F36">
        <v>71</v>
      </c>
      <c r="G36">
        <v>115</v>
      </c>
      <c r="H36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15095.117424242424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1735938.5037878787</v>
      </c>
    </row>
    <row r="37" spans="1:18" hidden="1" x14ac:dyDescent="0.25">
      <c r="A37" s="1">
        <v>46146</v>
      </c>
      <c r="B37">
        <v>701096</v>
      </c>
      <c r="C37" t="s">
        <v>204</v>
      </c>
      <c r="D37" t="s">
        <v>18</v>
      </c>
      <c r="E37">
        <v>1400</v>
      </c>
      <c r="F37">
        <v>4.4000000000000003E-3</v>
      </c>
      <c r="G37">
        <v>208</v>
      </c>
      <c r="H37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16231.199726402188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3376089.5430916552</v>
      </c>
    </row>
    <row r="38" spans="1:18" hidden="1" x14ac:dyDescent="0.25">
      <c r="A38" s="1">
        <v>46153</v>
      </c>
      <c r="B38">
        <v>304007</v>
      </c>
      <c r="C38" t="s">
        <v>80</v>
      </c>
      <c r="D38" t="s">
        <v>18</v>
      </c>
      <c r="E38">
        <v>972</v>
      </c>
      <c r="F38">
        <v>2.5000000000000005E-2</v>
      </c>
      <c r="G38">
        <v>339</v>
      </c>
      <c r="H38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95.754056749727752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1100912.0461263955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t="s">
        <v>197</v>
      </c>
      <c r="D39" t="s">
        <v>696</v>
      </c>
      <c r="E39">
        <v>676</v>
      </c>
      <c r="F39">
        <v>4.5</v>
      </c>
      <c r="G39">
        <v>120</v>
      </c>
      <c r="H39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 t="str">
        <f>IF($V$2-REG_STOCK[[#This Row],[ALCANCE FISICO]]&gt;0,"",($V$2-REG_STOCK[[#This Row],[ALCANCE FISICO]]/REG_STOCK[[#This Row],[CUBICACION PPTO.]]))</f>
        <v/>
      </c>
      <c r="P39" s="3">
        <f>+_xlfn.XLOOKUP(REG_STOCK[[#This Row],[CODIGO]],PRODUCTOS[CODIGO],PRODUCTOS[PRECIO COMPRA UNITARIO],"",0)</f>
        <v>22537.549256505576</v>
      </c>
      <c r="Q39" s="3" t="str">
        <f>IFERROR(REG_STOCK[[#This Row],[VALOR UNITARIO]]*REG_STOCK[[#This Row],[PERDIDA O EN PROCESO]],"")</f>
        <v/>
      </c>
      <c r="R39" s="3">
        <f>+REG_STOCK[[#This Row],[VALOR UNITARIO]]*REG_STOCK[[#This Row],[STOCK FISICO]]</f>
        <v>2704505.9107806692</v>
      </c>
    </row>
    <row r="40" spans="1:18" hidden="1" x14ac:dyDescent="0.25">
      <c r="A40" s="1">
        <v>46153</v>
      </c>
      <c r="B40">
        <v>302046</v>
      </c>
      <c r="C40" t="s">
        <v>516</v>
      </c>
      <c r="D40" t="s">
        <v>20</v>
      </c>
      <c r="E40">
        <v>3181</v>
      </c>
      <c r="F40">
        <v>0.25</v>
      </c>
      <c r="G40">
        <v>434</v>
      </c>
      <c r="H40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 t="str">
        <f>IF($V$2-REG_STOCK[[#This Row],[ALCANCE FISICO]]&gt;0,"",($V$2-REG_STOCK[[#This Row],[ALCANCE FISICO]]/REG_STOCK[[#This Row],[CUBICACION PPTO.]]))</f>
        <v/>
      </c>
      <c r="P40" s="3">
        <f>+_xlfn.XLOOKUP(REG_STOCK[[#This Row],[CODIGO]],PRODUCTOS[CODIGO],PRODUCTOS[PRECIO COMPRA UNITARIO],"",0)</f>
        <v>10289.047343394666</v>
      </c>
      <c r="Q40" s="3" t="str">
        <f>IFERROR(REG_STOCK[[#This Row],[VALOR UNITARIO]]*REG_STOCK[[#This Row],[PERDIDA O EN PROCESO]],"")</f>
        <v/>
      </c>
      <c r="R40" s="3">
        <f>+REG_STOCK[[#This Row],[VALOR UNITARIO]]*REG_STOCK[[#This Row],[STOCK FISICO]]</f>
        <v>4465446.5470332848</v>
      </c>
    </row>
    <row r="41" spans="1:18" hidden="1" x14ac:dyDescent="0.25">
      <c r="A41" s="1">
        <v>46153</v>
      </c>
      <c r="B41">
        <v>302010</v>
      </c>
      <c r="C41" t="s">
        <v>511</v>
      </c>
      <c r="D41" t="s">
        <v>20</v>
      </c>
      <c r="E41">
        <v>1848</v>
      </c>
      <c r="F41">
        <v>0.25</v>
      </c>
      <c r="G41">
        <v>0</v>
      </c>
      <c r="H4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5690.5508432539682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t="s">
        <v>747</v>
      </c>
      <c r="D42" t="s">
        <v>26</v>
      </c>
      <c r="E42">
        <v>4236</v>
      </c>
      <c r="F42">
        <v>0.25</v>
      </c>
      <c r="G42">
        <v>26</v>
      </c>
      <c r="H42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 t="str">
        <f>IF($V$2-REG_STOCK[[#This Row],[ALCANCE FISICO]]&gt;0,"",($V$2-REG_STOCK[[#This Row],[ALCANCE FISICO]]/REG_STOCK[[#This Row],[CUBICACION PPTO.]]))</f>
        <v/>
      </c>
      <c r="P42" s="3">
        <f>+_xlfn.XLOOKUP(REG_STOCK[[#This Row],[CODIGO]],PRODUCTOS[CODIGO],PRODUCTOS[PRECIO COMPRA UNITARIO],"",0)</f>
        <v>2062.9827561636025</v>
      </c>
      <c r="Q42" s="3" t="str">
        <f>IFERROR(REG_STOCK[[#This Row],[VALOR UNITARIO]]*REG_STOCK[[#This Row],[PERDIDA O EN PROCESO]],"")</f>
        <v/>
      </c>
      <c r="R42" s="3">
        <f>+REG_STOCK[[#This Row],[VALOR UNITARIO]]*REG_STOCK[[#This Row],[STOCK FISICO]]</f>
        <v>53637.551660253666</v>
      </c>
    </row>
    <row r="43" spans="1:18" hidden="1" x14ac:dyDescent="0.25">
      <c r="A43" s="1">
        <v>46153</v>
      </c>
      <c r="B43">
        <v>304002</v>
      </c>
      <c r="C43" t="s">
        <v>37</v>
      </c>
      <c r="D43" t="s">
        <v>18</v>
      </c>
      <c r="E43">
        <v>1391</v>
      </c>
      <c r="G43">
        <v>248</v>
      </c>
      <c r="H43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21604.880388238653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5358010.3362831855</v>
      </c>
    </row>
    <row r="44" spans="1:18" hidden="1" x14ac:dyDescent="0.25">
      <c r="A44" s="1">
        <v>46153</v>
      </c>
      <c r="B44">
        <v>304101</v>
      </c>
      <c r="C44" t="s">
        <v>695</v>
      </c>
      <c r="D44" t="s">
        <v>18</v>
      </c>
      <c r="E44">
        <v>3169</v>
      </c>
      <c r="F44">
        <v>4.4000000000000003E-3</v>
      </c>
      <c r="G44">
        <v>525</v>
      </c>
      <c r="H44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 t="str">
        <f>IF($V$2-REG_STOCK[[#This Row],[ALCANCE FISICO]]&gt;0,"",($V$2-REG_STOCK[[#This Row],[ALCANCE FISICO]]/REG_STOCK[[#This Row],[CUBICACION PPTO.]]))</f>
        <v/>
      </c>
      <c r="P44" s="3">
        <f>+_xlfn.XLOOKUP(REG_STOCK[[#This Row],[CODIGO]],PRODUCTOS[CODIGO],PRODUCTOS[PRECIO COMPRA UNITARIO],"",0)</f>
        <v>9649.1185596629002</v>
      </c>
      <c r="Q44" s="3" t="str">
        <f>IFERROR(REG_STOCK[[#This Row],[VALOR UNITARIO]]*REG_STOCK[[#This Row],[PERDIDA O EN PROCESO]],"")</f>
        <v/>
      </c>
      <c r="R44" s="3">
        <f>+REG_STOCK[[#This Row],[VALOR UNITARIO]]*REG_STOCK[[#This Row],[STOCK FISICO]]</f>
        <v>5065787.2438230226</v>
      </c>
    </row>
    <row r="45" spans="1:18" hidden="1" x14ac:dyDescent="0.25">
      <c r="A45" s="1">
        <v>46153</v>
      </c>
      <c r="B45">
        <v>302028</v>
      </c>
      <c r="C45" t="s">
        <v>512</v>
      </c>
      <c r="D45" t="s">
        <v>20</v>
      </c>
      <c r="E45">
        <v>8281</v>
      </c>
      <c r="F45">
        <v>4.5</v>
      </c>
      <c r="G45">
        <v>0</v>
      </c>
      <c r="H45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4769.5117820983787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t="s">
        <v>318</v>
      </c>
      <c r="D46" t="s">
        <v>18</v>
      </c>
      <c r="E46">
        <v>1365</v>
      </c>
      <c r="F46">
        <v>0.33150000000000007</v>
      </c>
      <c r="G46">
        <v>165</v>
      </c>
      <c r="H46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15095.117424242424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2490694.375</v>
      </c>
    </row>
    <row r="47" spans="1:18" hidden="1" x14ac:dyDescent="0.25">
      <c r="A47" s="1">
        <v>46153</v>
      </c>
      <c r="B47">
        <v>701096</v>
      </c>
      <c r="C47" t="s">
        <v>204</v>
      </c>
      <c r="D47" t="s">
        <v>18</v>
      </c>
      <c r="E47">
        <v>1610</v>
      </c>
      <c r="F47">
        <v>0.5</v>
      </c>
      <c r="G47">
        <v>195</v>
      </c>
      <c r="H47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16231.199726402188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3165083.9466484268</v>
      </c>
    </row>
    <row r="48" spans="1:18" hidden="1" x14ac:dyDescent="0.25">
      <c r="A48" s="1">
        <v>46153</v>
      </c>
      <c r="B48">
        <v>701040</v>
      </c>
      <c r="C48" t="s">
        <v>19</v>
      </c>
      <c r="D48" t="s">
        <v>355</v>
      </c>
      <c r="E48">
        <v>815</v>
      </c>
      <c r="F48">
        <v>0.5</v>
      </c>
      <c r="G48">
        <v>126</v>
      </c>
      <c r="H48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60.306920153682405</v>
      </c>
      <c r="P48" s="3">
        <f>+_xlfn.XLOOKUP(REG_STOCK[[#This Row],[CODIGO]],PRODUCTOS[CODIGO],PRODUCTOS[PRECIO COMPRA UNITARIO],"",0)</f>
        <v>7627.9022026431721</v>
      </c>
      <c r="Q48" s="3">
        <f>IFERROR(REG_STOCK[[#This Row],[VALOR UNITARIO]]*REG_STOCK[[#This Row],[PERDIDA O EN PROCESO]],"")</f>
        <v>460015.28907489992</v>
      </c>
      <c r="R48" s="3">
        <f>+REG_STOCK[[#This Row],[VALOR UNITARIO]]*REG_STOCK[[#This Row],[STOCK FISICO]]</f>
        <v>961115.67753303971</v>
      </c>
    </row>
    <row r="49" spans="1:18" hidden="1" x14ac:dyDescent="0.25">
      <c r="A49" s="1">
        <v>46153</v>
      </c>
      <c r="B49">
        <v>1902003</v>
      </c>
      <c r="C49" t="s">
        <v>155</v>
      </c>
      <c r="D49" t="s">
        <v>47</v>
      </c>
      <c r="E49">
        <v>51</v>
      </c>
      <c r="F49">
        <v>0.25</v>
      </c>
      <c r="G49">
        <v>15</v>
      </c>
      <c r="H49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-750.7258784083391</v>
      </c>
      <c r="P49" s="3">
        <f>+_xlfn.XLOOKUP(REG_STOCK[[#This Row],[CODIGO]],PRODUCTOS[CODIGO],PRODUCTOS[PRECIO COMPRA UNITARIO],"",0)</f>
        <v>150758.376146789</v>
      </c>
      <c r="Q49" s="3">
        <f>IFERROR(REG_STOCK[[#This Row],[VALOR UNITARIO]]*REG_STOCK[[#This Row],[PERDIDA O EN PROCESO]],"")</f>
        <v>-113178214.36021297</v>
      </c>
      <c r="R49" s="3">
        <f>+REG_STOCK[[#This Row],[VALOR UNITARIO]]*REG_STOCK[[#This Row],[STOCK FISICO]]</f>
        <v>2261375.6422018348</v>
      </c>
    </row>
    <row r="50" spans="1:18" hidden="1" x14ac:dyDescent="0.25">
      <c r="A50" s="1">
        <v>46153</v>
      </c>
      <c r="B50" t="s">
        <v>21</v>
      </c>
      <c r="C50" t="s">
        <v>785</v>
      </c>
      <c r="D50" t="s">
        <v>20</v>
      </c>
      <c r="E50">
        <v>488</v>
      </c>
      <c r="F50">
        <v>0.25</v>
      </c>
      <c r="G50">
        <v>44</v>
      </c>
      <c r="H50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 t="str">
        <f>IF($V$2-REG_STOCK[[#This Row],[ALCANCE FISICO]]&gt;0,"",($V$2-REG_STOCK[[#This Row],[ALCANCE FISICO]]/REG_STOCK[[#This Row],[CUBICACION PPTO.]]))</f>
        <v/>
      </c>
      <c r="P50" s="3">
        <f>+_xlfn.XLOOKUP(REG_STOCK[[#This Row],[CODIGO]],PRODUCTOS[CODIGO],PRODUCTOS[PRECIO COMPRA UNITARIO],"",0)</f>
        <v>15443.519144144144</v>
      </c>
      <c r="Q50" s="3" t="str">
        <f>IFERROR(REG_STOCK[[#This Row],[VALOR UNITARIO]]*REG_STOCK[[#This Row],[PERDIDA O EN PROCESO]],"")</f>
        <v/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t="s">
        <v>38</v>
      </c>
      <c r="D51" t="s">
        <v>355</v>
      </c>
      <c r="E51">
        <v>52</v>
      </c>
      <c r="F51">
        <v>0.25</v>
      </c>
      <c r="G51">
        <v>20</v>
      </c>
      <c r="H5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-195.60776141161045</v>
      </c>
      <c r="P51" s="3">
        <f>+_xlfn.XLOOKUP(REG_STOCK[[#This Row],[CODIGO]],PRODUCTOS[CODIGO],PRODUCTOS[PRECIO COMPRA UNITARIO],"",0)</f>
        <v>39468.96212121212</v>
      </c>
      <c r="Q51" s="3">
        <f>IFERROR(REG_STOCK[[#This Row],[VALOR UNITARIO]]*REG_STOCK[[#This Row],[PERDIDA O EN PROCESO]],"")</f>
        <v>-7720435.3257699506</v>
      </c>
      <c r="R51" s="3">
        <f>+REG_STOCK[[#This Row],[VALOR UNITARIO]]*REG_STOCK[[#This Row],[STOCK FISICO]]</f>
        <v>789379.24242424243</v>
      </c>
    </row>
    <row r="52" spans="1:18" hidden="1" x14ac:dyDescent="0.25">
      <c r="A52" s="1">
        <v>46153</v>
      </c>
      <c r="B52">
        <v>5309018</v>
      </c>
      <c r="C52" t="s">
        <v>112</v>
      </c>
      <c r="D52" t="s">
        <v>47</v>
      </c>
      <c r="E52">
        <v>2300</v>
      </c>
      <c r="F52">
        <v>16.75</v>
      </c>
      <c r="G52">
        <v>200</v>
      </c>
      <c r="H52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 t="str">
        <f>IF($V$2-REG_STOCK[[#This Row],[ALCANCE FISICO]]&gt;0,"",($V$2-REG_STOCK[[#This Row],[ALCANCE FISICO]]/REG_STOCK[[#This Row],[CUBICACION PPTO.]]))</f>
        <v/>
      </c>
      <c r="P52" s="3">
        <f>+_xlfn.XLOOKUP(REG_STOCK[[#This Row],[CODIGO]],PRODUCTOS[CODIGO],PRODUCTOS[PRECIO COMPRA UNITARIO],"",0)</f>
        <v>707.86891891891889</v>
      </c>
      <c r="Q52" s="3" t="str">
        <f>IFERROR(REG_STOCK[[#This Row],[VALOR UNITARIO]]*REG_STOCK[[#This Row],[PERDIDA O EN PROCESO]],"")</f>
        <v/>
      </c>
      <c r="R52" s="3">
        <f>+REG_STOCK[[#This Row],[VALOR UNITARIO]]*REG_STOCK[[#This Row],[STOCK FISICO]]</f>
        <v>141573.78378378379</v>
      </c>
    </row>
    <row r="53" spans="1:18" hidden="1" x14ac:dyDescent="0.25">
      <c r="A53" s="1">
        <v>46153</v>
      </c>
      <c r="B53">
        <v>1902014</v>
      </c>
      <c r="C53" t="s">
        <v>316</v>
      </c>
      <c r="D53" t="s">
        <v>18</v>
      </c>
      <c r="E53">
        <v>360</v>
      </c>
      <c r="F53">
        <v>0.25</v>
      </c>
      <c r="G53">
        <v>92</v>
      </c>
      <c r="H53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 t="str">
        <f>IF($V$2-REG_STOCK[[#This Row],[ALCANCE FISICO]]&gt;0,"",($V$2-REG_STOCK[[#This Row],[ALCANCE FISICO]]/REG_STOCK[[#This Row],[CUBICACION PPTO.]]))</f>
        <v/>
      </c>
      <c r="P53" s="3">
        <f>+_xlfn.XLOOKUP(REG_STOCK[[#This Row],[CODIGO]],PRODUCTOS[CODIGO],PRODUCTOS[PRECIO COMPRA UNITARIO],"",0)</f>
        <v>29799.757692307692</v>
      </c>
      <c r="Q53" s="3" t="str">
        <f>IFERROR(REG_STOCK[[#This Row],[VALOR UNITARIO]]*REG_STOCK[[#This Row],[PERDIDA O EN PROCESO]],"")</f>
        <v/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t="s">
        <v>80</v>
      </c>
      <c r="D54" t="s">
        <v>18</v>
      </c>
      <c r="E54">
        <v>972</v>
      </c>
      <c r="F54">
        <v>0.56100000000000005</v>
      </c>
      <c r="G54">
        <v>168</v>
      </c>
      <c r="H54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95.754056749727752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1100912.0461263955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t="s">
        <v>197</v>
      </c>
      <c r="D55" t="s">
        <v>696</v>
      </c>
      <c r="E55">
        <v>716</v>
      </c>
      <c r="F55">
        <v>4.4000000000000003E-3</v>
      </c>
      <c r="G55">
        <v>110</v>
      </c>
      <c r="H55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93.815309388501632</v>
      </c>
      <c r="P55" s="3">
        <f>+_xlfn.XLOOKUP(REG_STOCK[[#This Row],[CODIGO]],PRODUCTOS[CODIGO],PRODUCTOS[PRECIO COMPRA UNITARIO],"",0)</f>
        <v>22537.549256505576</v>
      </c>
      <c r="Q55" s="3">
        <f>IFERROR(REG_STOCK[[#This Row],[VALOR UNITARIO]]*REG_STOCK[[#This Row],[PERDIDA O EN PROCESO]],"")</f>
        <v>2114367.1563576655</v>
      </c>
      <c r="R55" s="3">
        <f>+REG_STOCK[[#This Row],[VALOR UNITARIO]]*REG_STOCK[[#This Row],[STOCK FISICO]]</f>
        <v>2479130.4182156133</v>
      </c>
    </row>
    <row r="56" spans="1:18" hidden="1" x14ac:dyDescent="0.25">
      <c r="A56" s="1">
        <v>46160</v>
      </c>
      <c r="B56">
        <v>302046</v>
      </c>
      <c r="C56" t="s">
        <v>516</v>
      </c>
      <c r="D56" t="s">
        <v>20</v>
      </c>
      <c r="E56">
        <v>3181</v>
      </c>
      <c r="F56">
        <v>2.125</v>
      </c>
      <c r="G56">
        <v>0</v>
      </c>
      <c r="H56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 t="str">
        <f>IF($V$2-REG_STOCK[[#This Row],[ALCANCE FISICO]]&gt;0,"",($V$2-REG_STOCK[[#This Row],[ALCANCE FISICO]]/REG_STOCK[[#This Row],[CUBICACION PPTO.]]))</f>
        <v/>
      </c>
      <c r="P56" s="3">
        <f>+_xlfn.XLOOKUP(REG_STOCK[[#This Row],[CODIGO]],PRODUCTOS[CODIGO],PRODUCTOS[PRECIO COMPRA UNITARIO],"",0)</f>
        <v>10289.047343394666</v>
      </c>
      <c r="Q56" s="3" t="str">
        <f>IFERROR(REG_STOCK[[#This Row],[VALOR UNITARIO]]*REG_STOCK[[#This Row],[PERDIDA O EN PROCESO]],"")</f>
        <v/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t="s">
        <v>511</v>
      </c>
      <c r="D57" t="s">
        <v>20</v>
      </c>
      <c r="E57">
        <v>2184</v>
      </c>
      <c r="F57">
        <v>2.125</v>
      </c>
      <c r="G57">
        <v>168</v>
      </c>
      <c r="H57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 t="str">
        <f>IF($V$2-REG_STOCK[[#This Row],[ALCANCE FISICO]]&gt;0,"",($V$2-REG_STOCK[[#This Row],[ALCANCE FISICO]]/REG_STOCK[[#This Row],[CUBICACION PPTO.]]))</f>
        <v/>
      </c>
      <c r="P57" s="3">
        <f>+_xlfn.XLOOKUP(REG_STOCK[[#This Row],[CODIGO]],PRODUCTOS[CODIGO],PRODUCTOS[PRECIO COMPRA UNITARIO],"",0)</f>
        <v>5690.5508432539682</v>
      </c>
      <c r="Q57" s="3" t="str">
        <f>IFERROR(REG_STOCK[[#This Row],[VALOR UNITARIO]]*REG_STOCK[[#This Row],[PERDIDA O EN PROCESO]],"")</f>
        <v/>
      </c>
      <c r="R57" s="3">
        <f>+REG_STOCK[[#This Row],[VALOR UNITARIO]]*REG_STOCK[[#This Row],[STOCK FISICO]]</f>
        <v>956012.54166666663</v>
      </c>
    </row>
    <row r="58" spans="1:18" hidden="1" x14ac:dyDescent="0.25">
      <c r="A58" s="1">
        <v>46160</v>
      </c>
      <c r="B58">
        <v>1901008</v>
      </c>
      <c r="C58" t="s">
        <v>747</v>
      </c>
      <c r="D58" t="s">
        <v>26</v>
      </c>
      <c r="E58">
        <v>4641</v>
      </c>
      <c r="F58">
        <v>2.7083333333333341E-2</v>
      </c>
      <c r="G58">
        <v>0</v>
      </c>
      <c r="H58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 t="str">
        <f>IF($V$2-REG_STOCK[[#This Row],[ALCANCE FISICO]]&gt;0,"",($V$2-REG_STOCK[[#This Row],[ALCANCE FISICO]]/REG_STOCK[[#This Row],[CUBICACION PPTO.]]))</f>
        <v/>
      </c>
      <c r="P58" s="3">
        <f>+_xlfn.XLOOKUP(REG_STOCK[[#This Row],[CODIGO]],PRODUCTOS[CODIGO],PRODUCTOS[PRECIO COMPRA UNITARIO],"",0)</f>
        <v>2062.9827561636025</v>
      </c>
      <c r="Q58" s="3" t="str">
        <f>IFERROR(REG_STOCK[[#This Row],[VALOR UNITARIO]]*REG_STOCK[[#This Row],[PERDIDA O EN PROCESO]],"")</f>
        <v/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t="s">
        <v>37</v>
      </c>
      <c r="D59" t="s">
        <v>18</v>
      </c>
      <c r="E59">
        <v>1607</v>
      </c>
      <c r="G59">
        <v>546</v>
      </c>
      <c r="H59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 t="str">
        <f>IF($V$2-REG_STOCK[[#This Row],[ALCANCE FISICO]]&gt;0,"",($V$2-REG_STOCK[[#This Row],[ALCANCE FISICO]]/REG_STOCK[[#This Row],[CUBICACION PPTO.]]))</f>
        <v/>
      </c>
      <c r="P59" s="3">
        <f>+_xlfn.XLOOKUP(REG_STOCK[[#This Row],[CODIGO]],PRODUCTOS[CODIGO],PRODUCTOS[PRECIO COMPRA UNITARIO],"",0)</f>
        <v>21604.880388238653</v>
      </c>
      <c r="Q59" s="3" t="str">
        <f>IFERROR(REG_STOCK[[#This Row],[VALOR UNITARIO]]*REG_STOCK[[#This Row],[PERDIDA O EN PROCESO]],"")</f>
        <v/>
      </c>
      <c r="R59" s="3">
        <f>+REG_STOCK[[#This Row],[VALOR UNITARIO]]*REG_STOCK[[#This Row],[STOCK FISICO]]</f>
        <v>11796264.691978304</v>
      </c>
    </row>
    <row r="60" spans="1:18" hidden="1" x14ac:dyDescent="0.25">
      <c r="A60" s="1">
        <v>46160</v>
      </c>
      <c r="B60">
        <v>304101</v>
      </c>
      <c r="C60" t="s">
        <v>695</v>
      </c>
      <c r="D60" t="s">
        <v>18</v>
      </c>
      <c r="E60">
        <v>3337</v>
      </c>
      <c r="F60">
        <v>3.625</v>
      </c>
      <c r="G60">
        <v>179</v>
      </c>
      <c r="H60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 t="str">
        <f>IF($V$2-REG_STOCK[[#This Row],[ALCANCE FISICO]]&gt;0,"",($V$2-REG_STOCK[[#This Row],[ALCANCE FISICO]]/REG_STOCK[[#This Row],[CUBICACION PPTO.]]))</f>
        <v/>
      </c>
      <c r="P60" s="3">
        <f>+_xlfn.XLOOKUP(REG_STOCK[[#This Row],[CODIGO]],PRODUCTOS[CODIGO],PRODUCTOS[PRECIO COMPRA UNITARIO],"",0)</f>
        <v>9649.1185596629002</v>
      </c>
      <c r="Q60" s="3" t="str">
        <f>IFERROR(REG_STOCK[[#This Row],[VALOR UNITARIO]]*REG_STOCK[[#This Row],[PERDIDA O EN PROCESO]],"")</f>
        <v/>
      </c>
      <c r="R60" s="3">
        <f>+REG_STOCK[[#This Row],[VALOR UNITARIO]]*REG_STOCK[[#This Row],[STOCK FISICO]]</f>
        <v>1727192.2221796592</v>
      </c>
    </row>
    <row r="61" spans="1:18" hidden="1" x14ac:dyDescent="0.25">
      <c r="A61" s="1">
        <v>46160</v>
      </c>
      <c r="B61">
        <v>302028</v>
      </c>
      <c r="C61" t="s">
        <v>512</v>
      </c>
      <c r="D61" t="s">
        <v>20</v>
      </c>
      <c r="E61">
        <v>8641</v>
      </c>
      <c r="F61">
        <v>0.375</v>
      </c>
      <c r="G61">
        <v>0</v>
      </c>
      <c r="H6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4769.5117820983787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t="s">
        <v>318</v>
      </c>
      <c r="D62" t="s">
        <v>18</v>
      </c>
      <c r="E62">
        <v>1560</v>
      </c>
      <c r="F62">
        <v>0.30949999999999994</v>
      </c>
      <c r="G62">
        <v>172</v>
      </c>
      <c r="H62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 t="str">
        <f>IF($V$2-REG_STOCK[[#This Row],[ALCANCE FISICO]]&gt;0,"",($V$2-REG_STOCK[[#This Row],[ALCANCE FISICO]]/REG_STOCK[[#This Row],[CUBICACION PPTO.]]))</f>
        <v/>
      </c>
      <c r="P62" s="3">
        <f>+_xlfn.XLOOKUP(REG_STOCK[[#This Row],[CODIGO]],PRODUCTOS[CODIGO],PRODUCTOS[PRECIO COMPRA UNITARIO],"",0)</f>
        <v>15095.117424242424</v>
      </c>
      <c r="Q62" s="3" t="str">
        <f>IFERROR(REG_STOCK[[#This Row],[VALOR UNITARIO]]*REG_STOCK[[#This Row],[PERDIDA O EN PROCESO]],"")</f>
        <v/>
      </c>
      <c r="R62" s="3">
        <f>+REG_STOCK[[#This Row],[VALOR UNITARIO]]*REG_STOCK[[#This Row],[STOCK FISICO]]</f>
        <v>2596360.1969696968</v>
      </c>
    </row>
    <row r="63" spans="1:18" hidden="1" x14ac:dyDescent="0.25">
      <c r="A63" s="1">
        <v>46160</v>
      </c>
      <c r="B63">
        <v>701096</v>
      </c>
      <c r="C63" t="s">
        <v>204</v>
      </c>
      <c r="D63" t="s">
        <v>18</v>
      </c>
      <c r="E63">
        <v>1820</v>
      </c>
      <c r="F63">
        <v>0.13125000000000001</v>
      </c>
      <c r="G63">
        <v>42</v>
      </c>
      <c r="H63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16231.199726402188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681710.38850889192</v>
      </c>
    </row>
    <row r="64" spans="1:18" hidden="1" x14ac:dyDescent="0.25">
      <c r="A64" s="1">
        <v>46160</v>
      </c>
      <c r="B64">
        <v>701040</v>
      </c>
      <c r="C64" t="s">
        <v>19</v>
      </c>
      <c r="D64" t="s">
        <v>18</v>
      </c>
      <c r="E64">
        <v>895</v>
      </c>
      <c r="F64">
        <v>0.13125000000000001</v>
      </c>
      <c r="G64">
        <v>156</v>
      </c>
      <c r="H64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55.947878061900155</v>
      </c>
      <c r="P64" s="3">
        <f>+_xlfn.XLOOKUP(REG_STOCK[[#This Row],[CODIGO]],PRODUCTOS[CODIGO],PRODUCTOS[PRECIO COMPRA UNITARIO],"",0)</f>
        <v>7627.9022026431721</v>
      </c>
      <c r="Q64" s="3">
        <f>IFERROR(REG_STOCK[[#This Row],[VALOR UNITARIO]]*REG_STOCK[[#This Row],[PERDIDA O EN PROCESO]],"")</f>
        <v>426764.94230157981</v>
      </c>
      <c r="R64" s="3">
        <f>+REG_STOCK[[#This Row],[VALOR UNITARIO]]*REG_STOCK[[#This Row],[STOCK FISICO]]</f>
        <v>1189952.7436123348</v>
      </c>
    </row>
    <row r="65" spans="1:18" hidden="1" x14ac:dyDescent="0.25">
      <c r="A65" s="1">
        <v>46160</v>
      </c>
      <c r="B65">
        <v>1902003</v>
      </c>
      <c r="C65" t="s">
        <v>155</v>
      </c>
      <c r="D65" t="s">
        <v>47</v>
      </c>
      <c r="E65">
        <v>54</v>
      </c>
      <c r="F65">
        <v>1</v>
      </c>
      <c r="G65">
        <v>33</v>
      </c>
      <c r="H65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-826.33017853880131</v>
      </c>
      <c r="P65" s="3">
        <f>+_xlfn.XLOOKUP(REG_STOCK[[#This Row],[CODIGO]],PRODUCTOS[CODIGO],PRODUCTOS[PRECIO COMPRA UNITARIO],"",0)</f>
        <v>150758.376146789</v>
      </c>
      <c r="Q65" s="3">
        <f>IFERROR(REG_STOCK[[#This Row],[VALOR UNITARIO]]*REG_STOCK[[#This Row],[PERDIDA O EN PROCESO]],"")</f>
        <v>-124576195.87759592</v>
      </c>
      <c r="R65" s="3">
        <f>+REG_STOCK[[#This Row],[VALOR UNITARIO]]*REG_STOCK[[#This Row],[STOCK FISICO]]</f>
        <v>4975026.4128440367</v>
      </c>
    </row>
    <row r="66" spans="1:18" hidden="1" x14ac:dyDescent="0.25">
      <c r="A66" s="1">
        <v>46160</v>
      </c>
      <c r="B66" t="s">
        <v>21</v>
      </c>
      <c r="C66" t="s">
        <v>785</v>
      </c>
      <c r="D66" t="s">
        <v>20</v>
      </c>
      <c r="E66">
        <v>488</v>
      </c>
      <c r="F66">
        <v>0.33864915572232651</v>
      </c>
      <c r="G66">
        <v>0</v>
      </c>
      <c r="H66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 t="str">
        <f>IF($V$2-REG_STOCK[[#This Row],[ALCANCE FISICO]]&gt;0,"",($V$2-REG_STOCK[[#This Row],[ALCANCE FISICO]]/REG_STOCK[[#This Row],[CUBICACION PPTO.]]))</f>
        <v/>
      </c>
      <c r="P66" s="3">
        <f>+_xlfn.XLOOKUP(REG_STOCK[[#This Row],[CODIGO]],PRODUCTOS[CODIGO],PRODUCTOS[PRECIO COMPRA UNITARIO],"",0)</f>
        <v>15443.519144144144</v>
      </c>
      <c r="Q66" s="3" t="str">
        <f>IFERROR(REG_STOCK[[#This Row],[VALOR UNITARIO]]*REG_STOCK[[#This Row],[PERDIDA O EN PROCESO]],"")</f>
        <v/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t="s">
        <v>38</v>
      </c>
      <c r="D67" t="s">
        <v>18</v>
      </c>
      <c r="E67">
        <v>52</v>
      </c>
      <c r="F67">
        <v>22.207476499999999</v>
      </c>
      <c r="G67">
        <v>0</v>
      </c>
      <c r="H67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-195.60776141161045</v>
      </c>
      <c r="P67" s="3">
        <f>+_xlfn.XLOOKUP(REG_STOCK[[#This Row],[CODIGO]],PRODUCTOS[CODIGO],PRODUCTOS[PRECIO COMPRA UNITARIO],"",0)</f>
        <v>39468.96212121212</v>
      </c>
      <c r="Q67" s="3">
        <f>IFERROR(REG_STOCK[[#This Row],[VALOR UNITARIO]]*REG_STOCK[[#This Row],[PERDIDA O EN PROCESO]],"")</f>
        <v>-7720435.3257699506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t="s">
        <v>112</v>
      </c>
      <c r="D68" t="s">
        <v>26</v>
      </c>
      <c r="E68">
        <v>2600</v>
      </c>
      <c r="F68">
        <v>7.8750000000000001E-2</v>
      </c>
      <c r="G68">
        <v>5</v>
      </c>
      <c r="H68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 t="str">
        <f>IF($V$2-REG_STOCK[[#This Row],[ALCANCE FISICO]]&gt;0,"",($V$2-REG_STOCK[[#This Row],[ALCANCE FISICO]]/REG_STOCK[[#This Row],[CUBICACION PPTO.]]))</f>
        <v/>
      </c>
      <c r="P68" s="3">
        <f>+_xlfn.XLOOKUP(REG_STOCK[[#This Row],[CODIGO]],PRODUCTOS[CODIGO],PRODUCTOS[PRECIO COMPRA UNITARIO],"",0)</f>
        <v>707.86891891891889</v>
      </c>
      <c r="Q68" s="3" t="str">
        <f>IFERROR(REG_STOCK[[#This Row],[VALOR UNITARIO]]*REG_STOCK[[#This Row],[PERDIDA O EN PROCESO]],"")</f>
        <v/>
      </c>
      <c r="R68" s="3">
        <f>+REG_STOCK[[#This Row],[VALOR UNITARIO]]*REG_STOCK[[#This Row],[STOCK FISICO]]</f>
        <v>3539.3445945945946</v>
      </c>
    </row>
    <row r="69" spans="1:18" hidden="1" x14ac:dyDescent="0.25">
      <c r="A69" s="1">
        <v>46160</v>
      </c>
      <c r="B69">
        <v>1902014</v>
      </c>
      <c r="C69" t="s">
        <v>316</v>
      </c>
      <c r="D69" t="s">
        <v>18</v>
      </c>
      <c r="E69">
        <v>360</v>
      </c>
      <c r="F69">
        <v>0.33864915572232651</v>
      </c>
      <c r="G69">
        <v>16</v>
      </c>
      <c r="H69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 t="str">
        <f>IF($V$2-REG_STOCK[[#This Row],[ALCANCE FISICO]]&gt;0,"",($V$2-REG_STOCK[[#This Row],[ALCANCE FISICO]]/REG_STOCK[[#This Row],[CUBICACION PPTO.]]))</f>
        <v/>
      </c>
      <c r="P69" s="3">
        <f>+_xlfn.XLOOKUP(REG_STOCK[[#This Row],[CODIGO]],PRODUCTOS[CODIGO],PRODUCTOS[PRECIO COMPRA UNITARIO],"",0)</f>
        <v>29799.757692307692</v>
      </c>
      <c r="Q69" s="3" t="str">
        <f>IFERROR(REG_STOCK[[#This Row],[VALOR UNITARIO]]*REG_STOCK[[#This Row],[PERDIDA O EN PROCESO]],"")</f>
        <v/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t="s">
        <v>80</v>
      </c>
      <c r="D70" t="s">
        <v>18</v>
      </c>
      <c r="E70">
        <v>972</v>
      </c>
      <c r="F70">
        <v>0.25</v>
      </c>
      <c r="G70">
        <v>256</v>
      </c>
      <c r="H70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95.754056749727752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1100912.0461263955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t="s">
        <v>197</v>
      </c>
      <c r="D71" t="s">
        <v>696</v>
      </c>
      <c r="E71">
        <v>716</v>
      </c>
      <c r="F71">
        <v>3.625</v>
      </c>
      <c r="G71">
        <v>90</v>
      </c>
      <c r="H7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93.815309388501632</v>
      </c>
      <c r="P71" s="3">
        <f>+_xlfn.XLOOKUP(REG_STOCK[[#This Row],[CODIGO]],PRODUCTOS[CODIGO],PRODUCTOS[PRECIO COMPRA UNITARIO],"",0)</f>
        <v>22537.549256505576</v>
      </c>
      <c r="Q71" s="3">
        <f>IFERROR(REG_STOCK[[#This Row],[VALOR UNITARIO]]*REG_STOCK[[#This Row],[PERDIDA O EN PROCESO]],"")</f>
        <v>2114367.1563576655</v>
      </c>
      <c r="R71" s="3">
        <f>+REG_STOCK[[#This Row],[VALOR UNITARIO]]*REG_STOCK[[#This Row],[STOCK FISICO]]</f>
        <v>2028379.4330855019</v>
      </c>
    </row>
    <row r="72" spans="1:18" hidden="1" x14ac:dyDescent="0.25">
      <c r="A72" s="1">
        <v>46167</v>
      </c>
      <c r="B72">
        <v>302046</v>
      </c>
      <c r="C72" t="s">
        <v>516</v>
      </c>
      <c r="D72" t="s">
        <v>20</v>
      </c>
      <c r="E72">
        <v>3469</v>
      </c>
      <c r="F72">
        <v>3.1887755102040817E-2</v>
      </c>
      <c r="G72">
        <v>148</v>
      </c>
      <c r="H72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 t="str">
        <f>IF($V$2-REG_STOCK[[#This Row],[ALCANCE FISICO]]&gt;0,"",($V$2-REG_STOCK[[#This Row],[ALCANCE FISICO]]/REG_STOCK[[#This Row],[CUBICACION PPTO.]]))</f>
        <v/>
      </c>
      <c r="P72" s="3">
        <f>+_xlfn.XLOOKUP(REG_STOCK[[#This Row],[CODIGO]],PRODUCTOS[CODIGO],PRODUCTOS[PRECIO COMPRA UNITARIO],"",0)</f>
        <v>10289.047343394666</v>
      </c>
      <c r="Q72" s="3" t="str">
        <f>IFERROR(REG_STOCK[[#This Row],[VALOR UNITARIO]]*REG_STOCK[[#This Row],[PERDIDA O EN PROCESO]],"")</f>
        <v/>
      </c>
      <c r="R72" s="3">
        <f>+REG_STOCK[[#This Row],[VALOR UNITARIO]]*REG_STOCK[[#This Row],[STOCK FISICO]]</f>
        <v>1522779.0068224105</v>
      </c>
    </row>
    <row r="73" spans="1:18" hidden="1" x14ac:dyDescent="0.25">
      <c r="A73" s="1">
        <v>46167</v>
      </c>
      <c r="B73">
        <v>302010</v>
      </c>
      <c r="C73" t="s">
        <v>511</v>
      </c>
      <c r="D73" t="s">
        <v>20</v>
      </c>
      <c r="E73">
        <v>2184</v>
      </c>
      <c r="F73">
        <v>3.1887755102040817E-2</v>
      </c>
      <c r="G73">
        <v>0</v>
      </c>
      <c r="H73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 t="str">
        <f>IF($V$2-REG_STOCK[[#This Row],[ALCANCE FISICO]]&gt;0,"",($V$2-REG_STOCK[[#This Row],[ALCANCE FISICO]]/REG_STOCK[[#This Row],[CUBICACION PPTO.]]))</f>
        <v/>
      </c>
      <c r="P73" s="3">
        <f>+_xlfn.XLOOKUP(REG_STOCK[[#This Row],[CODIGO]],PRODUCTOS[CODIGO],PRODUCTOS[PRECIO COMPRA UNITARIO],"",0)</f>
        <v>5690.5508432539682</v>
      </c>
      <c r="Q73" s="3" t="str">
        <f>IFERROR(REG_STOCK[[#This Row],[VALOR UNITARIO]]*REG_STOCK[[#This Row],[PERDIDA O EN PROCESO]],"")</f>
        <v/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t="s">
        <v>747</v>
      </c>
      <c r="D74" t="s">
        <v>26</v>
      </c>
      <c r="E74">
        <v>5181</v>
      </c>
      <c r="F74">
        <v>0.33864915572232651</v>
      </c>
      <c r="G74">
        <v>33</v>
      </c>
      <c r="H74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 t="str">
        <f>IF($V$2-REG_STOCK[[#This Row],[ALCANCE FISICO]]&gt;0,"",($V$2-REG_STOCK[[#This Row],[ALCANCE FISICO]]/REG_STOCK[[#This Row],[CUBICACION PPTO.]]))</f>
        <v/>
      </c>
      <c r="P74" s="3">
        <f>+_xlfn.XLOOKUP(REG_STOCK[[#This Row],[CODIGO]],PRODUCTOS[CODIGO],PRODUCTOS[PRECIO COMPRA UNITARIO],"",0)</f>
        <v>2062.9827561636025</v>
      </c>
      <c r="Q74" s="3" t="str">
        <f>IFERROR(REG_STOCK[[#This Row],[VALOR UNITARIO]]*REG_STOCK[[#This Row],[PERDIDA O EN PROCESO]],"")</f>
        <v/>
      </c>
      <c r="R74" s="3">
        <f>+REG_STOCK[[#This Row],[VALOR UNITARIO]]*REG_STOCK[[#This Row],[STOCK FISICO]]</f>
        <v>68078.430953398885</v>
      </c>
    </row>
    <row r="75" spans="1:18" hidden="1" x14ac:dyDescent="0.25">
      <c r="A75" s="1">
        <v>46167</v>
      </c>
      <c r="B75">
        <v>304002</v>
      </c>
      <c r="C75" t="s">
        <v>37</v>
      </c>
      <c r="D75" t="s">
        <v>18</v>
      </c>
      <c r="E75">
        <v>1895</v>
      </c>
      <c r="G75">
        <v>447</v>
      </c>
      <c r="H75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 t="str">
        <f>IF($V$2-REG_STOCK[[#This Row],[ALCANCE FISICO]]&gt;0,"",($V$2-REG_STOCK[[#This Row],[ALCANCE FISICO]]/REG_STOCK[[#This Row],[CUBICACION PPTO.]]))</f>
        <v/>
      </c>
      <c r="P75" s="3">
        <f>+_xlfn.XLOOKUP(REG_STOCK[[#This Row],[CODIGO]],PRODUCTOS[CODIGO],PRODUCTOS[PRECIO COMPRA UNITARIO],"",0)</f>
        <v>21604.880388238653</v>
      </c>
      <c r="Q75" s="3" t="str">
        <f>IFERROR(REG_STOCK[[#This Row],[VALOR UNITARIO]]*REG_STOCK[[#This Row],[PERDIDA O EN PROCESO]],"")</f>
        <v/>
      </c>
      <c r="R75" s="3">
        <f>+REG_STOCK[[#This Row],[VALOR UNITARIO]]*REG_STOCK[[#This Row],[STOCK FISICO]]</f>
        <v>9657381.5335426778</v>
      </c>
    </row>
    <row r="76" spans="1:18" hidden="1" x14ac:dyDescent="0.25">
      <c r="A76" s="1">
        <v>46167</v>
      </c>
      <c r="B76">
        <v>304101</v>
      </c>
      <c r="C76" t="s">
        <v>695</v>
      </c>
      <c r="D76" t="s">
        <v>18</v>
      </c>
      <c r="E76">
        <v>3589</v>
      </c>
      <c r="F76">
        <v>0.58750000000000002</v>
      </c>
      <c r="G76">
        <v>130</v>
      </c>
      <c r="H76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 t="str">
        <f>IF($V$2-REG_STOCK[[#This Row],[ALCANCE FISICO]]&gt;0,"",($V$2-REG_STOCK[[#This Row],[ALCANCE FISICO]]/REG_STOCK[[#This Row],[CUBICACION PPTO.]]))</f>
        <v/>
      </c>
      <c r="P76" s="3">
        <f>+_xlfn.XLOOKUP(REG_STOCK[[#This Row],[CODIGO]],PRODUCTOS[CODIGO],PRODUCTOS[PRECIO COMPRA UNITARIO],"",0)</f>
        <v>9649.1185596629002</v>
      </c>
      <c r="Q76" s="3" t="str">
        <f>IFERROR(REG_STOCK[[#This Row],[VALOR UNITARIO]]*REG_STOCK[[#This Row],[PERDIDA O EN PROCESO]],"")</f>
        <v/>
      </c>
      <c r="R76" s="3">
        <f>+REG_STOCK[[#This Row],[VALOR UNITARIO]]*REG_STOCK[[#This Row],[STOCK FISICO]]</f>
        <v>1254385.4127561771</v>
      </c>
    </row>
    <row r="77" spans="1:18" hidden="1" x14ac:dyDescent="0.25">
      <c r="A77" s="1">
        <v>46167</v>
      </c>
      <c r="B77">
        <v>302028</v>
      </c>
      <c r="C77" t="s">
        <v>512</v>
      </c>
      <c r="D77" t="s">
        <v>20</v>
      </c>
      <c r="E77">
        <v>8641</v>
      </c>
      <c r="F77">
        <v>11.281875000000001</v>
      </c>
      <c r="G77">
        <v>0</v>
      </c>
      <c r="H77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4769.5117820983787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t="s">
        <v>318</v>
      </c>
      <c r="D78" t="s">
        <v>18</v>
      </c>
      <c r="E78">
        <v>1690</v>
      </c>
      <c r="F78">
        <v>2.7459999999999998E-2</v>
      </c>
      <c r="G78">
        <v>195</v>
      </c>
      <c r="H78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 t="str">
        <f>IF($V$2-REG_STOCK[[#This Row],[ALCANCE FISICO]]&gt;0,"",($V$2-REG_STOCK[[#This Row],[ALCANCE FISICO]]/REG_STOCK[[#This Row],[CUBICACION PPTO.]]))</f>
        <v/>
      </c>
      <c r="P78" s="3">
        <f>+_xlfn.XLOOKUP(REG_STOCK[[#This Row],[CODIGO]],PRODUCTOS[CODIGO],PRODUCTOS[PRECIO COMPRA UNITARIO],"",0)</f>
        <v>15095.117424242424</v>
      </c>
      <c r="Q78" s="3" t="str">
        <f>IFERROR(REG_STOCK[[#This Row],[VALOR UNITARIO]]*REG_STOCK[[#This Row],[PERDIDA O EN PROCESO]],"")</f>
        <v/>
      </c>
      <c r="R78" s="3">
        <f>+REG_STOCK[[#This Row],[VALOR UNITARIO]]*REG_STOCK[[#This Row],[STOCK FISICO]]</f>
        <v>2943547.8977272725</v>
      </c>
    </row>
    <row r="79" spans="1:18" hidden="1" x14ac:dyDescent="0.25">
      <c r="A79" s="1">
        <v>46167</v>
      </c>
      <c r="B79">
        <v>701096</v>
      </c>
      <c r="C79" t="s">
        <v>204</v>
      </c>
      <c r="D79" t="s">
        <v>18</v>
      </c>
      <c r="E79">
        <v>1820</v>
      </c>
      <c r="F79">
        <v>0.33250000000000002</v>
      </c>
      <c r="G79">
        <v>178</v>
      </c>
      <c r="H79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16231.199726402188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2889153.5512995897</v>
      </c>
    </row>
    <row r="80" spans="1:18" hidden="1" x14ac:dyDescent="0.25">
      <c r="A80" s="1">
        <v>46167</v>
      </c>
      <c r="B80">
        <v>701040</v>
      </c>
      <c r="C80" t="s">
        <v>19</v>
      </c>
      <c r="D80" t="s">
        <v>18</v>
      </c>
      <c r="E80">
        <v>895</v>
      </c>
      <c r="F80">
        <v>0.33250000000000002</v>
      </c>
      <c r="G80">
        <v>140</v>
      </c>
      <c r="H80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55.947878061900155</v>
      </c>
      <c r="P80" s="3">
        <f>+_xlfn.XLOOKUP(REG_STOCK[[#This Row],[CODIGO]],PRODUCTOS[CODIGO],PRODUCTOS[PRECIO COMPRA UNITARIO],"",0)</f>
        <v>7627.9022026431721</v>
      </c>
      <c r="Q80" s="3">
        <f>IFERROR(REG_STOCK[[#This Row],[VALOR UNITARIO]]*REG_STOCK[[#This Row],[PERDIDA O EN PROCESO]],"")</f>
        <v>426764.94230157981</v>
      </c>
      <c r="R80" s="3">
        <f>+REG_STOCK[[#This Row],[VALOR UNITARIO]]*REG_STOCK[[#This Row],[STOCK FISICO]]</f>
        <v>1067906.308370044</v>
      </c>
    </row>
    <row r="81" spans="1:18" hidden="1" x14ac:dyDescent="0.25">
      <c r="A81" s="1">
        <v>46167</v>
      </c>
      <c r="B81">
        <v>1902003</v>
      </c>
      <c r="C81" t="s">
        <v>155</v>
      </c>
      <c r="D81" t="s">
        <v>47</v>
      </c>
      <c r="E81">
        <v>64</v>
      </c>
      <c r="F81">
        <v>1.75</v>
      </c>
      <c r="G81">
        <v>31</v>
      </c>
      <c r="H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-884.48733248531073</v>
      </c>
      <c r="P81" s="3">
        <f>+_xlfn.XLOOKUP(REG_STOCK[[#This Row],[CODIGO]],PRODUCTOS[CODIGO],PRODUCTOS[PRECIO COMPRA UNITARIO],"",0)</f>
        <v>150758.376146789</v>
      </c>
      <c r="Q81" s="3">
        <f>IFERROR(REG_STOCK[[#This Row],[VALOR UNITARIO]]*REG_STOCK[[#This Row],[PERDIDA O EN PROCESO]],"")</f>
        <v>-133343873.9678905</v>
      </c>
      <c r="R81" s="3">
        <f>+REG_STOCK[[#This Row],[VALOR UNITARIO]]*REG_STOCK[[#This Row],[STOCK FISICO]]</f>
        <v>4673509.6605504593</v>
      </c>
    </row>
    <row r="82" spans="1:18" hidden="1" x14ac:dyDescent="0.25">
      <c r="A82" s="1">
        <v>46167</v>
      </c>
      <c r="B82" t="s">
        <v>21</v>
      </c>
      <c r="C82" t="s">
        <v>785</v>
      </c>
      <c r="D82" t="s">
        <v>20</v>
      </c>
      <c r="E82">
        <v>488</v>
      </c>
      <c r="F82">
        <v>0.75</v>
      </c>
      <c r="G82">
        <v>45</v>
      </c>
      <c r="H82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92.237339380196531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1424469.1165229857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t="s">
        <v>38</v>
      </c>
      <c r="D83" t="s">
        <v>18</v>
      </c>
      <c r="E83">
        <v>72</v>
      </c>
      <c r="F83">
        <v>1.59375</v>
      </c>
      <c r="G83">
        <v>40</v>
      </c>
      <c r="H83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-236.62893744001451</v>
      </c>
      <c r="P83" s="3">
        <f>+_xlfn.XLOOKUP(REG_STOCK[[#This Row],[CODIGO]],PRODUCTOS[CODIGO],PRODUCTOS[PRECIO COMPRA UNITARIO],"",0)</f>
        <v>39468.96212121212</v>
      </c>
      <c r="Q83" s="3">
        <f>IFERROR(REG_STOCK[[#This Row],[VALOR UNITARIO]]*REG_STOCK[[#This Row],[PERDIDA O EN PROCESO]],"")</f>
        <v>-9339498.5686026048</v>
      </c>
      <c r="R83" s="3">
        <f>+REG_STOCK[[#This Row],[VALOR UNITARIO]]*REG_STOCK[[#This Row],[STOCK FISICO]]</f>
        <v>1578758.4848484849</v>
      </c>
    </row>
    <row r="84" spans="1:18" hidden="1" x14ac:dyDescent="0.25">
      <c r="A84" s="1">
        <v>46167</v>
      </c>
      <c r="B84">
        <v>5309018</v>
      </c>
      <c r="C84" t="s">
        <v>112</v>
      </c>
      <c r="D84" t="s">
        <v>26</v>
      </c>
      <c r="E84">
        <v>2600</v>
      </c>
      <c r="F84">
        <v>0.25</v>
      </c>
      <c r="G84">
        <v>4</v>
      </c>
      <c r="H84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 t="str">
        <f>IF($V$2-REG_STOCK[[#This Row],[ALCANCE FISICO]]&gt;0,"",($V$2-REG_STOCK[[#This Row],[ALCANCE FISICO]]/REG_STOCK[[#This Row],[CUBICACION PPTO.]]))</f>
        <v/>
      </c>
      <c r="P84" s="3">
        <f>+_xlfn.XLOOKUP(REG_STOCK[[#This Row],[CODIGO]],PRODUCTOS[CODIGO],PRODUCTOS[PRECIO COMPRA UNITARIO],"",0)</f>
        <v>707.86891891891889</v>
      </c>
      <c r="Q84" s="3" t="str">
        <f>IFERROR(REG_STOCK[[#This Row],[VALOR UNITARIO]]*REG_STOCK[[#This Row],[PERDIDA O EN PROCESO]],"")</f>
        <v/>
      </c>
      <c r="R84" s="3">
        <f>+REG_STOCK[[#This Row],[VALOR UNITARIO]]*REG_STOCK[[#This Row],[STOCK FISICO]]</f>
        <v>2831.4756756756756</v>
      </c>
    </row>
    <row r="85" spans="1:18" hidden="1" x14ac:dyDescent="0.25">
      <c r="A85" s="1">
        <v>46167</v>
      </c>
      <c r="B85">
        <v>1902014</v>
      </c>
      <c r="C85" t="s">
        <v>316</v>
      </c>
      <c r="D85" t="s">
        <v>18</v>
      </c>
      <c r="E85">
        <v>360</v>
      </c>
      <c r="F85">
        <v>0.75</v>
      </c>
      <c r="G85">
        <v>12</v>
      </c>
      <c r="H85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 t="str">
        <f>IF($V$2-REG_STOCK[[#This Row],[ALCANCE FISICO]]&gt;0,"",($V$2-REG_STOCK[[#This Row],[ALCANCE FISICO]]/REG_STOCK[[#This Row],[CUBICACION PPTO.]]))</f>
        <v/>
      </c>
      <c r="P85" s="3">
        <f>+_xlfn.XLOOKUP(REG_STOCK[[#This Row],[CODIGO]],PRODUCTOS[CODIGO],PRODUCTOS[PRECIO COMPRA UNITARIO],"",0)</f>
        <v>29799.757692307692</v>
      </c>
      <c r="Q85" s="3" t="str">
        <f>IFERROR(REG_STOCK[[#This Row],[VALOR UNITARIO]]*REG_STOCK[[#This Row],[PERDIDA O EN PROCESO]],"")</f>
        <v/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t="s">
        <v>80</v>
      </c>
      <c r="D86" t="s">
        <v>18</v>
      </c>
      <c r="E86">
        <v>972</v>
      </c>
      <c r="F86">
        <v>0.5</v>
      </c>
      <c r="G86">
        <v>76</v>
      </c>
      <c r="H86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95.380916982648586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1096621.9504541052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t="s">
        <v>197</v>
      </c>
      <c r="D87" t="s">
        <v>696</v>
      </c>
      <c r="E87">
        <v>836</v>
      </c>
      <c r="F87">
        <v>0.58750000000000002</v>
      </c>
      <c r="G87">
        <v>135</v>
      </c>
      <c r="H87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91.426425165402236</v>
      </c>
      <c r="P87" s="3">
        <f>+_xlfn.XLOOKUP(REG_STOCK[[#This Row],[CODIGO]],PRODUCTOS[CODIGO],PRODUCTOS[PRECIO COMPRA UNITARIO],"",0)</f>
        <v>22537.549256505576</v>
      </c>
      <c r="Q87" s="3">
        <f>IFERROR(REG_STOCK[[#This Row],[VALOR UNITARIO]]*REG_STOCK[[#This Row],[PERDIDA O EN PROCESO]],"")</f>
        <v>2060527.5605114738</v>
      </c>
      <c r="R87" s="3">
        <f>+REG_STOCK[[#This Row],[VALOR UNITARIO]]*REG_STOCK[[#This Row],[STOCK FISICO]]</f>
        <v>3042569.1496282527</v>
      </c>
    </row>
    <row r="88" spans="1:18" hidden="1" x14ac:dyDescent="0.25">
      <c r="A88" s="1">
        <v>46174</v>
      </c>
      <c r="B88">
        <v>302046</v>
      </c>
      <c r="C88" t="s">
        <v>516</v>
      </c>
      <c r="D88" t="s">
        <v>20</v>
      </c>
      <c r="E88">
        <v>3757</v>
      </c>
      <c r="F88">
        <v>5</v>
      </c>
      <c r="G88">
        <v>144</v>
      </c>
      <c r="H88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106.78999852160025</v>
      </c>
      <c r="P88" s="3">
        <f>+_xlfn.XLOOKUP(REG_STOCK[[#This Row],[CODIGO]],PRODUCTOS[CODIGO],PRODUCTOS[PRECIO COMPRA UNITARIO],"",0)</f>
        <v>10289.047343394666</v>
      </c>
      <c r="Q88" s="3">
        <f>IFERROR(REG_STOCK[[#This Row],[VALOR UNITARIO]]*REG_STOCK[[#This Row],[PERDIDA O EN PROCESO]],"")</f>
        <v>1098767.3505897915</v>
      </c>
      <c r="R88" s="3">
        <f>+REG_STOCK[[#This Row],[VALOR UNITARIO]]*REG_STOCK[[#This Row],[STOCK FISICO]]</f>
        <v>1481622.8174488319</v>
      </c>
    </row>
    <row r="89" spans="1:18" hidden="1" x14ac:dyDescent="0.25">
      <c r="A89" s="1">
        <v>46174</v>
      </c>
      <c r="B89">
        <v>302010</v>
      </c>
      <c r="C89" t="s">
        <v>511</v>
      </c>
      <c r="D89" t="s">
        <v>20</v>
      </c>
      <c r="E89">
        <v>2856</v>
      </c>
      <c r="F89">
        <v>5</v>
      </c>
      <c r="G89">
        <v>420</v>
      </c>
      <c r="H89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 t="str">
        <f>IF($V$2-REG_STOCK[[#This Row],[ALCANCE FISICO]]&gt;0,"",($V$2-REG_STOCK[[#This Row],[ALCANCE FISICO]]/REG_STOCK[[#This Row],[CUBICACION PPTO.]]))</f>
        <v/>
      </c>
      <c r="P89" s="3">
        <f>+_xlfn.XLOOKUP(REG_STOCK[[#This Row],[CODIGO]],PRODUCTOS[CODIGO],PRODUCTOS[PRECIO COMPRA UNITARIO],"",0)</f>
        <v>5690.5508432539682</v>
      </c>
      <c r="Q89" s="3" t="str">
        <f>IFERROR(REG_STOCK[[#This Row],[VALOR UNITARIO]]*REG_STOCK[[#This Row],[PERDIDA O EN PROCESO]],"")</f>
        <v/>
      </c>
      <c r="R89" s="3">
        <f>+REG_STOCK[[#This Row],[VALOR UNITARIO]]*REG_STOCK[[#This Row],[STOCK FISICO]]</f>
        <v>2390031.3541666665</v>
      </c>
    </row>
    <row r="90" spans="1:18" hidden="1" x14ac:dyDescent="0.25">
      <c r="A90" s="1">
        <v>46174</v>
      </c>
      <c r="B90">
        <v>1901008</v>
      </c>
      <c r="C90" t="s">
        <v>747</v>
      </c>
      <c r="D90" t="s">
        <v>26</v>
      </c>
      <c r="E90">
        <v>5721</v>
      </c>
      <c r="F90">
        <v>0.75</v>
      </c>
      <c r="G90">
        <v>50</v>
      </c>
      <c r="H90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 t="str">
        <f>IF($V$2-REG_STOCK[[#This Row],[ALCANCE FISICO]]&gt;0,"",($V$2-REG_STOCK[[#This Row],[ALCANCE FISICO]]/REG_STOCK[[#This Row],[CUBICACION PPTO.]]))</f>
        <v/>
      </c>
      <c r="P90" s="3">
        <f>+_xlfn.XLOOKUP(REG_STOCK[[#This Row],[CODIGO]],PRODUCTOS[CODIGO],PRODUCTOS[PRECIO COMPRA UNITARIO],"",0)</f>
        <v>2062.9827561636025</v>
      </c>
      <c r="Q90" s="3" t="str">
        <f>IFERROR(REG_STOCK[[#This Row],[VALOR UNITARIO]]*REG_STOCK[[#This Row],[PERDIDA O EN PROCESO]],"")</f>
        <v/>
      </c>
      <c r="R90" s="3">
        <f>+REG_STOCK[[#This Row],[VALOR UNITARIO]]*REG_STOCK[[#This Row],[STOCK FISICO]]</f>
        <v>103149.13780818012</v>
      </c>
    </row>
    <row r="91" spans="1:18" hidden="1" x14ac:dyDescent="0.25">
      <c r="A91" s="1">
        <v>46174</v>
      </c>
      <c r="B91">
        <v>304002</v>
      </c>
      <c r="C91" t="s">
        <v>37</v>
      </c>
      <c r="D91" t="s">
        <v>18</v>
      </c>
      <c r="E91">
        <v>2111</v>
      </c>
      <c r="G91">
        <v>201</v>
      </c>
      <c r="H9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 t="str">
        <f>IF($V$2-REG_STOCK[[#This Row],[ALCANCE FISICO]]&gt;0,"",($V$2-REG_STOCK[[#This Row],[ALCANCE FISICO]]/REG_STOCK[[#This Row],[CUBICACION PPTO.]]))</f>
        <v/>
      </c>
      <c r="P91" s="3">
        <f>+_xlfn.XLOOKUP(REG_STOCK[[#This Row],[CODIGO]],PRODUCTOS[CODIGO],PRODUCTOS[PRECIO COMPRA UNITARIO],"",0)</f>
        <v>21604.880388238653</v>
      </c>
      <c r="Q91" s="3" t="str">
        <f>IFERROR(REG_STOCK[[#This Row],[VALOR UNITARIO]]*REG_STOCK[[#This Row],[PERDIDA O EN PROCESO]],"")</f>
        <v/>
      </c>
      <c r="R91" s="3">
        <f>+REG_STOCK[[#This Row],[VALOR UNITARIO]]*REG_STOCK[[#This Row],[STOCK FISICO]]</f>
        <v>4342580.9580359692</v>
      </c>
    </row>
    <row r="92" spans="1:18" hidden="1" x14ac:dyDescent="0.25">
      <c r="A92" s="1">
        <v>46174</v>
      </c>
      <c r="B92">
        <v>304101</v>
      </c>
      <c r="C92" t="s">
        <v>695</v>
      </c>
      <c r="D92" t="s">
        <v>18</v>
      </c>
      <c r="E92">
        <v>4261</v>
      </c>
      <c r="F92">
        <v>0.33250000000000002</v>
      </c>
      <c r="G92">
        <v>232</v>
      </c>
      <c r="H92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 t="str">
        <f>IF($V$2-REG_STOCK[[#This Row],[ALCANCE FISICO]]&gt;0,"",($V$2-REG_STOCK[[#This Row],[ALCANCE FISICO]]/REG_STOCK[[#This Row],[CUBICACION PPTO.]]))</f>
        <v/>
      </c>
      <c r="P92" s="3">
        <f>+_xlfn.XLOOKUP(REG_STOCK[[#This Row],[CODIGO]],PRODUCTOS[CODIGO],PRODUCTOS[PRECIO COMPRA UNITARIO],"",0)</f>
        <v>9649.1185596629002</v>
      </c>
      <c r="Q92" s="3" t="str">
        <f>IFERROR(REG_STOCK[[#This Row],[VALOR UNITARIO]]*REG_STOCK[[#This Row],[PERDIDA O EN PROCESO]],"")</f>
        <v/>
      </c>
      <c r="R92" s="3">
        <f>+REG_STOCK[[#This Row],[VALOR UNITARIO]]*REG_STOCK[[#This Row],[STOCK FISICO]]</f>
        <v>2238595.505841793</v>
      </c>
    </row>
    <row r="93" spans="1:18" hidden="1" x14ac:dyDescent="0.25">
      <c r="A93" s="1">
        <v>46174</v>
      </c>
      <c r="B93">
        <v>302028</v>
      </c>
      <c r="C93" t="s">
        <v>512</v>
      </c>
      <c r="D93" t="s">
        <v>20</v>
      </c>
      <c r="E93">
        <v>9601</v>
      </c>
      <c r="F93">
        <v>0.5</v>
      </c>
      <c r="G93">
        <v>583</v>
      </c>
      <c r="H93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4769.5117820983787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2780625.3689633547</v>
      </c>
    </row>
    <row r="94" spans="1:18" hidden="1" x14ac:dyDescent="0.25">
      <c r="A94" s="1">
        <v>46174</v>
      </c>
      <c r="B94">
        <v>304049</v>
      </c>
      <c r="C94" t="s">
        <v>318</v>
      </c>
      <c r="D94" t="s">
        <v>18</v>
      </c>
      <c r="E94">
        <v>1885</v>
      </c>
      <c r="F94">
        <v>0.16625000000000001</v>
      </c>
      <c r="G94">
        <v>134</v>
      </c>
      <c r="H94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 t="str">
        <f>IF($V$2-REG_STOCK[[#This Row],[ALCANCE FISICO]]&gt;0,"",($V$2-REG_STOCK[[#This Row],[ALCANCE FISICO]]/REG_STOCK[[#This Row],[CUBICACION PPTO.]]))</f>
        <v/>
      </c>
      <c r="P94" s="3">
        <f>+_xlfn.XLOOKUP(REG_STOCK[[#This Row],[CODIGO]],PRODUCTOS[CODIGO],PRODUCTOS[PRECIO COMPRA UNITARIO],"",0)</f>
        <v>15095.117424242424</v>
      </c>
      <c r="Q94" s="3" t="str">
        <f>IFERROR(REG_STOCK[[#This Row],[VALOR UNITARIO]]*REG_STOCK[[#This Row],[PERDIDA O EN PROCESO]],"")</f>
        <v/>
      </c>
      <c r="R94" s="3">
        <f>+REG_STOCK[[#This Row],[VALOR UNITARIO]]*REG_STOCK[[#This Row],[STOCK FISICO]]</f>
        <v>2022745.7348484849</v>
      </c>
    </row>
    <row r="95" spans="1:18" hidden="1" x14ac:dyDescent="0.25">
      <c r="A95" s="1">
        <v>46174</v>
      </c>
      <c r="B95">
        <v>701096</v>
      </c>
      <c r="C95" t="s">
        <v>204</v>
      </c>
      <c r="D95" t="s">
        <v>18</v>
      </c>
      <c r="E95">
        <v>2100</v>
      </c>
      <c r="F95">
        <v>0.25</v>
      </c>
      <c r="G95">
        <v>218</v>
      </c>
      <c r="H95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 t="str">
        <f>IF($V$2-REG_STOCK[[#This Row],[ALCANCE FISICO]]&gt;0,"",($V$2-REG_STOCK[[#This Row],[ALCANCE FISICO]]/REG_STOCK[[#This Row],[CUBICACION PPTO.]]))</f>
        <v/>
      </c>
      <c r="P95" s="3">
        <f>+_xlfn.XLOOKUP(REG_STOCK[[#This Row],[CODIGO]],PRODUCTOS[CODIGO],PRODUCTOS[PRECIO COMPRA UNITARIO],"",0)</f>
        <v>16231.199726402188</v>
      </c>
      <c r="Q95" s="3" t="str">
        <f>IFERROR(REG_STOCK[[#This Row],[VALOR UNITARIO]]*REG_STOCK[[#This Row],[PERDIDA O EN PROCESO]],"")</f>
        <v/>
      </c>
      <c r="R95" s="3">
        <f>+REG_STOCK[[#This Row],[VALOR UNITARIO]]*REG_STOCK[[#This Row],[STOCK FISICO]]</f>
        <v>3538401.5403556773</v>
      </c>
    </row>
    <row r="96" spans="1:18" hidden="1" x14ac:dyDescent="0.25">
      <c r="A96" s="1">
        <v>46174</v>
      </c>
      <c r="B96">
        <v>701040</v>
      </c>
      <c r="C96" t="s">
        <v>19</v>
      </c>
      <c r="D96" t="s">
        <v>18</v>
      </c>
      <c r="E96">
        <v>1055</v>
      </c>
      <c r="F96">
        <v>0.25</v>
      </c>
      <c r="G96">
        <v>227</v>
      </c>
      <c r="H96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47.22979387833567</v>
      </c>
      <c r="P96" s="3">
        <f>+_xlfn.XLOOKUP(REG_STOCK[[#This Row],[CODIGO]],PRODUCTOS[CODIGO],PRODUCTOS[PRECIO COMPRA UNITARIO],"",0)</f>
        <v>7627.9022026431721</v>
      </c>
      <c r="Q96" s="3">
        <f>IFERROR(REG_STOCK[[#This Row],[VALOR UNITARIO]]*REG_STOCK[[#This Row],[PERDIDA O EN PROCESO]],"")</f>
        <v>360264.24875493965</v>
      </c>
      <c r="R96" s="3">
        <f>+REG_STOCK[[#This Row],[VALOR UNITARIO]]*REG_STOCK[[#This Row],[STOCK FISICO]]</f>
        <v>1731533.8</v>
      </c>
    </row>
    <row r="97" spans="1:18" hidden="1" x14ac:dyDescent="0.25">
      <c r="A97" s="1">
        <v>46174</v>
      </c>
      <c r="B97">
        <v>1902003</v>
      </c>
      <c r="C97" t="s">
        <v>155</v>
      </c>
      <c r="D97" t="s">
        <v>47</v>
      </c>
      <c r="E97">
        <v>79</v>
      </c>
      <c r="F97">
        <v>2</v>
      </c>
      <c r="G97">
        <v>7</v>
      </c>
      <c r="H97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-919.38162485321641</v>
      </c>
      <c r="P97" s="3">
        <f>+_xlfn.XLOOKUP(REG_STOCK[[#This Row],[CODIGO]],PRODUCTOS[CODIGO],PRODUCTOS[PRECIO COMPRA UNITARIO],"",0)</f>
        <v>150758.376146789</v>
      </c>
      <c r="Q97" s="3">
        <f>IFERROR(REG_STOCK[[#This Row],[VALOR UNITARIO]]*REG_STOCK[[#This Row],[PERDIDA O EN PROCESO]],"")</f>
        <v>-138604480.82206726</v>
      </c>
      <c r="R97" s="3">
        <f>+REG_STOCK[[#This Row],[VALOR UNITARIO]]*REG_STOCK[[#This Row],[STOCK FISICO]]</f>
        <v>1055308.6330275231</v>
      </c>
    </row>
    <row r="98" spans="1:18" hidden="1" x14ac:dyDescent="0.25">
      <c r="A98" s="1">
        <v>46174</v>
      </c>
      <c r="B98" t="s">
        <v>21</v>
      </c>
      <c r="C98" t="s">
        <v>785</v>
      </c>
      <c r="D98" t="s">
        <v>20</v>
      </c>
      <c r="E98">
        <v>528</v>
      </c>
      <c r="F98">
        <v>0.5</v>
      </c>
      <c r="G98">
        <v>28</v>
      </c>
      <c r="H98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91.229528848576479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1408904.9752842414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t="s">
        <v>38</v>
      </c>
      <c r="D99" t="s">
        <v>18</v>
      </c>
      <c r="E99">
        <v>72</v>
      </c>
      <c r="F99">
        <v>1.2499999999999999E-2</v>
      </c>
      <c r="G99">
        <v>29</v>
      </c>
      <c r="H99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-236.62893744001451</v>
      </c>
      <c r="P99" s="3">
        <f>+_xlfn.XLOOKUP(REG_STOCK[[#This Row],[CODIGO]],PRODUCTOS[CODIGO],PRODUCTOS[PRECIO COMPRA UNITARIO],"",0)</f>
        <v>39468.96212121212</v>
      </c>
      <c r="Q99" s="3">
        <f>IFERROR(REG_STOCK[[#This Row],[VALOR UNITARIO]]*REG_STOCK[[#This Row],[PERDIDA O EN PROCESO]],"")</f>
        <v>-9339498.5686026048</v>
      </c>
      <c r="R99" s="3">
        <f>+REG_STOCK[[#This Row],[VALOR UNITARIO]]*REG_STOCK[[#This Row],[STOCK FISICO]]</f>
        <v>1144599.9015151514</v>
      </c>
    </row>
    <row r="100" spans="1:18" hidden="1" x14ac:dyDescent="0.25">
      <c r="A100" s="1">
        <v>46174</v>
      </c>
      <c r="B100">
        <v>5309018</v>
      </c>
      <c r="C100" t="s">
        <v>112</v>
      </c>
      <c r="D100" t="s">
        <v>26</v>
      </c>
      <c r="E100">
        <v>3200</v>
      </c>
      <c r="F100">
        <v>0.25</v>
      </c>
      <c r="G100">
        <v>5</v>
      </c>
      <c r="H100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 t="str">
        <f>IF($V$2-REG_STOCK[[#This Row],[ALCANCE FISICO]]&gt;0,"",($V$2-REG_STOCK[[#This Row],[ALCANCE FISICO]]/REG_STOCK[[#This Row],[CUBICACION PPTO.]]))</f>
        <v/>
      </c>
      <c r="P100" s="3">
        <f>+_xlfn.XLOOKUP(REG_STOCK[[#This Row],[CODIGO]],PRODUCTOS[CODIGO],PRODUCTOS[PRECIO COMPRA UNITARIO],"",0)</f>
        <v>707.86891891891889</v>
      </c>
      <c r="Q100" s="3" t="str">
        <f>IFERROR(REG_STOCK[[#This Row],[VALOR UNITARIO]]*REG_STOCK[[#This Row],[PERDIDA O EN PROCESO]],"")</f>
        <v/>
      </c>
      <c r="R100" s="3">
        <f>+REG_STOCK[[#This Row],[VALOR UNITARIO]]*REG_STOCK[[#This Row],[STOCK FISICO]]</f>
        <v>3539.3445945945946</v>
      </c>
    </row>
    <row r="101" spans="1:18" hidden="1" x14ac:dyDescent="0.25">
      <c r="A101" s="1">
        <v>46174</v>
      </c>
      <c r="B101">
        <v>1902014</v>
      </c>
      <c r="C101" t="s">
        <v>316</v>
      </c>
      <c r="D101" t="s">
        <v>18</v>
      </c>
      <c r="E101">
        <v>360</v>
      </c>
      <c r="F101">
        <v>0.5</v>
      </c>
      <c r="G101">
        <v>12</v>
      </c>
      <c r="H10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 t="str">
        <f>IF($V$2-REG_STOCK[[#This Row],[ALCANCE FISICO]]&gt;0,"",($V$2-REG_STOCK[[#This Row],[ALCANCE FISICO]]/REG_STOCK[[#This Row],[CUBICACION PPTO.]]))</f>
        <v/>
      </c>
      <c r="P101" s="3">
        <f>+_xlfn.XLOOKUP(REG_STOCK[[#This Row],[CODIGO]],PRODUCTOS[CODIGO],PRODUCTOS[PRECIO COMPRA UNITARIO],"",0)</f>
        <v>29799.757692307692</v>
      </c>
      <c r="Q101" s="3" t="str">
        <f>IFERROR(REG_STOCK[[#This Row],[VALOR UNITARIO]]*REG_STOCK[[#This Row],[PERDIDA O EN PROCESO]],"")</f>
        <v/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t="s">
        <v>80</v>
      </c>
      <c r="D102" t="s">
        <v>18</v>
      </c>
      <c r="E102">
        <v>1072</v>
      </c>
      <c r="F102">
        <v>0.25</v>
      </c>
      <c r="G102">
        <v>114</v>
      </c>
      <c r="H102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94.421414724445029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1085590.2758682158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t="s">
        <v>197</v>
      </c>
      <c r="D103" t="s">
        <v>696</v>
      </c>
      <c r="E103">
        <v>836</v>
      </c>
      <c r="F103">
        <v>0.33250000000000002</v>
      </c>
      <c r="G103">
        <v>100</v>
      </c>
      <c r="H103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91.426425165402236</v>
      </c>
      <c r="P103" s="3">
        <f>+_xlfn.XLOOKUP(REG_STOCK[[#This Row],[CODIGO]],PRODUCTOS[CODIGO],PRODUCTOS[PRECIO COMPRA UNITARIO],"",0)</f>
        <v>22537.549256505576</v>
      </c>
      <c r="Q103" s="3">
        <f>IFERROR(REG_STOCK[[#This Row],[VALOR UNITARIO]]*REG_STOCK[[#This Row],[PERDIDA O EN PROCESO]],"")</f>
        <v>2060527.5605114738</v>
      </c>
      <c r="R103" s="3">
        <f>+REG_STOCK[[#This Row],[VALOR UNITARIO]]*REG_STOCK[[#This Row],[STOCK FISICO]]</f>
        <v>2253754.9256505575</v>
      </c>
    </row>
    <row r="104" spans="1:18" hidden="1" x14ac:dyDescent="0.25">
      <c r="A104" s="1">
        <v>46181</v>
      </c>
      <c r="B104">
        <v>302046</v>
      </c>
      <c r="C104" t="s">
        <v>516</v>
      </c>
      <c r="D104" t="s">
        <v>20</v>
      </c>
      <c r="E104">
        <v>4045</v>
      </c>
      <c r="F104">
        <v>2</v>
      </c>
      <c r="G104">
        <v>144</v>
      </c>
      <c r="H104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106.41019554439468</v>
      </c>
      <c r="P104" s="3">
        <f>+_xlfn.XLOOKUP(REG_STOCK[[#This Row],[CODIGO]],PRODUCTOS[CODIGO],PRODUCTOS[PRECIO COMPRA UNITARIO],"",0)</f>
        <v>10289.047343394666</v>
      </c>
      <c r="Q104" s="3">
        <f>IFERROR(REG_STOCK[[#This Row],[VALOR UNITARIO]]*REG_STOCK[[#This Row],[PERDIDA O EN PROCESO]],"")</f>
        <v>1094859.5397761611</v>
      </c>
      <c r="R104" s="3">
        <f>+REG_STOCK[[#This Row],[VALOR UNITARIO]]*REG_STOCK[[#This Row],[STOCK FISICO]]</f>
        <v>1481622.8174488319</v>
      </c>
    </row>
    <row r="105" spans="1:18" hidden="1" x14ac:dyDescent="0.25">
      <c r="A105" s="1">
        <v>46181</v>
      </c>
      <c r="B105">
        <v>302010</v>
      </c>
      <c r="C105" t="s">
        <v>511</v>
      </c>
      <c r="D105" t="s">
        <v>20</v>
      </c>
      <c r="E105">
        <v>3024</v>
      </c>
      <c r="F105">
        <v>2</v>
      </c>
      <c r="G105">
        <v>336</v>
      </c>
      <c r="H105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 t="str">
        <f>IF($V$2-REG_STOCK[[#This Row],[ALCANCE FISICO]]&gt;0,"",($V$2-REG_STOCK[[#This Row],[ALCANCE FISICO]]/REG_STOCK[[#This Row],[CUBICACION PPTO.]]))</f>
        <v/>
      </c>
      <c r="P105" s="3">
        <f>+_xlfn.XLOOKUP(REG_STOCK[[#This Row],[CODIGO]],PRODUCTOS[CODIGO],PRODUCTOS[PRECIO COMPRA UNITARIO],"",0)</f>
        <v>5690.5508432539682</v>
      </c>
      <c r="Q105" s="3" t="str">
        <f>IFERROR(REG_STOCK[[#This Row],[VALOR UNITARIO]]*REG_STOCK[[#This Row],[PERDIDA O EN PROCESO]],"")</f>
        <v/>
      </c>
      <c r="R105" s="3">
        <f>+REG_STOCK[[#This Row],[VALOR UNITARIO]]*REG_STOCK[[#This Row],[STOCK FISICO]]</f>
        <v>1912025.0833333333</v>
      </c>
    </row>
    <row r="106" spans="1:18" hidden="1" x14ac:dyDescent="0.25">
      <c r="A106" s="1">
        <v>46181</v>
      </c>
      <c r="B106">
        <v>1901008</v>
      </c>
      <c r="C106" t="s">
        <v>747</v>
      </c>
      <c r="D106" t="s">
        <v>26</v>
      </c>
      <c r="E106">
        <v>6207</v>
      </c>
      <c r="F106">
        <v>0.5</v>
      </c>
      <c r="G106">
        <v>51</v>
      </c>
      <c r="H106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 t="str">
        <f>IF($V$2-REG_STOCK[[#This Row],[ALCANCE FISICO]]&gt;0,"",($V$2-REG_STOCK[[#This Row],[ALCANCE FISICO]]/REG_STOCK[[#This Row],[CUBICACION PPTO.]]))</f>
        <v/>
      </c>
      <c r="P106" s="3">
        <f>+_xlfn.XLOOKUP(REG_STOCK[[#This Row],[CODIGO]],PRODUCTOS[CODIGO],PRODUCTOS[PRECIO COMPRA UNITARIO],"",0)</f>
        <v>2062.9827561636025</v>
      </c>
      <c r="Q106" s="3" t="str">
        <f>IFERROR(REG_STOCK[[#This Row],[VALOR UNITARIO]]*REG_STOCK[[#This Row],[PERDIDA O EN PROCESO]],"")</f>
        <v/>
      </c>
      <c r="R106" s="3">
        <f>+REG_STOCK[[#This Row],[VALOR UNITARIO]]*REG_STOCK[[#This Row],[STOCK FISICO]]</f>
        <v>105212.12056434373</v>
      </c>
    </row>
    <row r="107" spans="1:18" hidden="1" x14ac:dyDescent="0.25">
      <c r="A107" s="1">
        <v>46181</v>
      </c>
      <c r="B107">
        <v>304002</v>
      </c>
      <c r="C107" t="s">
        <v>37</v>
      </c>
      <c r="D107" t="s">
        <v>18</v>
      </c>
      <c r="E107">
        <v>2207</v>
      </c>
      <c r="G107">
        <v>209</v>
      </c>
      <c r="H107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 t="str">
        <f>IF($V$2-REG_STOCK[[#This Row],[ALCANCE FISICO]]&gt;0,"",($V$2-REG_STOCK[[#This Row],[ALCANCE FISICO]]/REG_STOCK[[#This Row],[CUBICACION PPTO.]]))</f>
        <v/>
      </c>
      <c r="P107" s="3">
        <f>+_xlfn.XLOOKUP(REG_STOCK[[#This Row],[CODIGO]],PRODUCTOS[CODIGO],PRODUCTOS[PRECIO COMPRA UNITARIO],"",0)</f>
        <v>21604.880388238653</v>
      </c>
      <c r="Q107" s="3" t="str">
        <f>IFERROR(REG_STOCK[[#This Row],[VALOR UNITARIO]]*REG_STOCK[[#This Row],[PERDIDA O EN PROCESO]],"")</f>
        <v/>
      </c>
      <c r="R107" s="3">
        <f>+REG_STOCK[[#This Row],[VALOR UNITARIO]]*REG_STOCK[[#This Row],[STOCK FISICO]]</f>
        <v>4515420.0011418788</v>
      </c>
    </row>
    <row r="108" spans="1:18" hidden="1" x14ac:dyDescent="0.25">
      <c r="A108" s="1">
        <v>46181</v>
      </c>
      <c r="B108">
        <v>304101</v>
      </c>
      <c r="C108" t="s">
        <v>695</v>
      </c>
      <c r="D108" t="s">
        <v>18</v>
      </c>
      <c r="E108">
        <v>4633</v>
      </c>
      <c r="F108">
        <v>0.25</v>
      </c>
      <c r="G108">
        <v>379</v>
      </c>
      <c r="H108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 t="str">
        <f>IF($V$2-REG_STOCK[[#This Row],[ALCANCE FISICO]]&gt;0,"",($V$2-REG_STOCK[[#This Row],[ALCANCE FISICO]]/REG_STOCK[[#This Row],[CUBICACION PPTO.]]))</f>
        <v/>
      </c>
      <c r="P108" s="3">
        <f>+_xlfn.XLOOKUP(REG_STOCK[[#This Row],[CODIGO]],PRODUCTOS[CODIGO],PRODUCTOS[PRECIO COMPRA UNITARIO],"",0)</f>
        <v>9649.1185596629002</v>
      </c>
      <c r="Q108" s="3" t="str">
        <f>IFERROR(REG_STOCK[[#This Row],[VALOR UNITARIO]]*REG_STOCK[[#This Row],[PERDIDA O EN PROCESO]],"")</f>
        <v/>
      </c>
      <c r="R108" s="3">
        <f>+REG_STOCK[[#This Row],[VALOR UNITARIO]]*REG_STOCK[[#This Row],[STOCK FISICO]]</f>
        <v>3657015.9341122392</v>
      </c>
    </row>
    <row r="109" spans="1:18" hidden="1" x14ac:dyDescent="0.25">
      <c r="A109" s="1">
        <v>46181</v>
      </c>
      <c r="B109">
        <v>302028</v>
      </c>
      <c r="C109" t="s">
        <v>512</v>
      </c>
      <c r="D109" t="s">
        <v>20</v>
      </c>
      <c r="E109">
        <v>9841</v>
      </c>
      <c r="F109">
        <v>0.25</v>
      </c>
      <c r="G109">
        <v>382</v>
      </c>
      <c r="H109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4769.5117820983787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1821953.5007615807</v>
      </c>
    </row>
    <row r="110" spans="1:18" hidden="1" x14ac:dyDescent="0.25">
      <c r="A110" s="1">
        <v>46181</v>
      </c>
      <c r="B110">
        <v>304049</v>
      </c>
      <c r="C110" t="s">
        <v>318</v>
      </c>
      <c r="D110" t="s">
        <v>18</v>
      </c>
      <c r="E110">
        <v>2185</v>
      </c>
      <c r="F110">
        <v>0.25</v>
      </c>
      <c r="G110">
        <v>242</v>
      </c>
      <c r="H110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 t="str">
        <f>IF($V$2-REG_STOCK[[#This Row],[ALCANCE FISICO]]&gt;0,"",($V$2-REG_STOCK[[#This Row],[ALCANCE FISICO]]/REG_STOCK[[#This Row],[CUBICACION PPTO.]]))</f>
        <v/>
      </c>
      <c r="P110" s="3">
        <f>+_xlfn.XLOOKUP(REG_STOCK[[#This Row],[CODIGO]],PRODUCTOS[CODIGO],PRODUCTOS[PRECIO COMPRA UNITARIO],"",0)</f>
        <v>15095.117424242424</v>
      </c>
      <c r="Q110" s="3" t="str">
        <f>IFERROR(REG_STOCK[[#This Row],[VALOR UNITARIO]]*REG_STOCK[[#This Row],[PERDIDA O EN PROCESO]],"")</f>
        <v/>
      </c>
      <c r="R110" s="3">
        <f>+REG_STOCK[[#This Row],[VALOR UNITARIO]]*REG_STOCK[[#This Row],[STOCK FISICO]]</f>
        <v>3653018.4166666665</v>
      </c>
    </row>
    <row r="111" spans="1:18" hidden="1" x14ac:dyDescent="0.25">
      <c r="A111" s="1">
        <v>46181</v>
      </c>
      <c r="B111">
        <v>701096</v>
      </c>
      <c r="C111" t="s">
        <v>204</v>
      </c>
      <c r="D111" t="s">
        <v>18</v>
      </c>
      <c r="E111">
        <v>2364</v>
      </c>
      <c r="F111">
        <v>0.25</v>
      </c>
      <c r="G111">
        <v>227</v>
      </c>
      <c r="H11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 t="str">
        <f>IF($V$2-REG_STOCK[[#This Row],[ALCANCE FISICO]]&gt;0,"",($V$2-REG_STOCK[[#This Row],[ALCANCE FISICO]]/REG_STOCK[[#This Row],[CUBICACION PPTO.]]))</f>
        <v/>
      </c>
      <c r="P111" s="3">
        <f>+_xlfn.XLOOKUP(REG_STOCK[[#This Row],[CODIGO]],PRODUCTOS[CODIGO],PRODUCTOS[PRECIO COMPRA UNITARIO],"",0)</f>
        <v>16231.199726402188</v>
      </c>
      <c r="Q111" s="3" t="str">
        <f>IFERROR(REG_STOCK[[#This Row],[VALOR UNITARIO]]*REG_STOCK[[#This Row],[PERDIDA O EN PROCESO]],"")</f>
        <v/>
      </c>
      <c r="R111" s="3">
        <f>+REG_STOCK[[#This Row],[VALOR UNITARIO]]*REG_STOCK[[#This Row],[STOCK FISICO]]</f>
        <v>3684482.337893297</v>
      </c>
    </row>
    <row r="112" spans="1:18" hidden="1" x14ac:dyDescent="0.25">
      <c r="A112" s="1">
        <v>46181</v>
      </c>
      <c r="B112">
        <v>701040</v>
      </c>
      <c r="C112" t="s">
        <v>19</v>
      </c>
      <c r="D112" t="s">
        <v>18</v>
      </c>
      <c r="E112">
        <v>1055</v>
      </c>
      <c r="F112">
        <v>0.25</v>
      </c>
      <c r="G112">
        <v>186</v>
      </c>
      <c r="H112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47.22979387833567</v>
      </c>
      <c r="P112" s="3">
        <f>+_xlfn.XLOOKUP(REG_STOCK[[#This Row],[CODIGO]],PRODUCTOS[CODIGO],PRODUCTOS[PRECIO COMPRA UNITARIO],"",0)</f>
        <v>7627.9022026431721</v>
      </c>
      <c r="Q112" s="3">
        <f>IFERROR(REG_STOCK[[#This Row],[VALOR UNITARIO]]*REG_STOCK[[#This Row],[PERDIDA O EN PROCESO]],"")</f>
        <v>360264.24875493965</v>
      </c>
      <c r="R112" s="3">
        <f>+REG_STOCK[[#This Row],[VALOR UNITARIO]]*REG_STOCK[[#This Row],[STOCK FISICO]]</f>
        <v>1418789.8096916301</v>
      </c>
    </row>
    <row r="113" spans="1:18" hidden="1" x14ac:dyDescent="0.25">
      <c r="A113" s="1">
        <v>46181</v>
      </c>
      <c r="B113">
        <v>1902003</v>
      </c>
      <c r="C113" t="s">
        <v>155</v>
      </c>
      <c r="D113" t="s">
        <v>47</v>
      </c>
      <c r="E113">
        <v>87</v>
      </c>
      <c r="F113">
        <v>0.5</v>
      </c>
      <c r="G113">
        <v>5</v>
      </c>
      <c r="H113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-960.09163261577305</v>
      </c>
      <c r="P113" s="3">
        <f>+_xlfn.XLOOKUP(REG_STOCK[[#This Row],[CODIGO]],PRODUCTOS[CODIGO],PRODUCTOS[PRECIO COMPRA UNITARIO],"",0)</f>
        <v>150758.376146789</v>
      </c>
      <c r="Q113" s="3">
        <f>IFERROR(REG_STOCK[[#This Row],[VALOR UNITARIO]]*REG_STOCK[[#This Row],[PERDIDA O EN PROCESO]],"")</f>
        <v>-144741855.48527348</v>
      </c>
      <c r="R113" s="3">
        <f>+REG_STOCK[[#This Row],[VALOR UNITARIO]]*REG_STOCK[[#This Row],[STOCK FISICO]]</f>
        <v>753791.88073394494</v>
      </c>
    </row>
    <row r="114" spans="1:18" hidden="1" x14ac:dyDescent="0.25">
      <c r="A114" s="1">
        <v>46181</v>
      </c>
      <c r="B114" t="s">
        <v>21</v>
      </c>
      <c r="C114" t="s">
        <v>785</v>
      </c>
      <c r="D114" t="s">
        <v>20</v>
      </c>
      <c r="E114">
        <v>728</v>
      </c>
      <c r="F114">
        <v>1</v>
      </c>
      <c r="G114">
        <v>7</v>
      </c>
      <c r="H114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89.21390778533636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1377776.6928067524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t="s">
        <v>38</v>
      </c>
      <c r="D115" t="s">
        <v>18</v>
      </c>
      <c r="E115">
        <v>92</v>
      </c>
      <c r="F115">
        <v>0.25</v>
      </c>
      <c r="G115">
        <v>41</v>
      </c>
      <c r="H115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-277.65011346841857</v>
      </c>
      <c r="P115" s="3">
        <f>+_xlfn.XLOOKUP(REG_STOCK[[#This Row],[CODIGO]],PRODUCTOS[CODIGO],PRODUCTOS[PRECIO COMPRA UNITARIO],"",0)</f>
        <v>39468.96212121212</v>
      </c>
      <c r="Q115" s="3">
        <f>IFERROR(REG_STOCK[[#This Row],[VALOR UNITARIO]]*REG_STOCK[[#This Row],[PERDIDA O EN PROCESO]],"")</f>
        <v>-10958561.81143526</v>
      </c>
      <c r="R115" s="3">
        <f>+REG_STOCK[[#This Row],[VALOR UNITARIO]]*REG_STOCK[[#This Row],[STOCK FISICO]]</f>
        <v>1618227.446969697</v>
      </c>
    </row>
    <row r="116" spans="1:18" hidden="1" x14ac:dyDescent="0.25">
      <c r="A116" s="1">
        <v>46181</v>
      </c>
      <c r="B116">
        <v>5309018</v>
      </c>
      <c r="C116" t="s">
        <v>112</v>
      </c>
      <c r="D116" t="s">
        <v>26</v>
      </c>
      <c r="E116">
        <v>3200</v>
      </c>
      <c r="F116">
        <v>0.125</v>
      </c>
      <c r="G116">
        <v>4</v>
      </c>
      <c r="H116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 t="str">
        <f>IF($V$2-REG_STOCK[[#This Row],[ALCANCE FISICO]]&gt;0,"",($V$2-REG_STOCK[[#This Row],[ALCANCE FISICO]]/REG_STOCK[[#This Row],[CUBICACION PPTO.]]))</f>
        <v/>
      </c>
      <c r="P116" s="3">
        <f>+_xlfn.XLOOKUP(REG_STOCK[[#This Row],[CODIGO]],PRODUCTOS[CODIGO],PRODUCTOS[PRECIO COMPRA UNITARIO],"",0)</f>
        <v>707.86891891891889</v>
      </c>
      <c r="Q116" s="3" t="str">
        <f>IFERROR(REG_STOCK[[#This Row],[VALOR UNITARIO]]*REG_STOCK[[#This Row],[PERDIDA O EN PROCESO]],"")</f>
        <v/>
      </c>
      <c r="R116" s="3">
        <f>+REG_STOCK[[#This Row],[VALOR UNITARIO]]*REG_STOCK[[#This Row],[STOCK FISICO]]</f>
        <v>2831.4756756756756</v>
      </c>
    </row>
    <row r="117" spans="1:18" hidden="1" x14ac:dyDescent="0.25">
      <c r="A117" s="1">
        <v>46181</v>
      </c>
      <c r="B117">
        <v>1902014</v>
      </c>
      <c r="C117" t="s">
        <v>316</v>
      </c>
      <c r="D117" t="s">
        <v>18</v>
      </c>
      <c r="E117">
        <v>360</v>
      </c>
      <c r="F117">
        <v>1</v>
      </c>
      <c r="G117">
        <v>140</v>
      </c>
      <c r="H117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89.695702922136348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2672910.2131208782</v>
      </c>
      <c r="R117" s="3">
        <f>+REG_STOCK[[#This Row],[VALOR UNITARIO]]*REG_STOCK[[#This Row],[STOCK FISICO]]</f>
        <v>4171966.076923077</v>
      </c>
    </row>
    <row r="118" spans="1:18" hidden="1" x14ac:dyDescent="0.25">
      <c r="A118" s="1">
        <v>46188</v>
      </c>
      <c r="B118">
        <v>304007</v>
      </c>
      <c r="C118" t="s">
        <v>80</v>
      </c>
      <c r="D118" t="s">
        <v>18</v>
      </c>
      <c r="E118">
        <v>1072</v>
      </c>
      <c r="F118">
        <v>31</v>
      </c>
      <c r="G118">
        <v>78</v>
      </c>
      <c r="H118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93.461912466241472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1074558.6012823265</v>
      </c>
      <c r="R118" s="3">
        <f>+REG_STOCK[[#This Row],[VALOR UNITARIO]]*REG_STOCK[[#This Row],[STOCK FISICO]]</f>
        <v>896788.5279503105</v>
      </c>
    </row>
    <row r="119" spans="1:18" hidden="1" x14ac:dyDescent="0.25">
      <c r="A119" s="1">
        <v>46188</v>
      </c>
      <c r="B119">
        <v>701043</v>
      </c>
      <c r="C119" t="s">
        <v>197</v>
      </c>
      <c r="D119" t="s">
        <v>696</v>
      </c>
      <c r="E119">
        <v>956</v>
      </c>
      <c r="F119">
        <v>0.25</v>
      </c>
      <c r="G119">
        <v>142</v>
      </c>
      <c r="H119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89.037540942302854</v>
      </c>
      <c r="P119" s="3">
        <f>+_xlfn.XLOOKUP(REG_STOCK[[#This Row],[CODIGO]],PRODUCTOS[CODIGO],PRODUCTOS[PRECIO COMPRA UNITARIO],"",0)</f>
        <v>22537.549256505576</v>
      </c>
      <c r="Q119" s="3">
        <f>IFERROR(REG_STOCK[[#This Row],[VALOR UNITARIO]]*REG_STOCK[[#This Row],[PERDIDA O EN PROCESO]],"")</f>
        <v>2006687.9646652825</v>
      </c>
      <c r="R119" s="3">
        <f>+REG_STOCK[[#This Row],[VALOR UNITARIO]]*REG_STOCK[[#This Row],[STOCK FISICO]]</f>
        <v>3200331.9944237918</v>
      </c>
    </row>
    <row r="120" spans="1:18" hidden="1" x14ac:dyDescent="0.25">
      <c r="A120" s="1">
        <v>46188</v>
      </c>
      <c r="B120">
        <v>302046</v>
      </c>
      <c r="C120" t="s">
        <v>516</v>
      </c>
      <c r="D120" t="s">
        <v>20</v>
      </c>
      <c r="E120">
        <v>4549</v>
      </c>
      <c r="F120">
        <v>0.4375</v>
      </c>
      <c r="G120">
        <v>348</v>
      </c>
      <c r="H120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106.13034071908531</v>
      </c>
      <c r="P120" s="3">
        <f>+_xlfn.XLOOKUP(REG_STOCK[[#This Row],[CODIGO]],PRODUCTOS[CODIGO],PRODUCTOS[PRECIO COMPRA UNITARIO],"",0)</f>
        <v>10289.047343394666</v>
      </c>
      <c r="Q120" s="3">
        <f>IFERROR(REG_STOCK[[#This Row],[VALOR UNITARIO]]*REG_STOCK[[#This Row],[PERDIDA O EN PROCESO]],"")</f>
        <v>1091980.1002292754</v>
      </c>
      <c r="R120" s="3">
        <f>+REG_STOCK[[#This Row],[VALOR UNITARIO]]*REG_STOCK[[#This Row],[STOCK FISICO]]</f>
        <v>3580588.4755013441</v>
      </c>
    </row>
    <row r="121" spans="1:18" hidden="1" x14ac:dyDescent="0.25">
      <c r="A121" s="1">
        <v>46188</v>
      </c>
      <c r="B121">
        <v>302010</v>
      </c>
      <c r="C121" t="s">
        <v>511</v>
      </c>
      <c r="D121" t="s">
        <v>20</v>
      </c>
      <c r="E121">
        <v>3024</v>
      </c>
      <c r="F121">
        <v>0.4375</v>
      </c>
      <c r="G121">
        <v>0</v>
      </c>
      <c r="H12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 t="str">
        <f>IF($V$2-REG_STOCK[[#This Row],[ALCANCE FISICO]]&gt;0,"",($V$2-REG_STOCK[[#This Row],[ALCANCE FISICO]]/REG_STOCK[[#This Row],[CUBICACION PPTO.]]))</f>
        <v/>
      </c>
      <c r="P121" s="3">
        <f>+_xlfn.XLOOKUP(REG_STOCK[[#This Row],[CODIGO]],PRODUCTOS[CODIGO],PRODUCTOS[PRECIO COMPRA UNITARIO],"",0)</f>
        <v>5690.5508432539682</v>
      </c>
      <c r="Q121" s="3" t="str">
        <f>IFERROR(REG_STOCK[[#This Row],[VALOR UNITARIO]]*REG_STOCK[[#This Row],[PERDIDA O EN PROCESO]],"")</f>
        <v/>
      </c>
      <c r="R121" s="3">
        <f>+REG_STOCK[[#This Row],[VALOR UNITARIO]]*REG_STOCK[[#This Row],[STOCK FISICO]]</f>
        <v>0</v>
      </c>
    </row>
    <row r="122" spans="1:18" hidden="1" x14ac:dyDescent="0.25">
      <c r="A122" s="1">
        <v>46188</v>
      </c>
      <c r="B122">
        <v>1901008</v>
      </c>
      <c r="C122" t="s">
        <v>747</v>
      </c>
      <c r="D122" t="s">
        <v>26</v>
      </c>
      <c r="E122">
        <v>6207</v>
      </c>
      <c r="F122">
        <v>1</v>
      </c>
      <c r="G122">
        <v>7</v>
      </c>
      <c r="H122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 t="str">
        <f>IF($V$2-REG_STOCK[[#This Row],[ALCANCE FISICO]]&gt;0,"",($V$2-REG_STOCK[[#This Row],[ALCANCE FISICO]]/REG_STOCK[[#This Row],[CUBICACION PPTO.]]))</f>
        <v/>
      </c>
      <c r="P122" s="3">
        <f>+_xlfn.XLOOKUP(REG_STOCK[[#This Row],[CODIGO]],PRODUCTOS[CODIGO],PRODUCTOS[PRECIO COMPRA UNITARIO],"",0)</f>
        <v>2062.9827561636025</v>
      </c>
      <c r="Q122" s="3" t="str">
        <f>IFERROR(REG_STOCK[[#This Row],[VALOR UNITARIO]]*REG_STOCK[[#This Row],[PERDIDA O EN PROCESO]],"")</f>
        <v/>
      </c>
      <c r="R122" s="3">
        <f>+REG_STOCK[[#This Row],[VALOR UNITARIO]]*REG_STOCK[[#This Row],[STOCK FISICO]]</f>
        <v>14440.879293145217</v>
      </c>
    </row>
    <row r="123" spans="1:18" hidden="1" x14ac:dyDescent="0.25">
      <c r="A123" s="1">
        <v>46188</v>
      </c>
      <c r="B123">
        <v>304002</v>
      </c>
      <c r="C123" t="s">
        <v>37</v>
      </c>
      <c r="D123" t="s">
        <v>18</v>
      </c>
      <c r="E123">
        <v>2207</v>
      </c>
      <c r="G123">
        <v>180</v>
      </c>
      <c r="H123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 t="str">
        <f>IF($V$2-REG_STOCK[[#This Row],[ALCANCE FISICO]]&gt;0,"",($V$2-REG_STOCK[[#This Row],[ALCANCE FISICO]]/REG_STOCK[[#This Row],[CUBICACION PPTO.]]))</f>
        <v/>
      </c>
      <c r="P123" s="3">
        <f>+_xlfn.XLOOKUP(REG_STOCK[[#This Row],[CODIGO]],PRODUCTOS[CODIGO],PRODUCTOS[PRECIO COMPRA UNITARIO],"",0)</f>
        <v>21604.880388238653</v>
      </c>
      <c r="Q123" s="3" t="str">
        <f>IFERROR(REG_STOCK[[#This Row],[VALOR UNITARIO]]*REG_STOCK[[#This Row],[PERDIDA O EN PROCESO]],"")</f>
        <v/>
      </c>
      <c r="R123" s="3">
        <f>+REG_STOCK[[#This Row],[VALOR UNITARIO]]*REG_STOCK[[#This Row],[STOCK FISICO]]</f>
        <v>3888878.4698829576</v>
      </c>
    </row>
    <row r="124" spans="1:18" hidden="1" x14ac:dyDescent="0.25">
      <c r="A124" s="1">
        <v>46188</v>
      </c>
      <c r="B124">
        <v>304101</v>
      </c>
      <c r="C124" t="s">
        <v>695</v>
      </c>
      <c r="D124" t="s">
        <v>18</v>
      </c>
      <c r="E124">
        <v>4801</v>
      </c>
      <c r="F124">
        <v>0.25</v>
      </c>
      <c r="G124">
        <v>296</v>
      </c>
      <c r="H124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 t="str">
        <f>IF($V$2-REG_STOCK[[#This Row],[ALCANCE FISICO]]&gt;0,"",($V$2-REG_STOCK[[#This Row],[ALCANCE FISICO]]/REG_STOCK[[#This Row],[CUBICACION PPTO.]]))</f>
        <v/>
      </c>
      <c r="P124" s="3">
        <f>+_xlfn.XLOOKUP(REG_STOCK[[#This Row],[CODIGO]],PRODUCTOS[CODIGO],PRODUCTOS[PRECIO COMPRA UNITARIO],"",0)</f>
        <v>9649.1185596629002</v>
      </c>
      <c r="Q124" s="3" t="str">
        <f>IFERROR(REG_STOCK[[#This Row],[VALOR UNITARIO]]*REG_STOCK[[#This Row],[PERDIDA O EN PROCESO]],"")</f>
        <v/>
      </c>
      <c r="R124" s="3">
        <f>+REG_STOCK[[#This Row],[VALOR UNITARIO]]*REG_STOCK[[#This Row],[STOCK FISICO]]</f>
        <v>2856139.0936602186</v>
      </c>
    </row>
    <row r="125" spans="1:18" hidden="1" x14ac:dyDescent="0.25">
      <c r="A125" s="1">
        <v>46188</v>
      </c>
      <c r="B125">
        <v>302028</v>
      </c>
      <c r="C125" t="s">
        <v>512</v>
      </c>
      <c r="D125" t="s">
        <v>20</v>
      </c>
      <c r="E125">
        <v>9841</v>
      </c>
      <c r="F125">
        <v>0.25</v>
      </c>
      <c r="G125">
        <v>240</v>
      </c>
      <c r="H125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4769.5117820983787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1144682.827703611</v>
      </c>
    </row>
    <row r="126" spans="1:18" hidden="1" x14ac:dyDescent="0.25">
      <c r="A126" s="1">
        <v>46188</v>
      </c>
      <c r="B126">
        <v>304049</v>
      </c>
      <c r="C126" t="s">
        <v>318</v>
      </c>
      <c r="D126" t="s">
        <v>18</v>
      </c>
      <c r="E126">
        <v>2315</v>
      </c>
      <c r="F126">
        <v>0.25</v>
      </c>
      <c r="G126">
        <v>154</v>
      </c>
      <c r="H126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105.18687698354026</v>
      </c>
      <c r="P126" s="3">
        <f>+_xlfn.XLOOKUP(REG_STOCK[[#This Row],[CODIGO]],PRODUCTOS[CODIGO],PRODUCTOS[PRECIO COMPRA UNITARIO],"",0)</f>
        <v>15095.117424242424</v>
      </c>
      <c r="Q126" s="3">
        <f>IFERROR(REG_STOCK[[#This Row],[VALOR UNITARIO]]*REG_STOCK[[#This Row],[PERDIDA O EN PROCESO]],"")</f>
        <v>1587808.259555883</v>
      </c>
      <c r="R126" s="3">
        <f>+REG_STOCK[[#This Row],[VALOR UNITARIO]]*REG_STOCK[[#This Row],[STOCK FISICO]]</f>
        <v>2324648.0833333335</v>
      </c>
    </row>
    <row r="127" spans="1:18" hidden="1" x14ac:dyDescent="0.25">
      <c r="A127" s="1">
        <v>46188</v>
      </c>
      <c r="B127">
        <v>701096</v>
      </c>
      <c r="C127" t="s">
        <v>204</v>
      </c>
      <c r="D127" t="s">
        <v>18</v>
      </c>
      <c r="E127">
        <v>2644</v>
      </c>
      <c r="F127">
        <v>0.25</v>
      </c>
      <c r="G127">
        <v>308</v>
      </c>
      <c r="H127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 t="str">
        <f>IF($V$2-REG_STOCK[[#This Row],[ALCANCE FISICO]]&gt;0,"",($V$2-REG_STOCK[[#This Row],[ALCANCE FISICO]]/REG_STOCK[[#This Row],[CUBICACION PPTO.]]))</f>
        <v/>
      </c>
      <c r="P127" s="3">
        <f>+_xlfn.XLOOKUP(REG_STOCK[[#This Row],[CODIGO]],PRODUCTOS[CODIGO],PRODUCTOS[PRECIO COMPRA UNITARIO],"",0)</f>
        <v>16231.199726402188</v>
      </c>
      <c r="Q127" s="3" t="str">
        <f>IFERROR(REG_STOCK[[#This Row],[VALOR UNITARIO]]*REG_STOCK[[#This Row],[PERDIDA O EN PROCESO]],"")</f>
        <v/>
      </c>
      <c r="R127" s="3">
        <f>+REG_STOCK[[#This Row],[VALOR UNITARIO]]*REG_STOCK[[#This Row],[STOCK FISICO]]</f>
        <v>4999209.5157318739</v>
      </c>
    </row>
    <row r="128" spans="1:18" hidden="1" x14ac:dyDescent="0.25">
      <c r="A128" s="1">
        <v>46188</v>
      </c>
      <c r="B128">
        <v>701040</v>
      </c>
      <c r="C128" t="s">
        <v>19</v>
      </c>
      <c r="D128" t="s">
        <v>18</v>
      </c>
      <c r="E128">
        <v>1055</v>
      </c>
      <c r="F128">
        <v>0.25</v>
      </c>
      <c r="G128">
        <v>129</v>
      </c>
      <c r="H128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47.22979387833567</v>
      </c>
      <c r="P128" s="3">
        <f>+_xlfn.XLOOKUP(REG_STOCK[[#This Row],[CODIGO]],PRODUCTOS[CODIGO],PRODUCTOS[PRECIO COMPRA UNITARIO],"",0)</f>
        <v>7627.9022026431721</v>
      </c>
      <c r="Q128" s="3">
        <f>IFERROR(REG_STOCK[[#This Row],[VALOR UNITARIO]]*REG_STOCK[[#This Row],[PERDIDA O EN PROCESO]],"")</f>
        <v>360264.24875493965</v>
      </c>
      <c r="R128" s="3">
        <f>+REG_STOCK[[#This Row],[VALOR UNITARIO]]*REG_STOCK[[#This Row],[STOCK FISICO]]</f>
        <v>983999.38414096925</v>
      </c>
    </row>
    <row r="129" spans="1:18" hidden="1" x14ac:dyDescent="0.25">
      <c r="A129" s="1">
        <v>46188</v>
      </c>
      <c r="B129">
        <v>1902003</v>
      </c>
      <c r="C129" t="s">
        <v>155</v>
      </c>
      <c r="D129" t="s">
        <v>47</v>
      </c>
      <c r="E129">
        <v>87</v>
      </c>
      <c r="F129">
        <v>0.25</v>
      </c>
      <c r="G129">
        <v>19</v>
      </c>
      <c r="H129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-994.98592498367861</v>
      </c>
      <c r="P129" s="3">
        <f>+_xlfn.XLOOKUP(REG_STOCK[[#This Row],[CODIGO]],PRODUCTOS[CODIGO],PRODUCTOS[PRECIO COMPRA UNITARIO],"",0)</f>
        <v>150758.376146789</v>
      </c>
      <c r="Q129" s="3">
        <f>IFERROR(REG_STOCK[[#This Row],[VALOR UNITARIO]]*REG_STOCK[[#This Row],[PERDIDA O EN PROCESO]],"")</f>
        <v>-150002462.33945021</v>
      </c>
      <c r="R129" s="3">
        <f>+REG_STOCK[[#This Row],[VALOR UNITARIO]]*REG_STOCK[[#This Row],[STOCK FISICO]]</f>
        <v>2864409.1467889911</v>
      </c>
    </row>
    <row r="130" spans="1:18" hidden="1" x14ac:dyDescent="0.25">
      <c r="A130" s="1">
        <v>46188</v>
      </c>
      <c r="B130" t="s">
        <v>21</v>
      </c>
      <c r="C130" t="s">
        <v>785</v>
      </c>
      <c r="D130" t="s">
        <v>20</v>
      </c>
      <c r="E130">
        <v>808</v>
      </c>
      <c r="F130">
        <v>0.125</v>
      </c>
      <c r="G130">
        <v>0</v>
      </c>
      <c r="H130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87.198286722096242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1346648.4103292634</v>
      </c>
      <c r="R130" s="3">
        <f>+REG_STOCK[[#This Row],[VALOR UNITARIO]]*REG_STOCK[[#This Row],[STOCK FISICO]]</f>
        <v>0</v>
      </c>
    </row>
    <row r="131" spans="1:18" hidden="1" x14ac:dyDescent="0.25">
      <c r="A131" s="1">
        <v>46188</v>
      </c>
      <c r="B131">
        <v>701084</v>
      </c>
      <c r="C131" t="s">
        <v>38</v>
      </c>
      <c r="D131" t="s">
        <v>18</v>
      </c>
      <c r="E131">
        <v>92</v>
      </c>
      <c r="F131">
        <v>0.125</v>
      </c>
      <c r="G131">
        <v>40</v>
      </c>
      <c r="H13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-277.65011346841857</v>
      </c>
      <c r="P131" s="3">
        <f>+_xlfn.XLOOKUP(REG_STOCK[[#This Row],[CODIGO]],PRODUCTOS[CODIGO],PRODUCTOS[PRECIO COMPRA UNITARIO],"",0)</f>
        <v>39468.96212121212</v>
      </c>
      <c r="Q131" s="3">
        <f>IFERROR(REG_STOCK[[#This Row],[VALOR UNITARIO]]*REG_STOCK[[#This Row],[PERDIDA O EN PROCESO]],"")</f>
        <v>-10958561.81143526</v>
      </c>
      <c r="R131" s="3">
        <f>+REG_STOCK[[#This Row],[VALOR UNITARIO]]*REG_STOCK[[#This Row],[STOCK FISICO]]</f>
        <v>1578758.4848484849</v>
      </c>
    </row>
    <row r="132" spans="1:18" hidden="1" x14ac:dyDescent="0.25">
      <c r="A132" s="1">
        <v>46188</v>
      </c>
      <c r="B132">
        <v>5309018</v>
      </c>
      <c r="C132" t="s">
        <v>112</v>
      </c>
      <c r="D132" t="s">
        <v>26</v>
      </c>
      <c r="E132">
        <v>3200</v>
      </c>
      <c r="F132">
        <v>0.5</v>
      </c>
      <c r="G132">
        <v>1</v>
      </c>
      <c r="H132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 t="str">
        <f>IF($V$2-REG_STOCK[[#This Row],[ALCANCE FISICO]]&gt;0,"",($V$2-REG_STOCK[[#This Row],[ALCANCE FISICO]]/REG_STOCK[[#This Row],[CUBICACION PPTO.]]))</f>
        <v/>
      </c>
      <c r="P132" s="3">
        <f>+_xlfn.XLOOKUP(REG_STOCK[[#This Row],[CODIGO]],PRODUCTOS[CODIGO],PRODUCTOS[PRECIO COMPRA UNITARIO],"",0)</f>
        <v>707.86891891891889</v>
      </c>
      <c r="Q132" s="3" t="str">
        <f>IFERROR(REG_STOCK[[#This Row],[VALOR UNITARIO]]*REG_STOCK[[#This Row],[PERDIDA O EN PROCESO]],"")</f>
        <v/>
      </c>
      <c r="R132" s="3">
        <f>+REG_STOCK[[#This Row],[VALOR UNITARIO]]*REG_STOCK[[#This Row],[STOCK FISICO]]</f>
        <v>707.86891891891889</v>
      </c>
    </row>
    <row r="133" spans="1:18" hidden="1" x14ac:dyDescent="0.25">
      <c r="A133" s="1">
        <v>46188</v>
      </c>
      <c r="B133">
        <v>1902014</v>
      </c>
      <c r="C133" t="s">
        <v>316</v>
      </c>
      <c r="D133" t="s">
        <v>18</v>
      </c>
      <c r="E133">
        <v>520</v>
      </c>
      <c r="F133">
        <v>0.125</v>
      </c>
      <c r="G133">
        <v>59</v>
      </c>
      <c r="H133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89.695702922136348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2672910.2131208782</v>
      </c>
      <c r="R133" s="3">
        <f>+REG_STOCK[[#This Row],[VALOR UNITARIO]]*REG_STOCK[[#This Row],[STOCK FISICO]]</f>
        <v>1758185.7038461538</v>
      </c>
    </row>
    <row r="134" spans="1:18" hidden="1" x14ac:dyDescent="0.25">
      <c r="A134" s="1">
        <v>46188</v>
      </c>
      <c r="B134">
        <v>302054</v>
      </c>
      <c r="C134" t="s">
        <v>356</v>
      </c>
      <c r="D134" t="s">
        <v>20</v>
      </c>
      <c r="E134">
        <v>15000</v>
      </c>
      <c r="G134">
        <v>723</v>
      </c>
      <c r="H134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>
        <f>+REG_STOCK[[#This Row],[SOLICITADO A TF]]-REG_STOCK[[#This Row],[STOCK FISICO]]</f>
        <v>14374</v>
      </c>
      <c r="K134" s="40">
        <f>+_xlfn.XLOOKUP(REG_STOCK[[#This Row],[CODIGO]],PRODUCTOS[CODIGO],PRODUCTOS[CANT X MODULO],"",0)</f>
        <v>34.543750000000003</v>
      </c>
      <c r="L134" s="3">
        <f>+REG_STOCK[[#This Row],[CONSUMO]]/REG_STOCK[[#This Row],[CUBICACION PPTO.]]</f>
        <v>416.11000542789935</v>
      </c>
      <c r="M134" s="3">
        <f>+REG_STOCK[[#This Row],[STOCK FISICO]]/REG_STOCK[[#This Row],[CUBICACION PPTO.]]</f>
        <v>20.929980097702188</v>
      </c>
      <c r="N134" s="3">
        <f>+REG_STOCK[[#This Row],[SOLICITADO A TF]]/REG_STOCK[[#This Row],[CUBICACION PPTO.]]</f>
        <v>437.03998552560154</v>
      </c>
      <c r="O134" s="3">
        <f>IF($V$2-REG_STOCK[[#This Row],[ALCANCE FISICO]]&gt;0,"",($V$2-REG_STOCK[[#This Row],[ALCANCE FISICO]]/REG_STOCK[[#This Row],[CUBICACION PPTO.]]))</f>
        <v>97.348218258712464</v>
      </c>
      <c r="P134" s="3">
        <f>+_xlfn.XLOOKUP(REG_STOCK[[#This Row],[CODIGO]],PRODUCTOS[CODIGO],PRODUCTOS[PRECIO COMPRA UNITARIO],"",0)</f>
        <v>4843.5655884995504</v>
      </c>
      <c r="Q134" s="3">
        <f>IFERROR(REG_STOCK[[#This Row],[VALOR UNITARIO]]*REG_STOCK[[#This Row],[PERDIDA O EN PROCESO]],"")</f>
        <v>471512.48005964333</v>
      </c>
      <c r="R134" s="3">
        <f>+REG_STOCK[[#This Row],[VALOR UNITARIO]]*REG_STOCK[[#This Row],[STOCK FISICO]]</f>
        <v>3501897.9204851747</v>
      </c>
    </row>
    <row r="135" spans="1:18" hidden="1" x14ac:dyDescent="0.25">
      <c r="A135" s="1">
        <v>46188</v>
      </c>
      <c r="B135">
        <v>302048</v>
      </c>
      <c r="C135" t="s">
        <v>126</v>
      </c>
      <c r="D135" t="s">
        <v>20</v>
      </c>
      <c r="E135">
        <v>2598</v>
      </c>
      <c r="F135">
        <v>0.25</v>
      </c>
      <c r="G135">
        <v>0</v>
      </c>
      <c r="H135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>
        <f>+REG_STOCK[[#This Row],[SOLICITADO A TF]]-REG_STOCK[[#This Row],[STOCK FISICO]]</f>
        <v>2695</v>
      </c>
      <c r="K135" s="40">
        <f>+_xlfn.XLOOKUP(REG_STOCK[[#This Row],[CODIGO]],PRODUCTOS[CODIGO],PRODUCTOS[CANT X MODULO],"",0)</f>
        <v>35.174999999999997</v>
      </c>
      <c r="L135" s="3">
        <f>+REG_STOCK[[#This Row],[CONSUMO]]/REG_STOCK[[#This Row],[CUBICACION PPTO.]]</f>
        <v>76.616915422885583</v>
      </c>
      <c r="M135" s="3">
        <f>+REG_STOCK[[#This Row],[STOCK FISICO]]/REG_STOCK[[#This Row],[CUBICACION PPTO.]]</f>
        <v>0</v>
      </c>
      <c r="N135" s="3">
        <f>+REG_STOCK[[#This Row],[SOLICITADO A TF]]/REG_STOCK[[#This Row],[CUBICACION PPTO.]]</f>
        <v>76.616915422885583</v>
      </c>
      <c r="O135" s="3" t="str">
        <f>IF($V$2-REG_STOCK[[#This Row],[ALCANCE FISICO]]&gt;0,"",($V$2-REG_STOCK[[#This Row],[ALCANCE FISICO]]/REG_STOCK[[#This Row],[CUBICACION PPTO.]]))</f>
        <v/>
      </c>
      <c r="P135" s="3">
        <f>+_xlfn.XLOOKUP(REG_STOCK[[#This Row],[CODIGO]],PRODUCTOS[CODIGO],PRODUCTOS[PRECIO COMPRA UNITARIO],"",0)</f>
        <v>13769.264887063655</v>
      </c>
      <c r="Q135" s="3" t="str">
        <f>IFERROR(REG_STOCK[[#This Row],[VALOR UNITARIO]]*REG_STOCK[[#This Row],[PERDIDA O EN PROCESO]],"")</f>
        <v/>
      </c>
      <c r="R135" s="3">
        <f>+REG_STOCK[[#This Row],[VALOR UNITARIO]]*REG_STOCK[[#This Row],[STOCK FISICO]]</f>
        <v>0</v>
      </c>
    </row>
    <row r="136" spans="1:18" hidden="1" x14ac:dyDescent="0.25">
      <c r="A136" s="1">
        <v>46188</v>
      </c>
      <c r="B136">
        <v>705028</v>
      </c>
      <c r="C136" t="s">
        <v>72</v>
      </c>
      <c r="D136" t="s">
        <v>18</v>
      </c>
      <c r="E136">
        <v>369</v>
      </c>
      <c r="G136">
        <v>68</v>
      </c>
      <c r="H136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72.534129297977685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1652843.2816102668</v>
      </c>
      <c r="R136" s="3">
        <f>+REG_STOCK[[#This Row],[VALOR UNITARIO]]*REG_STOCK[[#This Row],[STOCK FISICO]]</f>
        <v>1549523.5723830734</v>
      </c>
    </row>
    <row r="137" spans="1:18" hidden="1" x14ac:dyDescent="0.25">
      <c r="A137" s="1">
        <v>46188</v>
      </c>
      <c r="B137">
        <v>1902013</v>
      </c>
      <c r="C137" t="s">
        <v>338</v>
      </c>
      <c r="D137" t="s">
        <v>47</v>
      </c>
      <c r="E137">
        <v>314</v>
      </c>
      <c r="F137">
        <v>0.25</v>
      </c>
      <c r="G137">
        <v>22</v>
      </c>
      <c r="H137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40087.627345844507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881927.80160857912</v>
      </c>
    </row>
    <row r="138" spans="1:18" x14ac:dyDescent="0.25">
      <c r="A138" s="1">
        <v>46195</v>
      </c>
      <c r="B138">
        <v>304007</v>
      </c>
      <c r="C138" t="s">
        <v>80</v>
      </c>
      <c r="D138" t="s">
        <v>18</v>
      </c>
      <c r="E138">
        <v>1288</v>
      </c>
      <c r="F138">
        <v>1</v>
      </c>
      <c r="G138">
        <v>233</v>
      </c>
      <c r="H138" t="str">
        <f>+_xlfn.XLOOKUP(REG_STOCK[[#This Row],[CODIGO]],PRODUCTOS[CODIGO],PRODUCTOS[DESC CORTA],"",0)</f>
        <v>OSB 11MM</v>
      </c>
      <c r="I138" s="76">
        <f>SUMIFS(DETALLE_GD_1[CANTIDAD RECEPCIONADA],DETALLE_GD_1[CODIGO],REG_STOCK[[#This Row],[CODIGO]],DETALLE_GD_1[FECHA SOLICITUD],"&lt;="&amp;REG_STOCK[[#This Row],[FECHA STOCK ]])+97</f>
        <v>1385</v>
      </c>
      <c r="J138">
        <f>+REG_STOCK[[#This Row],[SOLICITADO A TF]]-REG_STOCK[[#This Row],[STOCK FISICO]]</f>
        <v>1152</v>
      </c>
      <c r="K138" s="40">
        <f>+_xlfn.XLOOKUP(REG_STOCK[[#This Row],[CODIGO]],PRODUCTOS[CODIGO],PRODUCTOS[CANT X MODULO],"",0)</f>
        <v>8.6625000000000014</v>
      </c>
      <c r="L138" s="3">
        <f>+REG_STOCK[[#This Row],[CONSUMO]]/REG_STOCK[[#This Row],[CUBICACION PPTO.]]</f>
        <v>132.98701298701297</v>
      </c>
      <c r="M138" s="3">
        <f>+REG_STOCK[[#This Row],[STOCK FISICO]]/REG_STOCK[[#This Row],[CUBICACION PPTO.]]</f>
        <v>26.897546897546892</v>
      </c>
      <c r="N138" s="3">
        <f>+REG_STOCK[[#This Row],[SOLICITADO A TF]]/REG_STOCK[[#This Row],[CUBICACION PPTO.]]</f>
        <v>159.88455988455985</v>
      </c>
      <c r="O138" s="3">
        <f>IF($V$2-REG_STOCK[[#This Row],[ALCANCE FISICO]]&gt;0,"",($V$2-REG_STOCK[[#This Row],[ALCANCE FISICO]]/REG_STOCK[[#This Row],[CUBICACION PPTO.]]))</f>
        <v>91.542907949834358</v>
      </c>
      <c r="P138" s="3">
        <f>+_xlfn.XLOOKUP(REG_STOCK[[#This Row],[CODIGO]],PRODUCTOS[CODIGO],PRODUCTOS[PRECIO COMPRA UNITARIO],"",0)</f>
        <v>11497.288819875776</v>
      </c>
      <c r="Q138" s="3">
        <f>IFERROR(REG_STOCK[[#This Row],[VALOR UNITARIO]]*REG_STOCK[[#This Row],[PERDIDA O EN PROCESO]],"")</f>
        <v>1052495.2521105479</v>
      </c>
      <c r="R138" s="3">
        <f>+REG_STOCK[[#This Row],[VALOR UNITARIO]]*REG_STOCK[[#This Row],[STOCK FISICO]]</f>
        <v>2678868.2950310558</v>
      </c>
    </row>
    <row r="139" spans="1:18" x14ac:dyDescent="0.25">
      <c r="A139" s="1">
        <v>46195</v>
      </c>
      <c r="B139">
        <v>701043</v>
      </c>
      <c r="C139" t="s">
        <v>197</v>
      </c>
      <c r="D139" t="s">
        <v>696</v>
      </c>
      <c r="E139">
        <v>956</v>
      </c>
      <c r="F139">
        <v>0.25</v>
      </c>
      <c r="G139">
        <v>76</v>
      </c>
      <c r="H139" t="str">
        <f>+_xlfn.XLOOKUP(REG_STOCK[[#This Row],[CODIGO]],PRODUCTOS[CODIGO],PRODUCTOS[DESC CORTA],"",0)</f>
        <v>VOLCANITA EMPAPELADA CIELO</v>
      </c>
      <c r="I139" s="76">
        <f>SUMIFS(DETALLE_GD_1[CANTIDAD RECEPCIONADA],DETALLE_GD_1[CODIGO],REG_STOCK[[#This Row],[CODIGO]],DETALLE_GD_1[FECHA SOLICITUD],"&lt;="&amp;REG_STOCK[[#This Row],[FECHA STOCK ]])+97</f>
        <v>1053</v>
      </c>
      <c r="J139">
        <f>+REG_STOCK[[#This Row],[SOLICITADO A TF]]-REG_STOCK[[#This Row],[STOCK FISICO]]</f>
        <v>977</v>
      </c>
      <c r="K139" s="40">
        <f>+_xlfn.XLOOKUP(REG_STOCK[[#This Row],[CODIGO]],PRODUCTOS[CODIGO],PRODUCTOS[CANT X MODULO],"",0)</f>
        <v>7.0875000000000012</v>
      </c>
      <c r="L139" s="3">
        <f>+REG_STOCK[[#This Row],[CONSUMO]]/REG_STOCK[[#This Row],[CUBICACION PPTO.]]</f>
        <v>137.84832451499116</v>
      </c>
      <c r="M139" s="3">
        <f>+REG_STOCK[[#This Row],[STOCK FISICO]]/REG_STOCK[[#This Row],[CUBICACION PPTO.]]</f>
        <v>10.723104056437387</v>
      </c>
      <c r="N139" s="3">
        <f>+REG_STOCK[[#This Row],[SOLICITADO A TF]]/REG_STOCK[[#This Row],[CUBICACION PPTO.]]</f>
        <v>148.57142857142856</v>
      </c>
      <c r="O139" s="3">
        <f>IF($V$2-REG_STOCK[[#This Row],[ALCANCE FISICO]]&gt;0,"",($V$2-REG_STOCK[[#This Row],[ALCANCE FISICO]]/REG_STOCK[[#This Row],[CUBICACION PPTO.]]))</f>
        <v>89.037540942302854</v>
      </c>
      <c r="P139" s="3">
        <f>+_xlfn.XLOOKUP(REG_STOCK[[#This Row],[CODIGO]],PRODUCTOS[CODIGO],PRODUCTOS[PRECIO COMPRA UNITARIO],"",0)</f>
        <v>22537.549256505576</v>
      </c>
      <c r="Q139" s="3">
        <f>IFERROR(REG_STOCK[[#This Row],[VALOR UNITARIO]]*REG_STOCK[[#This Row],[PERDIDA O EN PROCESO]],"")</f>
        <v>2006687.9646652825</v>
      </c>
      <c r="R139" s="3">
        <f>+REG_STOCK[[#This Row],[VALOR UNITARIO]]*REG_STOCK[[#This Row],[STOCK FISICO]]</f>
        <v>1712853.7434944238</v>
      </c>
    </row>
    <row r="140" spans="1:18" x14ac:dyDescent="0.25">
      <c r="A140" s="1">
        <v>46195</v>
      </c>
      <c r="B140">
        <v>302046</v>
      </c>
      <c r="C140" t="s">
        <v>516</v>
      </c>
      <c r="D140" t="s">
        <v>20</v>
      </c>
      <c r="E140">
        <v>4837</v>
      </c>
      <c r="F140">
        <v>0.25</v>
      </c>
      <c r="G140">
        <v>351</v>
      </c>
      <c r="H140" t="str">
        <f>+_xlfn.XLOOKUP(REG_STOCK[[#This Row],[CODIGO]],PRODUCTOS[CODIGO],PRODUCTOS[DESC CORTA],"",0)</f>
        <v>PINO 2X6X400</v>
      </c>
      <c r="I140" s="76">
        <f>SUMIFS(DETALLE_GD_1[CANTIDAD RECEPCIONADA],DETALLE_GD_1[CODIGO],REG_STOCK[[#This Row],[CODIGO]],DETALLE_GD_1[FECHA SOLICITUD],"&lt;="&amp;REG_STOCK[[#This Row],[FECHA STOCK ]])+97</f>
        <v>4934</v>
      </c>
      <c r="J140">
        <f>+REG_STOCK[[#This Row],[SOLICITADO A TF]]-REG_STOCK[[#This Row],[STOCK FISICO]]</f>
        <v>4583</v>
      </c>
      <c r="K140" s="40">
        <f>+_xlfn.XLOOKUP(REG_STOCK[[#This Row],[CODIGO]],PRODUCTOS[CODIGO],PRODUCTOS[CANT X MODULO],"",0)</f>
        <v>34.65</v>
      </c>
      <c r="L140" s="3">
        <f>+REG_STOCK[[#This Row],[CONSUMO]]/REG_STOCK[[#This Row],[CUBICACION PPTO.]]</f>
        <v>132.26551226551226</v>
      </c>
      <c r="M140" s="3">
        <f>+REG_STOCK[[#This Row],[STOCK FISICO]]/REG_STOCK[[#This Row],[CUBICACION PPTO.]]</f>
        <v>10.129870129870131</v>
      </c>
      <c r="N140" s="3">
        <f>+REG_STOCK[[#This Row],[SOLICITADO A TF]]/REG_STOCK[[#This Row],[CUBICACION PPTO.]]</f>
        <v>142.3953823953824</v>
      </c>
      <c r="O140" s="3">
        <f>IF($V$2-REG_STOCK[[#This Row],[ALCANCE FISICO]]&gt;0,"",($V$2-REG_STOCK[[#This Row],[ALCANCE FISICO]]/REG_STOCK[[#This Row],[CUBICACION PPTO.]]))</f>
        <v>105.89046515453441</v>
      </c>
      <c r="P140" s="3">
        <f>+_xlfn.XLOOKUP(REG_STOCK[[#This Row],[CODIGO]],PRODUCTOS[CODIGO],PRODUCTOS[PRECIO COMPRA UNITARIO],"",0)</f>
        <v>10289.047343394666</v>
      </c>
      <c r="Q140" s="3">
        <f>IFERROR(REG_STOCK[[#This Row],[VALOR UNITARIO]]*REG_STOCK[[#This Row],[PERDIDA O EN PROCESO]],"")</f>
        <v>1089512.0091890877</v>
      </c>
      <c r="R140" s="3">
        <f>+REG_STOCK[[#This Row],[VALOR UNITARIO]]*REG_STOCK[[#This Row],[STOCK FISICO]]</f>
        <v>3611455.6175315278</v>
      </c>
    </row>
    <row r="141" spans="1:18" x14ac:dyDescent="0.25">
      <c r="A141" s="1">
        <v>46195</v>
      </c>
      <c r="B141">
        <v>302010</v>
      </c>
      <c r="C141" t="s">
        <v>511</v>
      </c>
      <c r="D141" t="s">
        <v>20</v>
      </c>
      <c r="E141">
        <v>3444</v>
      </c>
      <c r="F141">
        <v>0.25</v>
      </c>
      <c r="G141">
        <v>252</v>
      </c>
      <c r="H141" t="str">
        <f>+_xlfn.XLOOKUP(REG_STOCK[[#This Row],[CODIGO]],PRODUCTOS[CODIGO],PRODUCTOS[DESC CORTA],"",0)</f>
        <v>PINO 2X6X320</v>
      </c>
      <c r="I141" s="76">
        <f>SUMIFS(DETALLE_GD_1[CANTIDAD RECEPCIONADA],DETALLE_GD_1[CODIGO],REG_STOCK[[#This Row],[CODIGO]],DETALLE_GD_1[FECHA SOLICITUD],"&lt;="&amp;REG_STOCK[[#This Row],[FECHA STOCK ]])+97</f>
        <v>3541</v>
      </c>
      <c r="J141">
        <f>+REG_STOCK[[#This Row],[SOLICITADO A TF]]-REG_STOCK[[#This Row],[STOCK FISICO]]</f>
        <v>3289</v>
      </c>
      <c r="K141" s="40">
        <f>+_xlfn.XLOOKUP(REG_STOCK[[#This Row],[CODIGO]],PRODUCTOS[CODIGO],PRODUCTOS[CANT X MODULO],"",0)</f>
        <v>34.912500000000023</v>
      </c>
      <c r="L141" s="3">
        <f>+REG_STOCK[[#This Row],[CONSUMO]]/REG_STOCK[[#This Row],[CUBICACION PPTO.]]</f>
        <v>94.206945936269179</v>
      </c>
      <c r="M141" s="3">
        <f>+REG_STOCK[[#This Row],[STOCK FISICO]]/REG_STOCK[[#This Row],[CUBICACION PPTO.]]</f>
        <v>7.21804511278195</v>
      </c>
      <c r="N141" s="3">
        <f>+REG_STOCK[[#This Row],[SOLICITADO A TF]]/REG_STOCK[[#This Row],[CUBICACION PPTO.]]</f>
        <v>101.42499104905113</v>
      </c>
      <c r="O141" s="3" t="str">
        <f>IF($V$2-REG_STOCK[[#This Row],[ALCANCE FISICO]]&gt;0,"",($V$2-REG_STOCK[[#This Row],[ALCANCE FISICO]]/REG_STOCK[[#This Row],[CUBICACION PPTO.]]))</f>
        <v/>
      </c>
      <c r="P141" s="3">
        <f>+_xlfn.XLOOKUP(REG_STOCK[[#This Row],[CODIGO]],PRODUCTOS[CODIGO],PRODUCTOS[PRECIO COMPRA UNITARIO],"",0)</f>
        <v>5690.5508432539682</v>
      </c>
      <c r="Q141" s="3" t="str">
        <f>IFERROR(REG_STOCK[[#This Row],[VALOR UNITARIO]]*REG_STOCK[[#This Row],[PERDIDA O EN PROCESO]],"")</f>
        <v/>
      </c>
      <c r="R141" s="3">
        <f>+REG_STOCK[[#This Row],[VALOR UNITARIO]]*REG_STOCK[[#This Row],[STOCK FISICO]]</f>
        <v>1434018.8125</v>
      </c>
    </row>
    <row r="142" spans="1:18" x14ac:dyDescent="0.25">
      <c r="A142" s="1">
        <v>46195</v>
      </c>
      <c r="B142">
        <v>1901008</v>
      </c>
      <c r="C142" t="s">
        <v>747</v>
      </c>
      <c r="D142" t="s">
        <v>26</v>
      </c>
      <c r="E142">
        <v>6747</v>
      </c>
      <c r="F142">
        <v>0.25</v>
      </c>
      <c r="G142">
        <v>27</v>
      </c>
      <c r="H142" t="str">
        <f>+_xlfn.XLOOKUP(REG_STOCK[[#This Row],[CODIGO]],PRODUCTOS[CODIGO],PRODUCTOS[DESC CORTA],"",0)</f>
        <v>AISLAN GLASS 90MM</v>
      </c>
      <c r="I142" s="76">
        <f>SUMIFS(DETALLE_GD_1[CANTIDAD RECEPCIONADA],DETALLE_GD_1[CODIGO],REG_STOCK[[#This Row],[CODIGO]],DETALLE_GD_1[FECHA SOLICITUD],"&lt;="&amp;REG_STOCK[[#This Row],[FECHA STOCK ]])+97</f>
        <v>6844</v>
      </c>
      <c r="J142">
        <f>+REG_STOCK[[#This Row],[SOLICITADO A TF]]-REG_STOCK[[#This Row],[STOCK FISICO]]</f>
        <v>6817</v>
      </c>
      <c r="K142" s="40">
        <f>+_xlfn.XLOOKUP(REG_STOCK[[#This Row],[CODIGO]],PRODUCTOS[CODIGO],PRODUCTOS[CANT X MODULO],"",0)</f>
        <v>62.430325650000007</v>
      </c>
      <c r="L142" s="3">
        <f>+REG_STOCK[[#This Row],[CONSUMO]]/REG_STOCK[[#This Row],[CUBICACION PPTO.]]</f>
        <v>109.19372803239573</v>
      </c>
      <c r="M142" s="3">
        <f>+REG_STOCK[[#This Row],[STOCK FISICO]]/REG_STOCK[[#This Row],[CUBICACION PPTO.]]</f>
        <v>0.43248212657689378</v>
      </c>
      <c r="N142" s="3">
        <f>+REG_STOCK[[#This Row],[SOLICITADO A TF]]/REG_STOCK[[#This Row],[CUBICACION PPTO.]]</f>
        <v>109.62621015897263</v>
      </c>
      <c r="O142" s="3" t="str">
        <f>IF($V$2-REG_STOCK[[#This Row],[ALCANCE FISICO]]&gt;0,"",($V$2-REG_STOCK[[#This Row],[ALCANCE FISICO]]/REG_STOCK[[#This Row],[CUBICACION PPTO.]]))</f>
        <v/>
      </c>
      <c r="P142" s="3">
        <f>+_xlfn.XLOOKUP(REG_STOCK[[#This Row],[CODIGO]],PRODUCTOS[CODIGO],PRODUCTOS[PRECIO COMPRA UNITARIO],"",0)</f>
        <v>2062.9827561636025</v>
      </c>
      <c r="Q142" s="3" t="str">
        <f>IFERROR(REG_STOCK[[#This Row],[VALOR UNITARIO]]*REG_STOCK[[#This Row],[PERDIDA O EN PROCESO]],"")</f>
        <v/>
      </c>
      <c r="R142" s="3">
        <f>+REG_STOCK[[#This Row],[VALOR UNITARIO]]*REG_STOCK[[#This Row],[STOCK FISICO]]</f>
        <v>55700.534416417271</v>
      </c>
    </row>
    <row r="143" spans="1:18" x14ac:dyDescent="0.25">
      <c r="A143" s="1">
        <v>46195</v>
      </c>
      <c r="B143">
        <v>304002</v>
      </c>
      <c r="C143" t="s">
        <v>37</v>
      </c>
      <c r="D143" t="s">
        <v>18</v>
      </c>
      <c r="E143">
        <v>2783</v>
      </c>
      <c r="G143">
        <v>112</v>
      </c>
      <c r="H143" t="str">
        <f>+_xlfn.XLOOKUP(REG_STOCK[[#This Row],[CODIGO]],PRODUCTOS[CODIGO],PRODUCTOS[DESC CORTA],"",0)</f>
        <v>SMARTPANEL</v>
      </c>
      <c r="I143" s="76">
        <f>SUMIFS(DETALLE_GD_1[CANTIDAD RECEPCIONADA],DETALLE_GD_1[CODIGO],REG_STOCK[[#This Row],[CODIGO]],DETALLE_GD_1[FECHA SOLICITUD],"&lt;="&amp;REG_STOCK[[#This Row],[FECHA STOCK ]])+97</f>
        <v>3240</v>
      </c>
      <c r="J143">
        <f>+REG_STOCK[[#This Row],[SOLICITADO A TF]]-REG_STOCK[[#This Row],[STOCK FISICO]]</f>
        <v>3128</v>
      </c>
      <c r="K143" s="40">
        <f>+_xlfn.XLOOKUP(REG_STOCK[[#This Row],[CODIGO]],PRODUCTOS[CODIGO],PRODUCTOS[CANT X MODULO],"",0)</f>
        <v>23.296874999999996</v>
      </c>
      <c r="L143" s="3">
        <f>+REG_STOCK[[#This Row],[CONSUMO]]/REG_STOCK[[#This Row],[CUBICACION PPTO.]]</f>
        <v>134.2669349429913</v>
      </c>
      <c r="M143" s="3">
        <f>+REG_STOCK[[#This Row],[STOCK FISICO]]/REG_STOCK[[#This Row],[CUBICACION PPTO.]]</f>
        <v>4.8075117370892029</v>
      </c>
      <c r="N143" s="3">
        <f>+REG_STOCK[[#This Row],[SOLICITADO A TF]]/REG_STOCK[[#This Row],[CUBICACION PPTO.]]</f>
        <v>139.07444668008051</v>
      </c>
      <c r="O143" s="3">
        <f>IF($V$2-REG_STOCK[[#This Row],[ALCANCE FISICO]]&gt;0,"",($V$2-REG_STOCK[[#This Row],[ALCANCE FISICO]]/REG_STOCK[[#This Row],[CUBICACION PPTO.]]))</f>
        <v>104.03033897550291</v>
      </c>
      <c r="P143" s="3">
        <f>+_xlfn.XLOOKUP(REG_STOCK[[#This Row],[CODIGO]],PRODUCTOS[CODIGO],PRODUCTOS[PRECIO COMPRA UNITARIO],"",0)</f>
        <v>21604.880388238653</v>
      </c>
      <c r="Q143" s="3">
        <f>IFERROR(REG_STOCK[[#This Row],[VALOR UNITARIO]]*REG_STOCK[[#This Row],[PERDIDA O EN PROCESO]],"")</f>
        <v>2247563.0303136623</v>
      </c>
      <c r="R143" s="3">
        <f>+REG_STOCK[[#This Row],[VALOR UNITARIO]]*REG_STOCK[[#This Row],[STOCK FISICO]]</f>
        <v>2419746.6034827293</v>
      </c>
    </row>
    <row r="144" spans="1:18" x14ac:dyDescent="0.25">
      <c r="A144" s="1">
        <v>46195</v>
      </c>
      <c r="B144">
        <v>304101</v>
      </c>
      <c r="C144" t="s">
        <v>695</v>
      </c>
      <c r="D144" t="s">
        <v>18</v>
      </c>
      <c r="E144">
        <v>5137</v>
      </c>
      <c r="F144">
        <v>0.25</v>
      </c>
      <c r="G144">
        <v>122</v>
      </c>
      <c r="H144" t="str">
        <f>+_xlfn.XLOOKUP(REG_STOCK[[#This Row],[CODIGO]],PRODUCTOS[CODIGO],PRODUCTOS[DESC CORTA],"",0)</f>
        <v>OSB 9.5</v>
      </c>
      <c r="I144" s="76">
        <f>SUMIFS(DETALLE_GD_1[CANTIDAD RECEPCIONADA],DETALLE_GD_1[CODIGO],REG_STOCK[[#This Row],[CODIGO]],DETALLE_GD_1[FECHA SOLICITUD],"&lt;="&amp;REG_STOCK[[#This Row],[FECHA STOCK ]])+97</f>
        <v>5234</v>
      </c>
      <c r="J144">
        <f>+REG_STOCK[[#This Row],[SOLICITADO A TF]]-REG_STOCK[[#This Row],[STOCK FISICO]]</f>
        <v>5112</v>
      </c>
      <c r="K144" s="40">
        <f>+_xlfn.XLOOKUP(REG_STOCK[[#This Row],[CODIGO]],PRODUCTOS[CODIGO],PRODUCTOS[CANT X MODULO],"",0)</f>
        <v>47.643749999999976</v>
      </c>
      <c r="L144" s="3">
        <f>+REG_STOCK[[#This Row],[CONSUMO]]/REG_STOCK[[#This Row],[CUBICACION PPTO.]]</f>
        <v>107.2963400236128</v>
      </c>
      <c r="M144" s="3">
        <f>+REG_STOCK[[#This Row],[STOCK FISICO]]/REG_STOCK[[#This Row],[CUBICACION PPTO.]]</f>
        <v>2.5606716515807437</v>
      </c>
      <c r="N144" s="3">
        <f>+REG_STOCK[[#This Row],[SOLICITADO A TF]]/REG_STOCK[[#This Row],[CUBICACION PPTO.]]</f>
        <v>109.85701167519355</v>
      </c>
      <c r="O144" s="3" t="str">
        <f>IF($V$2-REG_STOCK[[#This Row],[ALCANCE FISICO]]&gt;0,"",($V$2-REG_STOCK[[#This Row],[ALCANCE FISICO]]/REG_STOCK[[#This Row],[CUBICACION PPTO.]]))</f>
        <v/>
      </c>
      <c r="P144" s="3">
        <f>+_xlfn.XLOOKUP(REG_STOCK[[#This Row],[CODIGO]],PRODUCTOS[CODIGO],PRODUCTOS[PRECIO COMPRA UNITARIO],"",0)</f>
        <v>9649.1185596629002</v>
      </c>
      <c r="Q144" s="3" t="str">
        <f>IFERROR(REG_STOCK[[#This Row],[VALOR UNITARIO]]*REG_STOCK[[#This Row],[PERDIDA O EN PROCESO]],"")</f>
        <v/>
      </c>
      <c r="R144" s="3">
        <f>+REG_STOCK[[#This Row],[VALOR UNITARIO]]*REG_STOCK[[#This Row],[STOCK FISICO]]</f>
        <v>1177192.4642788738</v>
      </c>
    </row>
    <row r="145" spans="1:18" x14ac:dyDescent="0.25">
      <c r="A145" s="1">
        <v>46195</v>
      </c>
      <c r="B145">
        <v>302028</v>
      </c>
      <c r="C145" t="s">
        <v>512</v>
      </c>
      <c r="D145" t="s">
        <v>20</v>
      </c>
      <c r="E145">
        <v>10201</v>
      </c>
      <c r="F145">
        <v>0.5</v>
      </c>
      <c r="G145">
        <v>266</v>
      </c>
      <c r="H145" t="str">
        <f>+_xlfn.XLOOKUP(REG_STOCK[[#This Row],[CODIGO]],PRODUCTOS[CODIGO],PRODUCTOS[DESC CORTA],"",0)</f>
        <v>PINO 2X4X320</v>
      </c>
      <c r="I145" s="76">
        <f>SUMIFS(DETALLE_GD_1[CANTIDAD RECEPCIONADA],DETALLE_GD_1[CODIGO],REG_STOCK[[#This Row],[CODIGO]],DETALLE_GD_1[FECHA SOLICITUD],"&lt;="&amp;REG_STOCK[[#This Row],[FECHA STOCK ]])+97</f>
        <v>10298</v>
      </c>
      <c r="J145">
        <f>+REG_STOCK[[#This Row],[SOLICITADO A TF]]-REG_STOCK[[#This Row],[STOCK FISICO]]</f>
        <v>10032</v>
      </c>
      <c r="K145" s="40">
        <f>+_xlfn.XLOOKUP(REG_STOCK[[#This Row],[CODIGO]],PRODUCTOS[CODIGO],PRODUCTOS[CANT X MODULO],"",0)</f>
        <v>172.72499999999994</v>
      </c>
      <c r="L145" s="3">
        <f>+REG_STOCK[[#This Row],[CONSUMO]]/REG_STOCK[[#This Row],[CUBICACION PPTO.]]</f>
        <v>58.080764220581869</v>
      </c>
      <c r="M145" s="3">
        <f>+REG_STOCK[[#This Row],[STOCK FISICO]]/REG_STOCK[[#This Row],[CUBICACION PPTO.]]</f>
        <v>1.5400202634245193</v>
      </c>
      <c r="N145" s="3">
        <f>+REG_STOCK[[#This Row],[SOLICITADO A TF]]/REG_STOCK[[#This Row],[CUBICACION PPTO.]]</f>
        <v>59.620784484006393</v>
      </c>
      <c r="O145" s="3" t="str">
        <f>IF($V$2-REG_STOCK[[#This Row],[ALCANCE FISICO]]&gt;0,"",($V$2-REG_STOCK[[#This Row],[ALCANCE FISICO]]/REG_STOCK[[#This Row],[CUBICACION PPTO.]]))</f>
        <v/>
      </c>
      <c r="P145" s="3">
        <f>+_xlfn.XLOOKUP(REG_STOCK[[#This Row],[CODIGO]],PRODUCTOS[CODIGO],PRODUCTOS[PRECIO COMPRA UNITARIO],"",0)</f>
        <v>4769.5117820983787</v>
      </c>
      <c r="Q145" s="3" t="str">
        <f>IFERROR(REG_STOCK[[#This Row],[VALOR UNITARIO]]*REG_STOCK[[#This Row],[PERDIDA O EN PROCESO]],"")</f>
        <v/>
      </c>
      <c r="R145" s="3">
        <f>+REG_STOCK[[#This Row],[VALOR UNITARIO]]*REG_STOCK[[#This Row],[STOCK FISICO]]</f>
        <v>1268690.1340381687</v>
      </c>
    </row>
    <row r="146" spans="1:18" x14ac:dyDescent="0.25">
      <c r="A146" s="1">
        <v>46195</v>
      </c>
      <c r="B146">
        <v>304049</v>
      </c>
      <c r="C146" t="s">
        <v>318</v>
      </c>
      <c r="D146" t="s">
        <v>18</v>
      </c>
      <c r="E146">
        <v>2510</v>
      </c>
      <c r="F146">
        <v>0.125</v>
      </c>
      <c r="G146">
        <v>238</v>
      </c>
      <c r="H146" t="str">
        <f>+_xlfn.XLOOKUP(REG_STOCK[[#This Row],[CODIGO]],PRODUCTOS[CODIGO],PRODUCTOS[DESC CORTA],"",0)</f>
        <v>TERCIADO FENOLICO</v>
      </c>
      <c r="I146" s="76">
        <f>SUMIFS(DETALLE_GD_1[CANTIDAD RECEPCIONADA],DETALLE_GD_1[CODIGO],REG_STOCK[[#This Row],[CODIGO]],DETALLE_GD_1[FECHA SOLICITUD],"&lt;="&amp;REG_STOCK[[#This Row],[FECHA STOCK ]])+97</f>
        <v>2607</v>
      </c>
      <c r="J146">
        <f>+REG_STOCK[[#This Row],[SOLICITADO A TF]]-REG_STOCK[[#This Row],[STOCK FISICO]]</f>
        <v>2369</v>
      </c>
      <c r="K146" s="40">
        <f>+_xlfn.XLOOKUP(REG_STOCK[[#This Row],[CODIGO]],PRODUCTOS[CODIGO],PRODUCTOS[CANT X MODULO],"",0)</f>
        <v>23.273250000000008</v>
      </c>
      <c r="L146" s="3">
        <f>+REG_STOCK[[#This Row],[CONSUMO]]/REG_STOCK[[#This Row],[CUBICACION PPTO.]]</f>
        <v>101.79068243584369</v>
      </c>
      <c r="M146" s="3">
        <f>+REG_STOCK[[#This Row],[STOCK FISICO]]/REG_STOCK[[#This Row],[CUBICACION PPTO.]]</f>
        <v>10.226332806977965</v>
      </c>
      <c r="N146" s="3">
        <f>+REG_STOCK[[#This Row],[SOLICITADO A TF]]/REG_STOCK[[#This Row],[CUBICACION PPTO.]]</f>
        <v>112.01701524282166</v>
      </c>
      <c r="O146" s="3">
        <f>IF($V$2-REG_STOCK[[#This Row],[ALCANCE FISICO]]&gt;0,"",($V$2-REG_STOCK[[#This Row],[ALCANCE FISICO]]/REG_STOCK[[#This Row],[CUBICACION PPTO.]]))</f>
        <v>105.18687698354026</v>
      </c>
      <c r="P146" s="3">
        <f>+_xlfn.XLOOKUP(REG_STOCK[[#This Row],[CODIGO]],PRODUCTOS[CODIGO],PRODUCTOS[PRECIO COMPRA UNITARIO],"",0)</f>
        <v>15095.117424242424</v>
      </c>
      <c r="Q146" s="3">
        <f>IFERROR(REG_STOCK[[#This Row],[VALOR UNITARIO]]*REG_STOCK[[#This Row],[PERDIDA O EN PROCESO]],"")</f>
        <v>1587808.259555883</v>
      </c>
      <c r="R146" s="3">
        <f>+REG_STOCK[[#This Row],[VALOR UNITARIO]]*REG_STOCK[[#This Row],[STOCK FISICO]]</f>
        <v>3592637.9469696968</v>
      </c>
    </row>
    <row r="147" spans="1:18" x14ac:dyDescent="0.25">
      <c r="A147" s="1">
        <v>46195</v>
      </c>
      <c r="B147">
        <v>701096</v>
      </c>
      <c r="C147" t="s">
        <v>204</v>
      </c>
      <c r="D147" t="s">
        <v>18</v>
      </c>
      <c r="E147">
        <v>2854</v>
      </c>
      <c r="F147">
        <v>11.25</v>
      </c>
      <c r="G147">
        <v>348</v>
      </c>
      <c r="H147" t="str">
        <f>+_xlfn.XLOOKUP(REG_STOCK[[#This Row],[CODIGO]],PRODUCTOS[CODIGO],PRODUCTOS[DESC CORTA],"",0)</f>
        <v>VOCANITA EMPAPELADA MURO</v>
      </c>
      <c r="I147" s="76">
        <f>SUMIFS(DETALLE_GD_1[CANTIDAD RECEPCIONADA],DETALLE_GD_1[CODIGO],REG_STOCK[[#This Row],[CODIGO]],DETALLE_GD_1[FECHA SOLICITUD],"&lt;="&amp;REG_STOCK[[#This Row],[FECHA STOCK ]])+97</f>
        <v>2951</v>
      </c>
      <c r="J147">
        <f>+REG_STOCK[[#This Row],[SOLICITADO A TF]]-REG_STOCK[[#This Row],[STOCK FISICO]]</f>
        <v>2603</v>
      </c>
      <c r="K147" s="40">
        <f>+_xlfn.XLOOKUP(REG_STOCK[[#This Row],[CODIGO]],PRODUCTOS[CODIGO],PRODUCTOS[CANT X MODULO],"",0)</f>
        <v>31.237499999999997</v>
      </c>
      <c r="L147" s="3">
        <f>+REG_STOCK[[#This Row],[CONSUMO]]/REG_STOCK[[#This Row],[CUBICACION PPTO.]]</f>
        <v>83.329331732693092</v>
      </c>
      <c r="M147" s="3">
        <f>+REG_STOCK[[#This Row],[STOCK FISICO]]/REG_STOCK[[#This Row],[CUBICACION PPTO.]]</f>
        <v>11.14045618247299</v>
      </c>
      <c r="N147" s="3">
        <f>+REG_STOCK[[#This Row],[SOLICITADO A TF]]/REG_STOCK[[#This Row],[CUBICACION PPTO.]]</f>
        <v>94.46978791516608</v>
      </c>
      <c r="O147" s="3" t="str">
        <f>IF($V$2-REG_STOCK[[#This Row],[ALCANCE FISICO]]&gt;0,"",($V$2-REG_STOCK[[#This Row],[ALCANCE FISICO]]/REG_STOCK[[#This Row],[CUBICACION PPTO.]]))</f>
        <v/>
      </c>
      <c r="P147" s="3">
        <f>+_xlfn.XLOOKUP(REG_STOCK[[#This Row],[CODIGO]],PRODUCTOS[CODIGO],PRODUCTOS[PRECIO COMPRA UNITARIO],"",0)</f>
        <v>16231.199726402188</v>
      </c>
      <c r="Q147" s="3" t="str">
        <f>IFERROR(REG_STOCK[[#This Row],[VALOR UNITARIO]]*REG_STOCK[[#This Row],[PERDIDA O EN PROCESO]],"")</f>
        <v/>
      </c>
      <c r="R147" s="3">
        <f>+REG_STOCK[[#This Row],[VALOR UNITARIO]]*REG_STOCK[[#This Row],[STOCK FISICO]]</f>
        <v>5648457.504787962</v>
      </c>
    </row>
    <row r="148" spans="1:18" x14ac:dyDescent="0.25">
      <c r="A148" s="1">
        <v>46195</v>
      </c>
      <c r="B148">
        <v>701040</v>
      </c>
      <c r="C148" t="s">
        <v>19</v>
      </c>
      <c r="D148" t="s">
        <v>18</v>
      </c>
      <c r="E148">
        <v>1055</v>
      </c>
      <c r="F148">
        <v>11.25</v>
      </c>
      <c r="G148">
        <v>72</v>
      </c>
      <c r="H148" t="str">
        <f>+_xlfn.XLOOKUP(REG_STOCK[[#This Row],[CODIGO]],PRODUCTOS[CODIGO],PRODUCTOS[DESC CORTA],"",0)</f>
        <v>VOLCANITA RF</v>
      </c>
      <c r="I148" s="76">
        <f>SUMIFS(DETALLE_GD_1[CANTIDAD RECEPCIONADA],DETALLE_GD_1[CODIGO],REG_STOCK[[#This Row],[CODIGO]],DETALLE_GD_1[FECHA SOLICITUD],"&lt;="&amp;REG_STOCK[[#This Row],[FECHA STOCK ]])+97</f>
        <v>1152</v>
      </c>
      <c r="J148">
        <f>+REG_STOCK[[#This Row],[SOLICITADO A TF]]-REG_STOCK[[#This Row],[STOCK FISICO]]</f>
        <v>1080</v>
      </c>
      <c r="K148" s="40">
        <f>+_xlfn.XLOOKUP(REG_STOCK[[#This Row],[CODIGO]],PRODUCTOS[CODIGO],PRODUCTOS[CANT X MODULO],"",0)</f>
        <v>4.2840000000000007</v>
      </c>
      <c r="L148" s="3">
        <f>+REG_STOCK[[#This Row],[CONSUMO]]/REG_STOCK[[#This Row],[CUBICACION PPTO.]]</f>
        <v>252.10084033613441</v>
      </c>
      <c r="M148" s="3">
        <f>+REG_STOCK[[#This Row],[STOCK FISICO]]/REG_STOCK[[#This Row],[CUBICACION PPTO.]]</f>
        <v>16.806722689075627</v>
      </c>
      <c r="N148" s="3">
        <f>+REG_STOCK[[#This Row],[SOLICITADO A TF]]/REG_STOCK[[#This Row],[CUBICACION PPTO.]]</f>
        <v>268.90756302521004</v>
      </c>
      <c r="O148" s="3">
        <f>IF($V$2-REG_STOCK[[#This Row],[ALCANCE FISICO]]&gt;0,"",($V$2-REG_STOCK[[#This Row],[ALCANCE FISICO]]/REG_STOCK[[#This Row],[CUBICACION PPTO.]]))</f>
        <v>47.22979387833567</v>
      </c>
      <c r="P148" s="3">
        <f>+_xlfn.XLOOKUP(REG_STOCK[[#This Row],[CODIGO]],PRODUCTOS[CODIGO],PRODUCTOS[PRECIO COMPRA UNITARIO],"",0)</f>
        <v>7627.9022026431721</v>
      </c>
      <c r="Q148" s="3">
        <f>IFERROR(REG_STOCK[[#This Row],[VALOR UNITARIO]]*REG_STOCK[[#This Row],[PERDIDA O EN PROCESO]],"")</f>
        <v>360264.24875493965</v>
      </c>
      <c r="R148" s="3">
        <f>+REG_STOCK[[#This Row],[VALOR UNITARIO]]*REG_STOCK[[#This Row],[STOCK FISICO]]</f>
        <v>549208.95859030844</v>
      </c>
    </row>
    <row r="149" spans="1:18" x14ac:dyDescent="0.25">
      <c r="A149" s="1">
        <v>46195</v>
      </c>
      <c r="B149">
        <v>1902003</v>
      </c>
      <c r="C149" t="s">
        <v>155</v>
      </c>
      <c r="D149" t="s">
        <v>47</v>
      </c>
      <c r="E149">
        <v>93</v>
      </c>
      <c r="F149">
        <v>0.375</v>
      </c>
      <c r="G149">
        <v>8</v>
      </c>
      <c r="H149">
        <f>+_xlfn.XLOOKUP(REG_STOCK[[#This Row],[CODIGO]],PRODUCTOS[CODIGO],PRODUCTOS[DESC CORTA],"",0)</f>
        <v>0</v>
      </c>
      <c r="I149" s="76">
        <f>SUMIFS(DETALLE_GD_1[CANTIDAD RECEPCIONADA],DETALLE_GD_1[CODIGO],REG_STOCK[[#This Row],[CODIGO]],DETALLE_GD_1[FECHA SOLICITUD],"&lt;="&amp;REG_STOCK[[#This Row],[FECHA STOCK ]])+97</f>
        <v>206</v>
      </c>
      <c r="J149">
        <f>+REG_STOCK[[#This Row],[SOLICITADO A TF]]-REG_STOCK[[#This Row],[STOCK FISICO]]</f>
        <v>198</v>
      </c>
      <c r="K149" s="40">
        <f>+_xlfn.XLOOKUP(REG_STOCK[[#This Row],[CODIGO]],PRODUCTOS[CODIGO],PRODUCTOS[CANT X MODULO],"",0)</f>
        <v>0.41466600000000009</v>
      </c>
      <c r="L149" s="3">
        <f>+REG_STOCK[[#This Row],[CONSUMO]]/REG_STOCK[[#This Row],[CUBICACION PPTO.]]</f>
        <v>477.49272908798878</v>
      </c>
      <c r="M149" s="3">
        <f>+REG_STOCK[[#This Row],[STOCK FISICO]]/REG_STOCK[[#This Row],[CUBICACION PPTO.]]</f>
        <v>19.292635518706618</v>
      </c>
      <c r="N149" s="3">
        <f>+REG_STOCK[[#This Row],[SOLICITADO A TF]]/REG_STOCK[[#This Row],[CUBICACION PPTO.]]</f>
        <v>496.7853646066954</v>
      </c>
      <c r="O149" s="3">
        <f>IF($V$2-REG_STOCK[[#This Row],[ALCANCE FISICO]]&gt;0,"",($V$2-REG_STOCK[[#This Row],[ALCANCE FISICO]]/REG_STOCK[[#This Row],[CUBICACION PPTO.]]))</f>
        <v>-1088.0373712980936</v>
      </c>
      <c r="P149" s="3">
        <f>+_xlfn.XLOOKUP(REG_STOCK[[#This Row],[CODIGO]],PRODUCTOS[CODIGO],PRODUCTOS[PRECIO COMPRA UNITARIO],"",0)</f>
        <v>150758.376146789</v>
      </c>
      <c r="Q149" s="3">
        <f>IFERROR(REG_STOCK[[#This Row],[VALOR UNITARIO]]*REG_STOCK[[#This Row],[PERDIDA O EN PROCESO]],"")</f>
        <v>-164030747.28392151</v>
      </c>
      <c r="R149" s="3">
        <f>+REG_STOCK[[#This Row],[VALOR UNITARIO]]*REG_STOCK[[#This Row],[STOCK FISICO]]</f>
        <v>1206067.009174312</v>
      </c>
    </row>
    <row r="150" spans="1:18" x14ac:dyDescent="0.25">
      <c r="A150" s="1">
        <v>46195</v>
      </c>
      <c r="B150" t="s">
        <v>21</v>
      </c>
      <c r="C150" t="s">
        <v>785</v>
      </c>
      <c r="D150" t="s">
        <v>20</v>
      </c>
      <c r="E150">
        <v>888</v>
      </c>
      <c r="F150">
        <v>0</v>
      </c>
      <c r="G150">
        <v>89</v>
      </c>
      <c r="H150" t="str">
        <f>+_xlfn.XLOOKUP(REG_STOCK[[#This Row],[CODIGO]],PRODUCTOS[CODIGO],PRODUCTOS[DESC CORTA],"",0)</f>
        <v>PINO 3X8X320</v>
      </c>
      <c r="I150" s="76">
        <f>SUMIFS(DETALLE_GD_1[CANTIDAD RECEPCIONADA],DETALLE_GD_1[CODIGO],REG_STOCK[[#This Row],[CODIGO]],DETALLE_GD_1[FECHA SOLICITUD],"&lt;="&amp;REG_STOCK[[#This Row],[FECHA STOCK ]])+97</f>
        <v>985</v>
      </c>
      <c r="J150">
        <f>+REG_STOCK[[#This Row],[SOLICITADO A TF]]-REG_STOCK[[#This Row],[STOCK FISICO]]</f>
        <v>896</v>
      </c>
      <c r="K150" s="40">
        <f>+_xlfn.XLOOKUP(REG_STOCK[[#This Row],[CODIGO]],PRODUCTOS[CODIGO],PRODUCTOS[CANT X MODULO],"",0)</f>
        <v>6.3000000000000007</v>
      </c>
      <c r="L150" s="3">
        <f>+REG_STOCK[[#This Row],[CONSUMO]]/REG_STOCK[[#This Row],[CUBICACION PPTO.]]</f>
        <v>142.2222222222222</v>
      </c>
      <c r="M150" s="3">
        <f>+REG_STOCK[[#This Row],[STOCK FISICO]]/REG_STOCK[[#This Row],[CUBICACION PPTO.]]</f>
        <v>14.126984126984125</v>
      </c>
      <c r="N150" s="3">
        <f>+REG_STOCK[[#This Row],[SOLICITADO A TF]]/REG_STOCK[[#This Row],[CUBICACION PPTO.]]</f>
        <v>156.34920634920633</v>
      </c>
      <c r="O150" s="3">
        <f>IF($V$2-REG_STOCK[[#This Row],[ALCANCE FISICO]]&gt;0,"",($V$2-REG_STOCK[[#This Row],[ALCANCE FISICO]]/REG_STOCK[[#This Row],[CUBICACION PPTO.]]))</f>
        <v>85.182665658856138</v>
      </c>
      <c r="P150" s="3">
        <f>+_xlfn.XLOOKUP(REG_STOCK[[#This Row],[CODIGO]],PRODUCTOS[CODIGO],PRODUCTOS[PRECIO COMPRA UNITARIO],"",0)</f>
        <v>15443.519144144144</v>
      </c>
      <c r="Q150" s="3">
        <f>IFERROR(REG_STOCK[[#This Row],[VALOR UNITARIO]]*REG_STOCK[[#This Row],[PERDIDA O EN PROCESO]],"")</f>
        <v>1315520.1278517747</v>
      </c>
      <c r="R150" s="3">
        <f>+REG_STOCK[[#This Row],[VALOR UNITARIO]]*REG_STOCK[[#This Row],[STOCK FISICO]]</f>
        <v>1374473.2038288289</v>
      </c>
    </row>
    <row r="151" spans="1:18" x14ac:dyDescent="0.25">
      <c r="A151" s="1">
        <v>46195</v>
      </c>
      <c r="B151">
        <v>701084</v>
      </c>
      <c r="C151" t="s">
        <v>38</v>
      </c>
      <c r="D151" t="s">
        <v>18</v>
      </c>
      <c r="E151">
        <v>132</v>
      </c>
      <c r="F151">
        <v>0</v>
      </c>
      <c r="G151">
        <v>35</v>
      </c>
      <c r="H151" t="str">
        <f>+_xlfn.XLOOKUP(REG_STOCK[[#This Row],[CODIGO]],PRODUCTOS[CODIGO],PRODUCTOS[DESC CORTA],"",0)</f>
        <v>FIBROCEMENTO BALCON</v>
      </c>
      <c r="I151" s="76">
        <f>SUMIFS(DETALLE_GD_1[CANTIDAD RECEPCIONADA],DETALLE_GD_1[CODIGO],REG_STOCK[[#This Row],[CODIGO]],DETALLE_GD_1[FECHA SOLICITUD],"&lt;="&amp;REG_STOCK[[#This Row],[FECHA STOCK ]])+97</f>
        <v>229</v>
      </c>
      <c r="J151">
        <f>+REG_STOCK[[#This Row],[SOLICITADO A TF]]-REG_STOCK[[#This Row],[STOCK FISICO]]</f>
        <v>194</v>
      </c>
      <c r="K151" s="40">
        <f>+_xlfn.XLOOKUP(REG_STOCK[[#This Row],[CODIGO]],PRODUCTOS[CODIGO],PRODUCTOS[CANT X MODULO],"",0)</f>
        <v>0.69825000000000004</v>
      </c>
      <c r="L151" s="3">
        <f>+REG_STOCK[[#This Row],[CONSUMO]]/REG_STOCK[[#This Row],[CUBICACION PPTO.]]</f>
        <v>277.83745076978158</v>
      </c>
      <c r="M151" s="3">
        <f>+REG_STOCK[[#This Row],[STOCK FISICO]]/REG_STOCK[[#This Row],[CUBICACION PPTO.]]</f>
        <v>50.125313283208015</v>
      </c>
      <c r="N151" s="3">
        <f>+REG_STOCK[[#This Row],[SOLICITADO A TF]]/REG_STOCK[[#This Row],[CUBICACION PPTO.]]</f>
        <v>327.9627640529896</v>
      </c>
      <c r="O151" s="3">
        <f>IF($V$2-REG_STOCK[[#This Row],[ALCANCE FISICO]]&gt;0,"",($V$2-REG_STOCK[[#This Row],[ALCANCE FISICO]]/REG_STOCK[[#This Row],[CUBICACION PPTO.]]))</f>
        <v>-359.69246552522674</v>
      </c>
      <c r="P151" s="3">
        <f>+_xlfn.XLOOKUP(REG_STOCK[[#This Row],[CODIGO]],PRODUCTOS[CODIGO],PRODUCTOS[PRECIO COMPRA UNITARIO],"",0)</f>
        <v>39468.96212121212</v>
      </c>
      <c r="Q151" s="3">
        <f>IFERROR(REG_STOCK[[#This Row],[VALOR UNITARIO]]*REG_STOCK[[#This Row],[PERDIDA O EN PROCESO]],"")</f>
        <v>-14196688.29710057</v>
      </c>
      <c r="R151" s="3">
        <f>+REG_STOCK[[#This Row],[VALOR UNITARIO]]*REG_STOCK[[#This Row],[STOCK FISICO]]</f>
        <v>1381413.6742424243</v>
      </c>
    </row>
    <row r="152" spans="1:18" x14ac:dyDescent="0.25">
      <c r="A152" s="1">
        <v>46195</v>
      </c>
      <c r="B152">
        <v>5309018</v>
      </c>
      <c r="C152" t="s">
        <v>112</v>
      </c>
      <c r="D152" t="s">
        <v>26</v>
      </c>
      <c r="E152">
        <v>3700</v>
      </c>
      <c r="F152">
        <v>0.75</v>
      </c>
      <c r="G152">
        <v>4</v>
      </c>
      <c r="H152">
        <f>+_xlfn.XLOOKUP(REG_STOCK[[#This Row],[CODIGO]],PRODUCTOS[CODIGO],PRODUCTOS[DESC CORTA],"",0)</f>
        <v>0</v>
      </c>
      <c r="I152" s="76">
        <f>SUMIFS(DETALLE_GD_1[CANTIDAD RECEPCIONADA],DETALLE_GD_1[CODIGO],REG_STOCK[[#This Row],[CODIGO]],DETALLE_GD_1[FECHA SOLICITUD],"&lt;="&amp;REG_STOCK[[#This Row],[FECHA STOCK ]])+97</f>
        <v>3797</v>
      </c>
      <c r="J152">
        <f>+REG_STOCK[[#This Row],[SOLICITADO A TF]]-REG_STOCK[[#This Row],[STOCK FISICO]]</f>
        <v>3793</v>
      </c>
      <c r="K152" s="40">
        <f>+_xlfn.XLOOKUP(REG_STOCK[[#This Row],[CODIGO]],PRODUCTOS[CODIGO],PRODUCTOS[CANT X MODULO],"",0)</f>
        <v>34.649999999999991</v>
      </c>
      <c r="L152" s="3">
        <f>+REG_STOCK[[#This Row],[CONSUMO]]/REG_STOCK[[#This Row],[CUBICACION PPTO.]]</f>
        <v>109.4660894660895</v>
      </c>
      <c r="M152" s="3">
        <f>+REG_STOCK[[#This Row],[STOCK FISICO]]/REG_STOCK[[#This Row],[CUBICACION PPTO.]]</f>
        <v>0.11544011544011547</v>
      </c>
      <c r="N152" s="3">
        <f>+REG_STOCK[[#This Row],[SOLICITADO A TF]]/REG_STOCK[[#This Row],[CUBICACION PPTO.]]</f>
        <v>109.58152958152961</v>
      </c>
      <c r="O152" s="3" t="str">
        <f>IF($V$2-REG_STOCK[[#This Row],[ALCANCE FISICO]]&gt;0,"",($V$2-REG_STOCK[[#This Row],[ALCANCE FISICO]]/REG_STOCK[[#This Row],[CUBICACION PPTO.]]))</f>
        <v/>
      </c>
      <c r="P152" s="3">
        <f>+_xlfn.XLOOKUP(REG_STOCK[[#This Row],[CODIGO]],PRODUCTOS[CODIGO],PRODUCTOS[PRECIO COMPRA UNITARIO],"",0)</f>
        <v>707.86891891891889</v>
      </c>
      <c r="Q152" s="3" t="str">
        <f>IFERROR(REG_STOCK[[#This Row],[VALOR UNITARIO]]*REG_STOCK[[#This Row],[PERDIDA O EN PROCESO]],"")</f>
        <v/>
      </c>
      <c r="R152" s="3">
        <f>+REG_STOCK[[#This Row],[VALOR UNITARIO]]*REG_STOCK[[#This Row],[STOCK FISICO]]</f>
        <v>2831.4756756756756</v>
      </c>
    </row>
    <row r="153" spans="1:18" x14ac:dyDescent="0.25">
      <c r="A153" s="1">
        <v>46195</v>
      </c>
      <c r="B153">
        <v>1902014</v>
      </c>
      <c r="C153" t="s">
        <v>316</v>
      </c>
      <c r="D153" t="s">
        <v>18</v>
      </c>
      <c r="E153">
        <v>520</v>
      </c>
      <c r="F153">
        <v>0</v>
      </c>
      <c r="G153">
        <v>59</v>
      </c>
      <c r="H153" t="str">
        <f>+_xlfn.XLOOKUP(REG_STOCK[[#This Row],[CODIGO]],PRODUCTOS[CODIGO],PRODUCTOS[DESC CORTA],"",0)</f>
        <v>VOLCOGLASS</v>
      </c>
      <c r="I153" s="76">
        <f>SUMIFS(DETALLE_GD_1[CANTIDAD RECEPCIONADA],DETALLE_GD_1[CODIGO],REG_STOCK[[#This Row],[CODIGO]],DETALLE_GD_1[FECHA SOLICITUD],"&lt;="&amp;REG_STOCK[[#This Row],[FECHA STOCK ]])+97</f>
        <v>617</v>
      </c>
      <c r="J153">
        <f>+REG_STOCK[[#This Row],[SOLICITADO A TF]]-REG_STOCK[[#This Row],[STOCK FISICO]]</f>
        <v>558</v>
      </c>
      <c r="K153" s="40">
        <f>+_xlfn.XLOOKUP(REG_STOCK[[#This Row],[CODIGO]],PRODUCTOS[CODIGO],PRODUCTOS[CANT X MODULO],"",0)</f>
        <v>5.5125000000000002</v>
      </c>
      <c r="L153" s="3">
        <f>+REG_STOCK[[#This Row],[CONSUMO]]/REG_STOCK[[#This Row],[CUBICACION PPTO.]]</f>
        <v>101.22448979591836</v>
      </c>
      <c r="M153" s="3">
        <f>+REG_STOCK[[#This Row],[STOCK FISICO]]/REG_STOCK[[#This Row],[CUBICACION PPTO.]]</f>
        <v>10.702947845804989</v>
      </c>
      <c r="N153" s="3">
        <f>+REG_STOCK[[#This Row],[SOLICITADO A TF]]/REG_STOCK[[#This Row],[CUBICACION PPTO.]]</f>
        <v>111.92743764172336</v>
      </c>
      <c r="O153" s="3">
        <f>IF($V$2-REG_STOCK[[#This Row],[ALCANCE FISICO]]&gt;0,"",($V$2-REG_STOCK[[#This Row],[ALCANCE FISICO]]/REG_STOCK[[#This Row],[CUBICACION PPTO.]]))</f>
        <v>89.695702922136348</v>
      </c>
      <c r="P153" s="3">
        <f>+_xlfn.XLOOKUP(REG_STOCK[[#This Row],[CODIGO]],PRODUCTOS[CODIGO],PRODUCTOS[PRECIO COMPRA UNITARIO],"",0)</f>
        <v>29799.757692307692</v>
      </c>
      <c r="Q153" s="3">
        <f>IFERROR(REG_STOCK[[#This Row],[VALOR UNITARIO]]*REG_STOCK[[#This Row],[PERDIDA O EN PROCESO]],"")</f>
        <v>2672910.2131208782</v>
      </c>
      <c r="R153" s="3">
        <f>+REG_STOCK[[#This Row],[VALOR UNITARIO]]*REG_STOCK[[#This Row],[STOCK FISICO]]</f>
        <v>1758185.7038461538</v>
      </c>
    </row>
    <row r="154" spans="1:18" x14ac:dyDescent="0.25">
      <c r="A154" s="1">
        <v>46195</v>
      </c>
      <c r="B154">
        <v>302054</v>
      </c>
      <c r="C154" t="s">
        <v>356</v>
      </c>
      <c r="D154" t="s">
        <v>20</v>
      </c>
      <c r="E154">
        <v>15936</v>
      </c>
      <c r="G154">
        <v>0</v>
      </c>
      <c r="H154">
        <f>+_xlfn.XLOOKUP(REG_STOCK[[#This Row],[CODIGO]],PRODUCTOS[CODIGO],PRODUCTOS[DESC CORTA],"",0)</f>
        <v>0</v>
      </c>
      <c r="I154" s="76">
        <f>SUMIFS(DETALLE_GD_1[CANTIDAD RECEPCIONADA],DETALLE_GD_1[CODIGO],REG_STOCK[[#This Row],[CODIGO]],DETALLE_GD_1[FECHA SOLICITUD],"&lt;="&amp;REG_STOCK[[#This Row],[FECHA STOCK ]])+97</f>
        <v>16033</v>
      </c>
      <c r="J154">
        <f>+REG_STOCK[[#This Row],[SOLICITADO A TF]]-REG_STOCK[[#This Row],[STOCK FISICO]]</f>
        <v>16033</v>
      </c>
      <c r="K154" s="40">
        <f>+_xlfn.XLOOKUP(REG_STOCK[[#This Row],[CODIGO]],PRODUCTOS[CODIGO],PRODUCTOS[CANT X MODULO],"",0)</f>
        <v>34.543750000000003</v>
      </c>
      <c r="L154" s="3">
        <f>+REG_STOCK[[#This Row],[CONSUMO]]/REG_STOCK[[#This Row],[CUBICACION PPTO.]]</f>
        <v>464.13605934503346</v>
      </c>
      <c r="M154" s="3">
        <f>+REG_STOCK[[#This Row],[STOCK FISICO]]/REG_STOCK[[#This Row],[CUBICACION PPTO.]]</f>
        <v>0</v>
      </c>
      <c r="N154" s="3">
        <f>+REG_STOCK[[#This Row],[SOLICITADO A TF]]/REG_STOCK[[#This Row],[CUBICACION PPTO.]]</f>
        <v>464.13605934503346</v>
      </c>
      <c r="O154" s="3">
        <f>IF($V$2-REG_STOCK[[#This Row],[ALCANCE FISICO]]&gt;0,"",($V$2-REG_STOCK[[#This Row],[ALCANCE FISICO]]/REG_STOCK[[#This Row],[CUBICACION PPTO.]]))</f>
        <v>96.563819523212345</v>
      </c>
      <c r="P154" s="3">
        <f>+_xlfn.XLOOKUP(REG_STOCK[[#This Row],[CODIGO]],PRODUCTOS[CODIGO],PRODUCTOS[PRECIO COMPRA UNITARIO],"",0)</f>
        <v>4843.5655884995504</v>
      </c>
      <c r="Q154" s="3">
        <f>IFERROR(REG_STOCK[[#This Row],[VALOR UNITARIO]]*REG_STOCK[[#This Row],[PERDIDA O EN PROCESO]],"")</f>
        <v>467713.19333671237</v>
      </c>
      <c r="R154" s="3">
        <f>+REG_STOCK[[#This Row],[VALOR UNITARIO]]*REG_STOCK[[#This Row],[STOCK FISICO]]</f>
        <v>0</v>
      </c>
    </row>
    <row r="155" spans="1:18" x14ac:dyDescent="0.25">
      <c r="A155" s="1">
        <v>46195</v>
      </c>
      <c r="B155">
        <v>302048</v>
      </c>
      <c r="C155" t="s">
        <v>126</v>
      </c>
      <c r="D155" t="s">
        <v>20</v>
      </c>
      <c r="E155">
        <v>2814</v>
      </c>
      <c r="F155">
        <v>0.125</v>
      </c>
      <c r="G155">
        <v>96</v>
      </c>
      <c r="H155" t="str">
        <f>+_xlfn.XLOOKUP(REG_STOCK[[#This Row],[CODIGO]],PRODUCTOS[CODIGO],PRODUCTOS[DESC CORTA],"",0)</f>
        <v>PINO 2X8X4</v>
      </c>
      <c r="I155" s="76">
        <f>SUMIFS(DETALLE_GD_1[CANTIDAD RECEPCIONADA],DETALLE_GD_1[CODIGO],REG_STOCK[[#This Row],[CODIGO]],DETALLE_GD_1[FECHA SOLICITUD],"&lt;="&amp;REG_STOCK[[#This Row],[FECHA STOCK ]])+97</f>
        <v>2911</v>
      </c>
      <c r="J155">
        <f>+REG_STOCK[[#This Row],[SOLICITADO A TF]]-REG_STOCK[[#This Row],[STOCK FISICO]]</f>
        <v>2815</v>
      </c>
      <c r="K155" s="40">
        <f>+_xlfn.XLOOKUP(REG_STOCK[[#This Row],[CODIGO]],PRODUCTOS[CODIGO],PRODUCTOS[CANT X MODULO],"",0)</f>
        <v>35.174999999999997</v>
      </c>
      <c r="L155" s="3">
        <f>+REG_STOCK[[#This Row],[CONSUMO]]/REG_STOCK[[#This Row],[CUBICACION PPTO.]]</f>
        <v>80.02842928216063</v>
      </c>
      <c r="M155" s="3">
        <f>+REG_STOCK[[#This Row],[STOCK FISICO]]/REG_STOCK[[#This Row],[CUBICACION PPTO.]]</f>
        <v>2.729211087420043</v>
      </c>
      <c r="N155" s="3">
        <f>+REG_STOCK[[#This Row],[SOLICITADO A TF]]/REG_STOCK[[#This Row],[CUBICACION PPTO.]]</f>
        <v>82.75764036958067</v>
      </c>
      <c r="O155" s="3" t="str">
        <f>IF($V$2-REG_STOCK[[#This Row],[ALCANCE FISICO]]&gt;0,"",($V$2-REG_STOCK[[#This Row],[ALCANCE FISICO]]/REG_STOCK[[#This Row],[CUBICACION PPTO.]]))</f>
        <v/>
      </c>
      <c r="P155" s="3">
        <f>+_xlfn.XLOOKUP(REG_STOCK[[#This Row],[CODIGO]],PRODUCTOS[CODIGO],PRODUCTOS[PRECIO COMPRA UNITARIO],"",0)</f>
        <v>13769.264887063655</v>
      </c>
      <c r="Q155" s="3" t="str">
        <f>IFERROR(REG_STOCK[[#This Row],[VALOR UNITARIO]]*REG_STOCK[[#This Row],[PERDIDA O EN PROCESO]],"")</f>
        <v/>
      </c>
      <c r="R155" s="3">
        <f>+REG_STOCK[[#This Row],[VALOR UNITARIO]]*REG_STOCK[[#This Row],[STOCK FISICO]]</f>
        <v>1321849.4291581109</v>
      </c>
    </row>
    <row r="156" spans="1:18" x14ac:dyDescent="0.25">
      <c r="A156" s="1">
        <v>46195</v>
      </c>
      <c r="B156">
        <v>705028</v>
      </c>
      <c r="C156" t="s">
        <v>72</v>
      </c>
      <c r="D156" t="s">
        <v>18</v>
      </c>
      <c r="E156">
        <v>449</v>
      </c>
      <c r="G156">
        <v>53</v>
      </c>
      <c r="H156" t="str">
        <f>+_xlfn.XLOOKUP(REG_STOCK[[#This Row],[CODIGO]],PRODUCTOS[CODIGO],PRODUCTOS[DESC CORTA],"",0)</f>
        <v>SIMPLISIMA</v>
      </c>
      <c r="I156" s="76">
        <f>SUMIFS(DETALLE_GD_1[CANTIDAD RECEPCIONADA],DETALLE_GD_1[CODIGO],REG_STOCK[[#This Row],[CODIGO]],DETALLE_GD_1[FECHA SOLICITUD],"&lt;="&amp;REG_STOCK[[#This Row],[FECHA STOCK ]])+97</f>
        <v>546</v>
      </c>
      <c r="J156">
        <f>+REG_STOCK[[#This Row],[SOLICITADO A TF]]-REG_STOCK[[#This Row],[STOCK FISICO]]</f>
        <v>493</v>
      </c>
      <c r="K156" s="40">
        <f>+_xlfn.XLOOKUP(REG_STOCK[[#This Row],[CODIGO]],PRODUCTOS[CODIGO],PRODUCTOS[CANT X MODULO],"",0)</f>
        <v>3.6749999999999998</v>
      </c>
      <c r="L156" s="3">
        <f>+REG_STOCK[[#This Row],[CONSUMO]]/REG_STOCK[[#This Row],[CUBICACION PPTO.]]</f>
        <v>134.14965986394557</v>
      </c>
      <c r="M156" s="3">
        <f>+REG_STOCK[[#This Row],[STOCK FISICO]]/REG_STOCK[[#This Row],[CUBICACION PPTO.]]</f>
        <v>14.421768707482993</v>
      </c>
      <c r="N156" s="3">
        <f>+REG_STOCK[[#This Row],[SOLICITADO A TF]]/REG_STOCK[[#This Row],[CUBICACION PPTO.]]</f>
        <v>148.57142857142858</v>
      </c>
      <c r="O156" s="3">
        <f>IF($V$2-REG_STOCK[[#This Row],[ALCANCE FISICO]]&gt;0,"",($V$2-REG_STOCK[[#This Row],[ALCANCE FISICO]]/REG_STOCK[[#This Row],[CUBICACION PPTO.]]))</f>
        <v>69.572400388726919</v>
      </c>
      <c r="P156" s="3">
        <f>+_xlfn.XLOOKUP(REG_STOCK[[#This Row],[CODIGO]],PRODUCTOS[CODIGO],PRODUCTOS[PRECIO COMPRA UNITARIO],"",0)</f>
        <v>22787.11135857461</v>
      </c>
      <c r="Q156" s="3">
        <f>IFERROR(REG_STOCK[[#This Row],[VALOR UNITARIO]]*REG_STOCK[[#This Row],[PERDIDA O EN PROCESO]],"")</f>
        <v>1585354.0351412597</v>
      </c>
      <c r="R156" s="3">
        <f>+REG_STOCK[[#This Row],[VALOR UNITARIO]]*REG_STOCK[[#This Row],[STOCK FISICO]]</f>
        <v>1207716.9020044543</v>
      </c>
    </row>
    <row r="157" spans="1:18" x14ac:dyDescent="0.25">
      <c r="A157" s="1">
        <v>46195</v>
      </c>
      <c r="B157">
        <v>1902013</v>
      </c>
      <c r="C157" t="s">
        <v>338</v>
      </c>
      <c r="D157" t="s">
        <v>47</v>
      </c>
      <c r="E157">
        <v>333</v>
      </c>
      <c r="F157">
        <v>4</v>
      </c>
      <c r="G157">
        <v>19</v>
      </c>
      <c r="H157">
        <f>+_xlfn.XLOOKUP(REG_STOCK[[#This Row],[CODIGO]],PRODUCTOS[CODIGO],PRODUCTOS[DESC CORTA],"",0)</f>
        <v>0</v>
      </c>
      <c r="I157" s="76">
        <f>SUMIFS(DETALLE_GD_1[CANTIDAD RECEPCIONADA],DETALLE_GD_1[CODIGO],REG_STOCK[[#This Row],[CODIGO]],DETALLE_GD_1[FECHA SOLICITUD],"&lt;="&amp;REG_STOCK[[#This Row],[FECHA STOCK ]])+97</f>
        <v>430</v>
      </c>
      <c r="J157">
        <f>+REG_STOCK[[#This Row],[SOLICITADO A TF]]-REG_STOCK[[#This Row],[STOCK FISICO]]</f>
        <v>411</v>
      </c>
      <c r="K157" s="40">
        <f>+_xlfn.XLOOKUP(REG_STOCK[[#This Row],[CODIGO]],PRODUCTOS[CODIGO],PRODUCTOS[CANT X MODULO],"",0)</f>
        <v>130.33466250000004</v>
      </c>
      <c r="L157" s="3">
        <f>+REG_STOCK[[#This Row],[CONSUMO]]/REG_STOCK[[#This Row],[CUBICACION PPTO.]]</f>
        <v>3.1534205261781367</v>
      </c>
      <c r="M157" s="3">
        <f>+REG_STOCK[[#This Row],[STOCK FISICO]]/REG_STOCK[[#This Row],[CUBICACION PPTO.]]</f>
        <v>0.14577856447052215</v>
      </c>
      <c r="N157" s="3">
        <f>+REG_STOCK[[#This Row],[SOLICITADO A TF]]/REG_STOCK[[#This Row],[CUBICACION PPTO.]]</f>
        <v>3.299199090648659</v>
      </c>
      <c r="O157" s="3" t="str">
        <f>IF($V$2-REG_STOCK[[#This Row],[ALCANCE FISICO]]&gt;0,"",($V$2-REG_STOCK[[#This Row],[ALCANCE FISICO]]/REG_STOCK[[#This Row],[CUBICACION PPTO.]]))</f>
        <v/>
      </c>
      <c r="P157" s="3">
        <f>+_xlfn.XLOOKUP(REG_STOCK[[#This Row],[CODIGO]],PRODUCTOS[CODIGO],PRODUCTOS[PRECIO COMPRA UNITARIO],"",0)</f>
        <v>40087.627345844507</v>
      </c>
      <c r="Q157" s="3" t="str">
        <f>IFERROR(REG_STOCK[[#This Row],[VALOR UNITARIO]]*REG_STOCK[[#This Row],[PERDIDA O EN PROCESO]],"")</f>
        <v/>
      </c>
      <c r="R157" s="3">
        <f>+REG_STOCK[[#This Row],[VALOR UNITARIO]]*REG_STOCK[[#This Row],[STOCK FISICO]]</f>
        <v>761664.91957104567</v>
      </c>
    </row>
    <row r="158" spans="1:18" hidden="1" x14ac:dyDescent="0.25">
      <c r="A158" s="1">
        <v>46203</v>
      </c>
      <c r="B158">
        <v>304007</v>
      </c>
      <c r="C158" t="s">
        <v>80</v>
      </c>
      <c r="D158" t="s">
        <v>18</v>
      </c>
      <c r="F158">
        <v>1.2499999999999999E-2</v>
      </c>
      <c r="H158" t="str">
        <f>+_xlfn.XLOOKUP(REG_STOCK[[#This Row],[CODIGO]],PRODUCTOS[CODIGO],PRODUCTOS[DESC CORTA],"",0)</f>
        <v>OSB 11MM</v>
      </c>
      <c r="I158" s="76">
        <f>SUMIFS(DETALLE_GD_1[CANTIDAD RECEPCIONADA],DETALLE_GD_1[CODIGO],REG_STOCK[[#This Row],[CODIGO]],DETALLE_GD_1[FECHA SOLICITUD],"&lt;="&amp;REG_STOCK[[#This Row],[FECHA STOCK ]])+97</f>
        <v>1385</v>
      </c>
      <c r="J158">
        <f>+REG_STOCK[[#This Row],[SOLICITADO A TF]]-REG_STOCK[[#This Row],[STOCK FISICO]]</f>
        <v>1385</v>
      </c>
      <c r="K158" s="40">
        <f>+_xlfn.XLOOKUP(REG_STOCK[[#This Row],[CODIGO]],PRODUCTOS[CODIGO],PRODUCTOS[CANT X MODULO],"",0)</f>
        <v>8.6625000000000014</v>
      </c>
      <c r="L158" s="3">
        <f>+REG_STOCK[[#This Row],[CONSUMO]]/REG_STOCK[[#This Row],[CUBICACION PPTO.]]</f>
        <v>159.88455988455985</v>
      </c>
      <c r="M158" s="3">
        <f>+REG_STOCK[[#This Row],[STOCK FISICO]]/REG_STOCK[[#This Row],[CUBICACION PPTO.]]</f>
        <v>0</v>
      </c>
      <c r="N158" s="3">
        <f>+REG_STOCK[[#This Row],[SOLICITADO A TF]]/REG_STOCK[[#This Row],[CUBICACION PPTO.]]</f>
        <v>159.88455988455985</v>
      </c>
      <c r="O158" s="3">
        <f>IF($V$2-REG_STOCK[[#This Row],[ALCANCE FISICO]]&gt;0,"",($V$2-REG_STOCK[[#This Row],[ALCANCE FISICO]]/REG_STOCK[[#This Row],[CUBICACION PPTO.]]))</f>
        <v>91.542907949834358</v>
      </c>
      <c r="P158" s="3">
        <f>+_xlfn.XLOOKUP(REG_STOCK[[#This Row],[CODIGO]],PRODUCTOS[CODIGO],PRODUCTOS[PRECIO COMPRA UNITARIO],"",0)</f>
        <v>11497.288819875776</v>
      </c>
      <c r="Q158" s="3">
        <f>IFERROR(REG_STOCK[[#This Row],[VALOR UNITARIO]]*REG_STOCK[[#This Row],[PERDIDA O EN PROCESO]],"")</f>
        <v>1052495.2521105479</v>
      </c>
      <c r="R158" s="3">
        <f>+REG_STOCK[[#This Row],[VALOR UNITARIO]]*REG_STOCK[[#This Row],[STOCK FISICO]]</f>
        <v>0</v>
      </c>
    </row>
    <row r="159" spans="1:18" hidden="1" x14ac:dyDescent="0.25">
      <c r="A159" s="1">
        <v>46203</v>
      </c>
      <c r="B159">
        <v>701043</v>
      </c>
      <c r="C159" t="s">
        <v>197</v>
      </c>
      <c r="D159" t="s">
        <v>696</v>
      </c>
      <c r="F159">
        <v>4</v>
      </c>
      <c r="H159" t="str">
        <f>+_xlfn.XLOOKUP(REG_STOCK[[#This Row],[CODIGO]],PRODUCTOS[CODIGO],PRODUCTOS[DESC CORTA],"",0)</f>
        <v>VOLCANITA EMPAPELADA CIELO</v>
      </c>
      <c r="I159" s="76">
        <f>SUMIFS(DETALLE_GD_1[CANTIDAD RECEPCIONADA],DETALLE_GD_1[CODIGO],REG_STOCK[[#This Row],[CODIGO]],DETALLE_GD_1[FECHA SOLICITUD],"&lt;="&amp;REG_STOCK[[#This Row],[FECHA STOCK ]])+97</f>
        <v>1173</v>
      </c>
      <c r="J159">
        <f>+REG_STOCK[[#This Row],[SOLICITADO A TF]]-REG_STOCK[[#This Row],[STOCK FISICO]]</f>
        <v>1173</v>
      </c>
      <c r="K159" s="40">
        <f>+_xlfn.XLOOKUP(REG_STOCK[[#This Row],[CODIGO]],PRODUCTOS[CODIGO],PRODUCTOS[CANT X MODULO],"",0)</f>
        <v>7.0875000000000012</v>
      </c>
      <c r="L159" s="3">
        <f>+REG_STOCK[[#This Row],[CONSUMO]]/REG_STOCK[[#This Row],[CUBICACION PPTO.]]</f>
        <v>165.50264550264546</v>
      </c>
      <c r="M159" s="3">
        <f>+REG_STOCK[[#This Row],[STOCK FISICO]]/REG_STOCK[[#This Row],[CUBICACION PPTO.]]</f>
        <v>0</v>
      </c>
      <c r="N159" s="3">
        <f>+REG_STOCK[[#This Row],[SOLICITADO A TF]]/REG_STOCK[[#This Row],[CUBICACION PPTO.]]</f>
        <v>165.50264550264546</v>
      </c>
      <c r="O159" s="3">
        <f>IF($V$2-REG_STOCK[[#This Row],[ALCANCE FISICO]]&gt;0,"",($V$2-REG_STOCK[[#This Row],[ALCANCE FISICO]]/REG_STOCK[[#This Row],[CUBICACION PPTO.]]))</f>
        <v>86.648656719203473</v>
      </c>
      <c r="P159" s="3">
        <f>+_xlfn.XLOOKUP(REG_STOCK[[#This Row],[CODIGO]],PRODUCTOS[CODIGO],PRODUCTOS[PRECIO COMPRA UNITARIO],"",0)</f>
        <v>22537.549256505576</v>
      </c>
      <c r="Q159" s="3">
        <f>IFERROR(REG_STOCK[[#This Row],[VALOR UNITARIO]]*REG_STOCK[[#This Row],[PERDIDA O EN PROCESO]],"")</f>
        <v>1952848.368819091</v>
      </c>
      <c r="R159" s="3">
        <f>+REG_STOCK[[#This Row],[VALOR UNITARIO]]*REG_STOCK[[#This Row],[STOCK FISICO]]</f>
        <v>0</v>
      </c>
    </row>
    <row r="160" spans="1:18" hidden="1" x14ac:dyDescent="0.25">
      <c r="A160" s="1">
        <v>46203</v>
      </c>
      <c r="B160">
        <v>302046</v>
      </c>
      <c r="C160" t="s">
        <v>516</v>
      </c>
      <c r="D160" t="s">
        <v>20</v>
      </c>
      <c r="F160">
        <v>0.25</v>
      </c>
      <c r="H160" t="str">
        <f>+_xlfn.XLOOKUP(REG_STOCK[[#This Row],[CODIGO]],PRODUCTOS[CODIGO],PRODUCTOS[DESC CORTA],"",0)</f>
        <v>PINO 2X6X400</v>
      </c>
      <c r="I160" s="76">
        <f>SUMIFS(DETALLE_GD_1[CANTIDAD RECEPCIONADA],DETALLE_GD_1[CODIGO],REG_STOCK[[#This Row],[CODIGO]],DETALLE_GD_1[FECHA SOLICITUD],"&lt;="&amp;REG_STOCK[[#This Row],[FECHA STOCK ]])+97</f>
        <v>4934</v>
      </c>
      <c r="J160">
        <f>+REG_STOCK[[#This Row],[SOLICITADO A TF]]-REG_STOCK[[#This Row],[STOCK FISICO]]</f>
        <v>4934</v>
      </c>
      <c r="K160" s="40">
        <f>+_xlfn.XLOOKUP(REG_STOCK[[#This Row],[CODIGO]],PRODUCTOS[CODIGO],PRODUCTOS[CANT X MODULO],"",0)</f>
        <v>34.65</v>
      </c>
      <c r="L160" s="3">
        <f>+REG_STOCK[[#This Row],[CONSUMO]]/REG_STOCK[[#This Row],[CUBICACION PPTO.]]</f>
        <v>142.3953823953824</v>
      </c>
      <c r="M160" s="3">
        <f>+REG_STOCK[[#This Row],[STOCK FISICO]]/REG_STOCK[[#This Row],[CUBICACION PPTO.]]</f>
        <v>0</v>
      </c>
      <c r="N160" s="3">
        <f>+REG_STOCK[[#This Row],[SOLICITADO A TF]]/REG_STOCK[[#This Row],[CUBICACION PPTO.]]</f>
        <v>142.3953823953824</v>
      </c>
      <c r="O160" s="3">
        <f>IF($V$2-REG_STOCK[[#This Row],[ALCANCE FISICO]]&gt;0,"",($V$2-REG_STOCK[[#This Row],[ALCANCE FISICO]]/REG_STOCK[[#This Row],[CUBICACION PPTO.]]))</f>
        <v>105.89046515453441</v>
      </c>
      <c r="P160" s="3">
        <f>+_xlfn.XLOOKUP(REG_STOCK[[#This Row],[CODIGO]],PRODUCTOS[CODIGO],PRODUCTOS[PRECIO COMPRA UNITARIO],"",0)</f>
        <v>10289.047343394666</v>
      </c>
      <c r="Q160" s="3">
        <f>IFERROR(REG_STOCK[[#This Row],[VALOR UNITARIO]]*REG_STOCK[[#This Row],[PERDIDA O EN PROCESO]],"")</f>
        <v>1089512.0091890877</v>
      </c>
      <c r="R160" s="3">
        <f>+REG_STOCK[[#This Row],[VALOR UNITARIO]]*REG_STOCK[[#This Row],[STOCK FISICO]]</f>
        <v>0</v>
      </c>
    </row>
    <row r="161" spans="1:18" hidden="1" x14ac:dyDescent="0.25">
      <c r="A161" s="1">
        <v>46203</v>
      </c>
      <c r="B161">
        <v>302010</v>
      </c>
      <c r="C161" t="s">
        <v>511</v>
      </c>
      <c r="D161" t="s">
        <v>20</v>
      </c>
      <c r="F161">
        <v>0.25</v>
      </c>
      <c r="H161" t="str">
        <f>+_xlfn.XLOOKUP(REG_STOCK[[#This Row],[CODIGO]],PRODUCTOS[CODIGO],PRODUCTOS[DESC CORTA],"",0)</f>
        <v>PINO 2X6X320</v>
      </c>
      <c r="I161" s="76">
        <f>SUMIFS(DETALLE_GD_1[CANTIDAD RECEPCIONADA],DETALLE_GD_1[CODIGO],REG_STOCK[[#This Row],[CODIGO]],DETALLE_GD_1[FECHA SOLICITUD],"&lt;="&amp;REG_STOCK[[#This Row],[FECHA STOCK ]])+97</f>
        <v>3541</v>
      </c>
      <c r="J161">
        <f>+REG_STOCK[[#This Row],[SOLICITADO A TF]]-REG_STOCK[[#This Row],[STOCK FISICO]]</f>
        <v>3541</v>
      </c>
      <c r="K161" s="40">
        <f>+_xlfn.XLOOKUP(REG_STOCK[[#This Row],[CODIGO]],PRODUCTOS[CODIGO],PRODUCTOS[CANT X MODULO],"",0)</f>
        <v>34.912500000000023</v>
      </c>
      <c r="L161" s="3">
        <f>+REG_STOCK[[#This Row],[CONSUMO]]/REG_STOCK[[#This Row],[CUBICACION PPTO.]]</f>
        <v>101.42499104905113</v>
      </c>
      <c r="M161" s="3">
        <f>+REG_STOCK[[#This Row],[STOCK FISICO]]/REG_STOCK[[#This Row],[CUBICACION PPTO.]]</f>
        <v>0</v>
      </c>
      <c r="N161" s="3">
        <f>+REG_STOCK[[#This Row],[SOLICITADO A TF]]/REG_STOCK[[#This Row],[CUBICACION PPTO.]]</f>
        <v>101.42499104905113</v>
      </c>
      <c r="O161" s="3" t="str">
        <f>IF($V$2-REG_STOCK[[#This Row],[ALCANCE FISICO]]&gt;0,"",($V$2-REG_STOCK[[#This Row],[ALCANCE FISICO]]/REG_STOCK[[#This Row],[CUBICACION PPTO.]]))</f>
        <v/>
      </c>
      <c r="P161" s="3">
        <f>+_xlfn.XLOOKUP(REG_STOCK[[#This Row],[CODIGO]],PRODUCTOS[CODIGO],PRODUCTOS[PRECIO COMPRA UNITARIO],"",0)</f>
        <v>5690.5508432539682</v>
      </c>
      <c r="Q161" s="3" t="str">
        <f>IFERROR(REG_STOCK[[#This Row],[VALOR UNITARIO]]*REG_STOCK[[#This Row],[PERDIDA O EN PROCESO]],"")</f>
        <v/>
      </c>
      <c r="R161" s="3">
        <f>+REG_STOCK[[#This Row],[VALOR UNITARIO]]*REG_STOCK[[#This Row],[STOCK FISICO]]</f>
        <v>0</v>
      </c>
    </row>
    <row r="162" spans="1:18" hidden="1" x14ac:dyDescent="0.25">
      <c r="A162" s="1">
        <v>46203</v>
      </c>
      <c r="B162">
        <v>1901008</v>
      </c>
      <c r="C162" t="s">
        <v>747</v>
      </c>
      <c r="D162" t="s">
        <v>26</v>
      </c>
      <c r="F162">
        <v>0</v>
      </c>
      <c r="H162" t="str">
        <f>+_xlfn.XLOOKUP(REG_STOCK[[#This Row],[CODIGO]],PRODUCTOS[CODIGO],PRODUCTOS[DESC CORTA],"",0)</f>
        <v>AISLAN GLASS 90MM</v>
      </c>
      <c r="I162" s="76">
        <f>SUMIFS(DETALLE_GD_1[CANTIDAD RECEPCIONADA],DETALLE_GD_1[CODIGO],REG_STOCK[[#This Row],[CODIGO]],DETALLE_GD_1[FECHA SOLICITUD],"&lt;="&amp;REG_STOCK[[#This Row],[FECHA STOCK ]])+97</f>
        <v>7114</v>
      </c>
      <c r="J162">
        <f>+REG_STOCK[[#This Row],[SOLICITADO A TF]]-REG_STOCK[[#This Row],[STOCK FISICO]]</f>
        <v>7114</v>
      </c>
      <c r="K162" s="40">
        <f>+_xlfn.XLOOKUP(REG_STOCK[[#This Row],[CODIGO]],PRODUCTOS[CODIGO],PRODUCTOS[CANT X MODULO],"",0)</f>
        <v>62.430325650000007</v>
      </c>
      <c r="L162" s="3">
        <f>+REG_STOCK[[#This Row],[CONSUMO]]/REG_STOCK[[#This Row],[CUBICACION PPTO.]]</f>
        <v>113.95103142474156</v>
      </c>
      <c r="M162" s="3">
        <f>+REG_STOCK[[#This Row],[STOCK FISICO]]/REG_STOCK[[#This Row],[CUBICACION PPTO.]]</f>
        <v>0</v>
      </c>
      <c r="N162" s="3">
        <f>+REG_STOCK[[#This Row],[SOLICITADO A TF]]/REG_STOCK[[#This Row],[CUBICACION PPTO.]]</f>
        <v>113.95103142474156</v>
      </c>
      <c r="O162" s="3">
        <f>IF($V$2-REG_STOCK[[#This Row],[ALCANCE FISICO]]&gt;0,"",($V$2-REG_STOCK[[#This Row],[ALCANCE FISICO]]/REG_STOCK[[#This Row],[CUBICACION PPTO.]]))</f>
        <v>108.17474872606657</v>
      </c>
      <c r="P162" s="3">
        <f>+_xlfn.XLOOKUP(REG_STOCK[[#This Row],[CODIGO]],PRODUCTOS[CODIGO],PRODUCTOS[PRECIO COMPRA UNITARIO],"",0)</f>
        <v>2062.9827561636025</v>
      </c>
      <c r="Q162" s="3">
        <f>IFERROR(REG_STOCK[[#This Row],[VALOR UNITARIO]]*REG_STOCK[[#This Row],[PERDIDA O EN PROCESO]],"")</f>
        <v>223162.64127420596</v>
      </c>
      <c r="R162" s="3">
        <f>+REG_STOCK[[#This Row],[VALOR UNITARIO]]*REG_STOCK[[#This Row],[STOCK FISICO]]</f>
        <v>0</v>
      </c>
    </row>
    <row r="163" spans="1:18" hidden="1" x14ac:dyDescent="0.25">
      <c r="A163" s="1">
        <v>46203</v>
      </c>
      <c r="B163">
        <v>304002</v>
      </c>
      <c r="C163" t="s">
        <v>37</v>
      </c>
      <c r="D163" t="s">
        <v>18</v>
      </c>
      <c r="H163" t="str">
        <f>+_xlfn.XLOOKUP(REG_STOCK[[#This Row],[CODIGO]],PRODUCTOS[CODIGO],PRODUCTOS[DESC CORTA],"",0)</f>
        <v>SMARTPANEL</v>
      </c>
      <c r="I163" s="76">
        <f>SUMIFS(DETALLE_GD_1[CANTIDAD RECEPCIONADA],DETALLE_GD_1[CODIGO],REG_STOCK[[#This Row],[CODIGO]],DETALLE_GD_1[FECHA SOLICITUD],"&lt;="&amp;REG_STOCK[[#This Row],[FECHA STOCK ]])+97</f>
        <v>3600</v>
      </c>
      <c r="J163">
        <f>+REG_STOCK[[#This Row],[SOLICITADO A TF]]-REG_STOCK[[#This Row],[STOCK FISICO]]</f>
        <v>3600</v>
      </c>
      <c r="K163" s="40">
        <f>+_xlfn.XLOOKUP(REG_STOCK[[#This Row],[CODIGO]],PRODUCTOS[CODIGO],PRODUCTOS[CANT X MODULO],"",0)</f>
        <v>23.296874999999996</v>
      </c>
      <c r="L163" s="3">
        <f>+REG_STOCK[[#This Row],[CONSUMO]]/REG_STOCK[[#This Row],[CUBICACION PPTO.]]</f>
        <v>154.52716297786722</v>
      </c>
      <c r="M163" s="3">
        <f>+REG_STOCK[[#This Row],[STOCK FISICO]]/REG_STOCK[[#This Row],[CUBICACION PPTO.]]</f>
        <v>0</v>
      </c>
      <c r="N163" s="3">
        <f>+REG_STOCK[[#This Row],[SOLICITADO A TF]]/REG_STOCK[[#This Row],[CUBICACION PPTO.]]</f>
        <v>154.52716297786722</v>
      </c>
      <c r="O163" s="3">
        <f>IF($V$2-REG_STOCK[[#This Row],[ALCANCE FISICO]]&gt;0,"",($V$2-REG_STOCK[[#This Row],[ALCANCE FISICO]]/REG_STOCK[[#This Row],[CUBICACION PPTO.]]))</f>
        <v>103.36704330611435</v>
      </c>
      <c r="P163" s="3">
        <f>+_xlfn.XLOOKUP(REG_STOCK[[#This Row],[CODIGO]],PRODUCTOS[CODIGO],PRODUCTOS[PRECIO COMPRA UNITARIO],"",0)</f>
        <v>21604.880388238653</v>
      </c>
      <c r="Q163" s="3">
        <f>IFERROR(REG_STOCK[[#This Row],[VALOR UNITARIO]]*REG_STOCK[[#This Row],[PERDIDA O EN PROCESO]],"")</f>
        <v>2233232.6067144857</v>
      </c>
      <c r="R163" s="3">
        <f>+REG_STOCK[[#This Row],[VALOR UNITARIO]]*REG_STOCK[[#This Row],[STOCK FISICO]]</f>
        <v>0</v>
      </c>
    </row>
    <row r="164" spans="1:18" hidden="1" x14ac:dyDescent="0.25">
      <c r="A164" s="1">
        <v>46203</v>
      </c>
      <c r="B164">
        <v>304101</v>
      </c>
      <c r="C164" t="s">
        <v>695</v>
      </c>
      <c r="D164" t="s">
        <v>18</v>
      </c>
      <c r="F164">
        <v>10</v>
      </c>
      <c r="H164" t="str">
        <f>+_xlfn.XLOOKUP(REG_STOCK[[#This Row],[CODIGO]],PRODUCTOS[CODIGO],PRODUCTOS[DESC CORTA],"",0)</f>
        <v>OSB 9.5</v>
      </c>
      <c r="I164" s="76">
        <f>SUMIFS(DETALLE_GD_1[CANTIDAD RECEPCIONADA],DETALLE_GD_1[CODIGO],REG_STOCK[[#This Row],[CODIGO]],DETALLE_GD_1[FECHA SOLICITUD],"&lt;="&amp;REG_STOCK[[#This Row],[FECHA STOCK ]])+97</f>
        <v>5318</v>
      </c>
      <c r="J164">
        <f>+REG_STOCK[[#This Row],[SOLICITADO A TF]]-REG_STOCK[[#This Row],[STOCK FISICO]]</f>
        <v>5318</v>
      </c>
      <c r="K164" s="40">
        <f>+_xlfn.XLOOKUP(REG_STOCK[[#This Row],[CODIGO]],PRODUCTOS[CODIGO],PRODUCTOS[CANT X MODULO],"",0)</f>
        <v>47.643749999999976</v>
      </c>
      <c r="L164" s="3">
        <f>+REG_STOCK[[#This Row],[CONSUMO]]/REG_STOCK[[#This Row],[CUBICACION PPTO.]]</f>
        <v>111.62009707464259</v>
      </c>
      <c r="M164" s="3">
        <f>+REG_STOCK[[#This Row],[STOCK FISICO]]/REG_STOCK[[#This Row],[CUBICACION PPTO.]]</f>
        <v>0</v>
      </c>
      <c r="N164" s="3">
        <f>+REG_STOCK[[#This Row],[SOLICITADO A TF]]/REG_STOCK[[#This Row],[CUBICACION PPTO.]]</f>
        <v>111.62009707464259</v>
      </c>
      <c r="O164" s="3">
        <f>IF($V$2-REG_STOCK[[#This Row],[ALCANCE FISICO]]&gt;0,"",($V$2-REG_STOCK[[#This Row],[ALCANCE FISICO]]/REG_STOCK[[#This Row],[CUBICACION PPTO.]]))</f>
        <v>107.65719329241206</v>
      </c>
      <c r="P164" s="3">
        <f>+_xlfn.XLOOKUP(REG_STOCK[[#This Row],[CODIGO]],PRODUCTOS[CODIGO],PRODUCTOS[PRECIO COMPRA UNITARIO],"",0)</f>
        <v>9649.1185596629002</v>
      </c>
      <c r="Q164" s="3">
        <f>IFERROR(REG_STOCK[[#This Row],[VALOR UNITARIO]]*REG_STOCK[[#This Row],[PERDIDA O EN PROCESO]],"")</f>
        <v>1038797.0218790295</v>
      </c>
      <c r="R164" s="3">
        <f>+REG_STOCK[[#This Row],[VALOR UNITARIO]]*REG_STOCK[[#This Row],[STOCK FISICO]]</f>
        <v>0</v>
      </c>
    </row>
    <row r="165" spans="1:18" hidden="1" x14ac:dyDescent="0.25">
      <c r="A165" s="1">
        <v>46203</v>
      </c>
      <c r="B165">
        <v>302028</v>
      </c>
      <c r="C165" t="s">
        <v>512</v>
      </c>
      <c r="D165" t="s">
        <v>20</v>
      </c>
      <c r="F165">
        <v>3.75</v>
      </c>
      <c r="H165" t="str">
        <f>+_xlfn.XLOOKUP(REG_STOCK[[#This Row],[CODIGO]],PRODUCTOS[CODIGO],PRODUCTOS[DESC CORTA],"",0)</f>
        <v>PINO 2X4X320</v>
      </c>
      <c r="I165" s="76">
        <f>SUMIFS(DETALLE_GD_1[CANTIDAD RECEPCIONADA],DETALLE_GD_1[CODIGO],REG_STOCK[[#This Row],[CODIGO]],DETALLE_GD_1[FECHA SOLICITUD],"&lt;="&amp;REG_STOCK[[#This Row],[FECHA STOCK ]])+97</f>
        <v>10658</v>
      </c>
      <c r="J165">
        <f>+REG_STOCK[[#This Row],[SOLICITADO A TF]]-REG_STOCK[[#This Row],[STOCK FISICO]]</f>
        <v>10658</v>
      </c>
      <c r="K165" s="40">
        <f>+_xlfn.XLOOKUP(REG_STOCK[[#This Row],[CODIGO]],PRODUCTOS[CODIGO],PRODUCTOS[CANT X MODULO],"",0)</f>
        <v>172.72499999999994</v>
      </c>
      <c r="L165" s="3">
        <f>+REG_STOCK[[#This Row],[CONSUMO]]/REG_STOCK[[#This Row],[CUBICACION PPTO.]]</f>
        <v>61.705022434505743</v>
      </c>
      <c r="M165" s="3">
        <f>+REG_STOCK[[#This Row],[STOCK FISICO]]/REG_STOCK[[#This Row],[CUBICACION PPTO.]]</f>
        <v>0</v>
      </c>
      <c r="N165" s="3">
        <f>+REG_STOCK[[#This Row],[SOLICITADO A TF]]/REG_STOCK[[#This Row],[CUBICACION PPTO.]]</f>
        <v>61.705022434505743</v>
      </c>
      <c r="O165" s="3" t="str">
        <f>IF($V$2-REG_STOCK[[#This Row],[ALCANCE FISICO]]&gt;0,"",($V$2-REG_STOCK[[#This Row],[ALCANCE FISICO]]/REG_STOCK[[#This Row],[CUBICACION PPTO.]]))</f>
        <v/>
      </c>
      <c r="P165" s="3">
        <f>+_xlfn.XLOOKUP(REG_STOCK[[#This Row],[CODIGO]],PRODUCTOS[CODIGO],PRODUCTOS[PRECIO COMPRA UNITARIO],"",0)</f>
        <v>4769.5117820983787</v>
      </c>
      <c r="Q165" s="3" t="str">
        <f>IFERROR(REG_STOCK[[#This Row],[VALOR UNITARIO]]*REG_STOCK[[#This Row],[PERDIDA O EN PROCESO]],"")</f>
        <v/>
      </c>
      <c r="R165" s="3">
        <f>+REG_STOCK[[#This Row],[VALOR UNITARIO]]*REG_STOCK[[#This Row],[STOCK FISICO]]</f>
        <v>0</v>
      </c>
    </row>
    <row r="166" spans="1:18" hidden="1" x14ac:dyDescent="0.25">
      <c r="A166" s="1">
        <v>46203</v>
      </c>
      <c r="B166">
        <v>304049</v>
      </c>
      <c r="C166" t="s">
        <v>318</v>
      </c>
      <c r="D166" t="s">
        <v>18</v>
      </c>
      <c r="F166">
        <v>7.4999999999999997E-2</v>
      </c>
      <c r="H166" t="str">
        <f>+_xlfn.XLOOKUP(REG_STOCK[[#This Row],[CODIGO]],PRODUCTOS[CODIGO],PRODUCTOS[DESC CORTA],"",0)</f>
        <v>TERCIADO FENOLICO</v>
      </c>
      <c r="I166" s="76">
        <f>SUMIFS(DETALLE_GD_1[CANTIDAD RECEPCIONADA],DETALLE_GD_1[CODIGO],REG_STOCK[[#This Row],[CODIGO]],DETALLE_GD_1[FECHA SOLICITUD],"&lt;="&amp;REG_STOCK[[#This Row],[FECHA STOCK ]])+97</f>
        <v>2737</v>
      </c>
      <c r="J166">
        <f>+REG_STOCK[[#This Row],[SOLICITADO A TF]]-REG_STOCK[[#This Row],[STOCK FISICO]]</f>
        <v>2737</v>
      </c>
      <c r="K166" s="40">
        <f>+_xlfn.XLOOKUP(REG_STOCK[[#This Row],[CODIGO]],PRODUCTOS[CODIGO],PRODUCTOS[CANT X MODULO],"",0)</f>
        <v>23.273250000000008</v>
      </c>
      <c r="L166" s="3">
        <f>+REG_STOCK[[#This Row],[CONSUMO]]/REG_STOCK[[#This Row],[CUBICACION PPTO.]]</f>
        <v>117.6028272802466</v>
      </c>
      <c r="M166" s="3">
        <f>+REG_STOCK[[#This Row],[STOCK FISICO]]/REG_STOCK[[#This Row],[CUBICACION PPTO.]]</f>
        <v>0</v>
      </c>
      <c r="N166" s="3">
        <f>+REG_STOCK[[#This Row],[SOLICITADO A TF]]/REG_STOCK[[#This Row],[CUBICACION PPTO.]]</f>
        <v>117.6028272802466</v>
      </c>
      <c r="O166" s="3">
        <f>IF($V$2-REG_STOCK[[#This Row],[ALCANCE FISICO]]&gt;0,"",($V$2-REG_STOCK[[#This Row],[ALCANCE FISICO]]/REG_STOCK[[#This Row],[CUBICACION PPTO.]]))</f>
        <v>104.94686701340609</v>
      </c>
      <c r="P166" s="3">
        <f>+_xlfn.XLOOKUP(REG_STOCK[[#This Row],[CODIGO]],PRODUCTOS[CODIGO],PRODUCTOS[PRECIO COMPRA UNITARIO],"",0)</f>
        <v>15095.117424242424</v>
      </c>
      <c r="Q166" s="3">
        <f>IFERROR(REG_STOCK[[#This Row],[VALOR UNITARIO]]*REG_STOCK[[#This Row],[PERDIDA O EN PROCESO]],"")</f>
        <v>1584185.2808737187</v>
      </c>
      <c r="R166" s="3">
        <f>+REG_STOCK[[#This Row],[VALOR UNITARIO]]*REG_STOCK[[#This Row],[STOCK FISICO]]</f>
        <v>0</v>
      </c>
    </row>
    <row r="167" spans="1:18" hidden="1" x14ac:dyDescent="0.25">
      <c r="A167" s="1">
        <v>46203</v>
      </c>
      <c r="B167">
        <v>701096</v>
      </c>
      <c r="C167" t="s">
        <v>204</v>
      </c>
      <c r="D167" t="s">
        <v>18</v>
      </c>
      <c r="F167">
        <v>1</v>
      </c>
      <c r="H167" t="str">
        <f>+_xlfn.XLOOKUP(REG_STOCK[[#This Row],[CODIGO]],PRODUCTOS[CODIGO],PRODUCTOS[DESC CORTA],"",0)</f>
        <v>VOCANITA EMPAPELADA MURO</v>
      </c>
      <c r="I167" s="76">
        <f>SUMIFS(DETALLE_GD_1[CANTIDAD RECEPCIONADA],DETALLE_GD_1[CODIGO],REG_STOCK[[#This Row],[CODIGO]],DETALLE_GD_1[FECHA SOLICITUD],"&lt;="&amp;REG_STOCK[[#This Row],[FECHA STOCK ]])+97</f>
        <v>3021</v>
      </c>
      <c r="J167">
        <f>+REG_STOCK[[#This Row],[SOLICITADO A TF]]-REG_STOCK[[#This Row],[STOCK FISICO]]</f>
        <v>3021</v>
      </c>
      <c r="K167" s="40">
        <f>+_xlfn.XLOOKUP(REG_STOCK[[#This Row],[CODIGO]],PRODUCTOS[CODIGO],PRODUCTOS[CANT X MODULO],"",0)</f>
        <v>31.237499999999997</v>
      </c>
      <c r="L167" s="3">
        <f>+REG_STOCK[[#This Row],[CONSUMO]]/REG_STOCK[[#This Row],[CUBICACION PPTO.]]</f>
        <v>96.710684273709489</v>
      </c>
      <c r="M167" s="3">
        <f>+REG_STOCK[[#This Row],[STOCK FISICO]]/REG_STOCK[[#This Row],[CUBICACION PPTO.]]</f>
        <v>0</v>
      </c>
      <c r="N167" s="3">
        <f>+REG_STOCK[[#This Row],[SOLICITADO A TF]]/REG_STOCK[[#This Row],[CUBICACION PPTO.]]</f>
        <v>96.710684273709489</v>
      </c>
      <c r="O167" s="3" t="str">
        <f>IF($V$2-REG_STOCK[[#This Row],[ALCANCE FISICO]]&gt;0,"",($V$2-REG_STOCK[[#This Row],[ALCANCE FISICO]]/REG_STOCK[[#This Row],[CUBICACION PPTO.]]))</f>
        <v/>
      </c>
      <c r="P167" s="3">
        <f>+_xlfn.XLOOKUP(REG_STOCK[[#This Row],[CODIGO]],PRODUCTOS[CODIGO],PRODUCTOS[PRECIO COMPRA UNITARIO],"",0)</f>
        <v>16231.199726402188</v>
      </c>
      <c r="Q167" s="3" t="str">
        <f>IFERROR(REG_STOCK[[#This Row],[VALOR UNITARIO]]*REG_STOCK[[#This Row],[PERDIDA O EN PROCESO]],"")</f>
        <v/>
      </c>
      <c r="R167" s="3">
        <f>+REG_STOCK[[#This Row],[VALOR UNITARIO]]*REG_STOCK[[#This Row],[STOCK FISICO]]</f>
        <v>0</v>
      </c>
    </row>
    <row r="168" spans="1:18" hidden="1" x14ac:dyDescent="0.25">
      <c r="A168" s="1">
        <v>46203</v>
      </c>
      <c r="B168">
        <v>701040</v>
      </c>
      <c r="C168" t="s">
        <v>19</v>
      </c>
      <c r="D168" t="s">
        <v>18</v>
      </c>
      <c r="F168">
        <v>1</v>
      </c>
      <c r="H168" t="str">
        <f>+_xlfn.XLOOKUP(REG_STOCK[[#This Row],[CODIGO]],PRODUCTOS[CODIGO],PRODUCTOS[DESC CORTA],"",0)</f>
        <v>VOLCANITA RF</v>
      </c>
      <c r="I168" s="76">
        <f>SUMIFS(DETALLE_GD_1[CANTIDAD RECEPCIONADA],DETALLE_GD_1[CODIGO],REG_STOCK[[#This Row],[CODIGO]],DETALLE_GD_1[FECHA SOLICITUD],"&lt;="&amp;REG_STOCK[[#This Row],[FECHA STOCK ]])+97</f>
        <v>1232</v>
      </c>
      <c r="J168">
        <f>+REG_STOCK[[#This Row],[SOLICITADO A TF]]-REG_STOCK[[#This Row],[STOCK FISICO]]</f>
        <v>1232</v>
      </c>
      <c r="K168" s="40">
        <f>+_xlfn.XLOOKUP(REG_STOCK[[#This Row],[CODIGO]],PRODUCTOS[CODIGO],PRODUCTOS[CANT X MODULO],"",0)</f>
        <v>4.2840000000000007</v>
      </c>
      <c r="L168" s="3">
        <f>+REG_STOCK[[#This Row],[CONSUMO]]/REG_STOCK[[#This Row],[CUBICACION PPTO.]]</f>
        <v>287.58169934640517</v>
      </c>
      <c r="M168" s="3">
        <f>+REG_STOCK[[#This Row],[STOCK FISICO]]/REG_STOCK[[#This Row],[CUBICACION PPTO.]]</f>
        <v>0</v>
      </c>
      <c r="N168" s="3">
        <f>+REG_STOCK[[#This Row],[SOLICITADO A TF]]/REG_STOCK[[#This Row],[CUBICACION PPTO.]]</f>
        <v>287.58169934640517</v>
      </c>
      <c r="O168" s="3">
        <f>IF($V$2-REG_STOCK[[#This Row],[ALCANCE FISICO]]&gt;0,"",($V$2-REG_STOCK[[#This Row],[ALCANCE FISICO]]/REG_STOCK[[#This Row],[CUBICACION PPTO.]]))</f>
        <v>42.870751786553427</v>
      </c>
      <c r="P168" s="3">
        <f>+_xlfn.XLOOKUP(REG_STOCK[[#This Row],[CODIGO]],PRODUCTOS[CODIGO],PRODUCTOS[PRECIO COMPRA UNITARIO],"",0)</f>
        <v>7627.9022026431721</v>
      </c>
      <c r="Q168" s="3">
        <f>IFERROR(REG_STOCK[[#This Row],[VALOR UNITARIO]]*REG_STOCK[[#This Row],[PERDIDA O EN PROCESO]],"")</f>
        <v>327013.90198161959</v>
      </c>
      <c r="R168" s="3">
        <f>+REG_STOCK[[#This Row],[VALOR UNITARIO]]*REG_STOCK[[#This Row],[STOCK FISICO]]</f>
        <v>0</v>
      </c>
    </row>
    <row r="169" spans="1:18" hidden="1" x14ac:dyDescent="0.25">
      <c r="A169" s="1">
        <v>46203</v>
      </c>
      <c r="B169">
        <v>1902003</v>
      </c>
      <c r="C169" t="s">
        <v>155</v>
      </c>
      <c r="D169" t="s">
        <v>47</v>
      </c>
      <c r="F169">
        <v>0</v>
      </c>
      <c r="H169">
        <f>+_xlfn.XLOOKUP(REG_STOCK[[#This Row],[CODIGO]],PRODUCTOS[CODIGO],PRODUCTOS[DESC CORTA],"",0)</f>
        <v>0</v>
      </c>
      <c r="I169" s="76">
        <f>SUMIFS(DETALLE_GD_1[CANTIDAD RECEPCIONADA],DETALLE_GD_1[CODIGO],REG_STOCK[[#This Row],[CODIGO]],DETALLE_GD_1[FECHA SOLICITUD],"&lt;="&amp;REG_STOCK[[#This Row],[FECHA STOCK ]])+97</f>
        <v>206</v>
      </c>
      <c r="J169">
        <f>+REG_STOCK[[#This Row],[SOLICITADO A TF]]-REG_STOCK[[#This Row],[STOCK FISICO]]</f>
        <v>206</v>
      </c>
      <c r="K169" s="40">
        <f>+_xlfn.XLOOKUP(REG_STOCK[[#This Row],[CODIGO]],PRODUCTOS[CODIGO],PRODUCTOS[CANT X MODULO],"",0)</f>
        <v>0.41466600000000009</v>
      </c>
      <c r="L169" s="3">
        <f>+REG_STOCK[[#This Row],[CONSUMO]]/REG_STOCK[[#This Row],[CUBICACION PPTO.]]</f>
        <v>496.7853646066954</v>
      </c>
      <c r="M169" s="3">
        <f>+REG_STOCK[[#This Row],[STOCK FISICO]]/REG_STOCK[[#This Row],[CUBICACION PPTO.]]</f>
        <v>0</v>
      </c>
      <c r="N169" s="3">
        <f>+REG_STOCK[[#This Row],[SOLICITADO A TF]]/REG_STOCK[[#This Row],[CUBICACION PPTO.]]</f>
        <v>496.7853646066954</v>
      </c>
      <c r="O169" s="3">
        <f>IF($V$2-REG_STOCK[[#This Row],[ALCANCE FISICO]]&gt;0,"",($V$2-REG_STOCK[[#This Row],[ALCANCE FISICO]]/REG_STOCK[[#This Row],[CUBICACION PPTO.]]))</f>
        <v>-1088.0373712980936</v>
      </c>
      <c r="P169" s="3">
        <f>+_xlfn.XLOOKUP(REG_STOCK[[#This Row],[CODIGO]],PRODUCTOS[CODIGO],PRODUCTOS[PRECIO COMPRA UNITARIO],"",0)</f>
        <v>150758.376146789</v>
      </c>
      <c r="Q169" s="3">
        <f>IFERROR(REG_STOCK[[#This Row],[VALOR UNITARIO]]*REG_STOCK[[#This Row],[PERDIDA O EN PROCESO]],"")</f>
        <v>-164030747.28392151</v>
      </c>
      <c r="R169" s="3">
        <f>+REG_STOCK[[#This Row],[VALOR UNITARIO]]*REG_STOCK[[#This Row],[STOCK FISICO]]</f>
        <v>0</v>
      </c>
    </row>
    <row r="170" spans="1:18" hidden="1" x14ac:dyDescent="0.25">
      <c r="A170" s="1">
        <v>46203</v>
      </c>
      <c r="B170" t="s">
        <v>21</v>
      </c>
      <c r="C170" t="s">
        <v>785</v>
      </c>
      <c r="D170" t="s">
        <v>20</v>
      </c>
      <c r="F170">
        <v>0</v>
      </c>
      <c r="H170" t="str">
        <f>+_xlfn.XLOOKUP(REG_STOCK[[#This Row],[CODIGO]],PRODUCTOS[CODIGO],PRODUCTOS[DESC CORTA],"",0)</f>
        <v>PINO 3X8X320</v>
      </c>
      <c r="I170" s="76">
        <f>SUMIFS(DETALLE_GD_1[CANTIDAD RECEPCIONADA],DETALLE_GD_1[CODIGO],REG_STOCK[[#This Row],[CODIGO]],DETALLE_GD_1[FECHA SOLICITUD],"&lt;="&amp;REG_STOCK[[#This Row],[FECHA STOCK ]])+97</f>
        <v>985</v>
      </c>
      <c r="J170">
        <f>+REG_STOCK[[#This Row],[SOLICITADO A TF]]-REG_STOCK[[#This Row],[STOCK FISICO]]</f>
        <v>985</v>
      </c>
      <c r="K170" s="40">
        <f>+_xlfn.XLOOKUP(REG_STOCK[[#This Row],[CODIGO]],PRODUCTOS[CODIGO],PRODUCTOS[CANT X MODULO],"",0)</f>
        <v>6.3000000000000007</v>
      </c>
      <c r="L170" s="3">
        <f>+REG_STOCK[[#This Row],[CONSUMO]]/REG_STOCK[[#This Row],[CUBICACION PPTO.]]</f>
        <v>156.34920634920633</v>
      </c>
      <c r="M170" s="3">
        <f>+REG_STOCK[[#This Row],[STOCK FISICO]]/REG_STOCK[[#This Row],[CUBICACION PPTO.]]</f>
        <v>0</v>
      </c>
      <c r="N170" s="3">
        <f>+REG_STOCK[[#This Row],[SOLICITADO A TF]]/REG_STOCK[[#This Row],[CUBICACION PPTO.]]</f>
        <v>156.34920634920633</v>
      </c>
      <c r="O170" s="3">
        <f>IF($V$2-REG_STOCK[[#This Row],[ALCANCE FISICO]]&gt;0,"",($V$2-REG_STOCK[[#This Row],[ALCANCE FISICO]]/REG_STOCK[[#This Row],[CUBICACION PPTO.]]))</f>
        <v>85.182665658856138</v>
      </c>
      <c r="P170" s="3">
        <f>+_xlfn.XLOOKUP(REG_STOCK[[#This Row],[CODIGO]],PRODUCTOS[CODIGO],PRODUCTOS[PRECIO COMPRA UNITARIO],"",0)</f>
        <v>15443.519144144144</v>
      </c>
      <c r="Q170" s="3">
        <f>IFERROR(REG_STOCK[[#This Row],[VALOR UNITARIO]]*REG_STOCK[[#This Row],[PERDIDA O EN PROCESO]],"")</f>
        <v>1315520.1278517747</v>
      </c>
      <c r="R170" s="3">
        <f>+REG_STOCK[[#This Row],[VALOR UNITARIO]]*REG_STOCK[[#This Row],[STOCK FISICO]]</f>
        <v>0</v>
      </c>
    </row>
    <row r="171" spans="1:18" hidden="1" x14ac:dyDescent="0.25">
      <c r="A171" s="1">
        <v>46203</v>
      </c>
      <c r="B171">
        <v>701084</v>
      </c>
      <c r="C171" t="s">
        <v>38</v>
      </c>
      <c r="D171" t="s">
        <v>18</v>
      </c>
      <c r="F171">
        <v>0</v>
      </c>
      <c r="H171" t="str">
        <f>+_xlfn.XLOOKUP(REG_STOCK[[#This Row],[CODIGO]],PRODUCTOS[CODIGO],PRODUCTOS[DESC CORTA],"",0)</f>
        <v>FIBROCEMENTO BALCON</v>
      </c>
      <c r="I171" s="76">
        <f>SUMIFS(DETALLE_GD_1[CANTIDAD RECEPCIONADA],DETALLE_GD_1[CODIGO],REG_STOCK[[#This Row],[CODIGO]],DETALLE_GD_1[FECHA SOLICITUD],"&lt;="&amp;REG_STOCK[[#This Row],[FECHA STOCK ]])+97</f>
        <v>229</v>
      </c>
      <c r="J171">
        <f>+REG_STOCK[[#This Row],[SOLICITADO A TF]]-REG_STOCK[[#This Row],[STOCK FISICO]]</f>
        <v>229</v>
      </c>
      <c r="K171" s="40">
        <f>+_xlfn.XLOOKUP(REG_STOCK[[#This Row],[CODIGO]],PRODUCTOS[CODIGO],PRODUCTOS[CANT X MODULO],"",0)</f>
        <v>0.69825000000000004</v>
      </c>
      <c r="L171" s="3">
        <f>+REG_STOCK[[#This Row],[CONSUMO]]/REG_STOCK[[#This Row],[CUBICACION PPTO.]]</f>
        <v>327.9627640529896</v>
      </c>
      <c r="M171" s="3">
        <f>+REG_STOCK[[#This Row],[STOCK FISICO]]/REG_STOCK[[#This Row],[CUBICACION PPTO.]]</f>
        <v>0</v>
      </c>
      <c r="N171" s="3">
        <f>+REG_STOCK[[#This Row],[SOLICITADO A TF]]/REG_STOCK[[#This Row],[CUBICACION PPTO.]]</f>
        <v>327.9627640529896</v>
      </c>
      <c r="O171" s="3">
        <f>IF($V$2-REG_STOCK[[#This Row],[ALCANCE FISICO]]&gt;0,"",($V$2-REG_STOCK[[#This Row],[ALCANCE FISICO]]/REG_STOCK[[#This Row],[CUBICACION PPTO.]]))</f>
        <v>-359.69246552522674</v>
      </c>
      <c r="P171" s="3">
        <f>+_xlfn.XLOOKUP(REG_STOCK[[#This Row],[CODIGO]],PRODUCTOS[CODIGO],PRODUCTOS[PRECIO COMPRA UNITARIO],"",0)</f>
        <v>39468.96212121212</v>
      </c>
      <c r="Q171" s="3">
        <f>IFERROR(REG_STOCK[[#This Row],[VALOR UNITARIO]]*REG_STOCK[[#This Row],[PERDIDA O EN PROCESO]],"")</f>
        <v>-14196688.29710057</v>
      </c>
      <c r="R171" s="3">
        <f>+REG_STOCK[[#This Row],[VALOR UNITARIO]]*REG_STOCK[[#This Row],[STOCK FISICO]]</f>
        <v>0</v>
      </c>
    </row>
    <row r="172" spans="1:18" hidden="1" x14ac:dyDescent="0.25">
      <c r="A172" s="1">
        <v>46203</v>
      </c>
      <c r="B172">
        <v>5309018</v>
      </c>
      <c r="C172" t="s">
        <v>112</v>
      </c>
      <c r="D172" t="s">
        <v>26</v>
      </c>
      <c r="F172">
        <v>460</v>
      </c>
      <c r="H172">
        <f>+_xlfn.XLOOKUP(REG_STOCK[[#This Row],[CODIGO]],PRODUCTOS[CODIGO],PRODUCTOS[DESC CORTA],"",0)</f>
        <v>0</v>
      </c>
      <c r="I172" s="76">
        <f>SUMIFS(DETALLE_GD_1[CANTIDAD RECEPCIONADA],DETALLE_GD_1[CODIGO],REG_STOCK[[#This Row],[CODIGO]],DETALLE_GD_1[FECHA SOLICITUD],"&lt;="&amp;REG_STOCK[[#This Row],[FECHA STOCK ]])+97</f>
        <v>3797</v>
      </c>
      <c r="J172">
        <f>+REG_STOCK[[#This Row],[SOLICITADO A TF]]-REG_STOCK[[#This Row],[STOCK FISICO]]</f>
        <v>3797</v>
      </c>
      <c r="K172" s="40">
        <f>+_xlfn.XLOOKUP(REG_STOCK[[#This Row],[CODIGO]],PRODUCTOS[CODIGO],PRODUCTOS[CANT X MODULO],"",0)</f>
        <v>34.649999999999991</v>
      </c>
      <c r="L172" s="3">
        <f>+REG_STOCK[[#This Row],[CONSUMO]]/REG_STOCK[[#This Row],[CUBICACION PPTO.]]</f>
        <v>109.58152958152961</v>
      </c>
      <c r="M172" s="3">
        <f>+REG_STOCK[[#This Row],[STOCK FISICO]]/REG_STOCK[[#This Row],[CUBICACION PPTO.]]</f>
        <v>0</v>
      </c>
      <c r="N172" s="3">
        <f>+REG_STOCK[[#This Row],[SOLICITADO A TF]]/REG_STOCK[[#This Row],[CUBICACION PPTO.]]</f>
        <v>109.58152958152961</v>
      </c>
      <c r="O172" s="3" t="str">
        <f>IF($V$2-REG_STOCK[[#This Row],[ALCANCE FISICO]]&gt;0,"",($V$2-REG_STOCK[[#This Row],[ALCANCE FISICO]]/REG_STOCK[[#This Row],[CUBICACION PPTO.]]))</f>
        <v/>
      </c>
      <c r="P172" s="3">
        <f>+_xlfn.XLOOKUP(REG_STOCK[[#This Row],[CODIGO]],PRODUCTOS[CODIGO],PRODUCTOS[PRECIO COMPRA UNITARIO],"",0)</f>
        <v>707.86891891891889</v>
      </c>
      <c r="Q172" s="3" t="str">
        <f>IFERROR(REG_STOCK[[#This Row],[VALOR UNITARIO]]*REG_STOCK[[#This Row],[PERDIDA O EN PROCESO]],"")</f>
        <v/>
      </c>
      <c r="R172" s="3">
        <f>+REG_STOCK[[#This Row],[VALOR UNITARIO]]*REG_STOCK[[#This Row],[STOCK FISICO]]</f>
        <v>0</v>
      </c>
    </row>
    <row r="173" spans="1:18" hidden="1" x14ac:dyDescent="0.25">
      <c r="A173" s="1">
        <v>46203</v>
      </c>
      <c r="B173">
        <v>1902014</v>
      </c>
      <c r="C173" t="s">
        <v>316</v>
      </c>
      <c r="D173" t="s">
        <v>18</v>
      </c>
      <c r="F173">
        <v>0</v>
      </c>
      <c r="H173" t="str">
        <f>+_xlfn.XLOOKUP(REG_STOCK[[#This Row],[CODIGO]],PRODUCTOS[CODIGO],PRODUCTOS[DESC CORTA],"",0)</f>
        <v>VOLCOGLASS</v>
      </c>
      <c r="I173" s="76">
        <f>SUMIFS(DETALLE_GD_1[CANTIDAD RECEPCIONADA],DETALLE_GD_1[CODIGO],REG_STOCK[[#This Row],[CODIGO]],DETALLE_GD_1[FECHA SOLICITUD],"&lt;="&amp;REG_STOCK[[#This Row],[FECHA STOCK ]])+97</f>
        <v>617</v>
      </c>
      <c r="J173">
        <f>+REG_STOCK[[#This Row],[SOLICITADO A TF]]-REG_STOCK[[#This Row],[STOCK FISICO]]</f>
        <v>617</v>
      </c>
      <c r="K173" s="40">
        <f>+_xlfn.XLOOKUP(REG_STOCK[[#This Row],[CODIGO]],PRODUCTOS[CODIGO],PRODUCTOS[CANT X MODULO],"",0)</f>
        <v>5.5125000000000002</v>
      </c>
      <c r="L173" s="3">
        <f>+REG_STOCK[[#This Row],[CONSUMO]]/REG_STOCK[[#This Row],[CUBICACION PPTO.]]</f>
        <v>111.92743764172336</v>
      </c>
      <c r="M173" s="3">
        <f>+REG_STOCK[[#This Row],[STOCK FISICO]]/REG_STOCK[[#This Row],[CUBICACION PPTO.]]</f>
        <v>0</v>
      </c>
      <c r="N173" s="3">
        <f>+REG_STOCK[[#This Row],[SOLICITADO A TF]]/REG_STOCK[[#This Row],[CUBICACION PPTO.]]</f>
        <v>111.92743764172336</v>
      </c>
      <c r="O173" s="3">
        <f>IF($V$2-REG_STOCK[[#This Row],[ALCANCE FISICO]]&gt;0,"",($V$2-REG_STOCK[[#This Row],[ALCANCE FISICO]]/REG_STOCK[[#This Row],[CUBICACION PPTO.]]))</f>
        <v>89.695702922136348</v>
      </c>
      <c r="P173" s="3">
        <f>+_xlfn.XLOOKUP(REG_STOCK[[#This Row],[CODIGO]],PRODUCTOS[CODIGO],PRODUCTOS[PRECIO COMPRA UNITARIO],"",0)</f>
        <v>29799.757692307692</v>
      </c>
      <c r="Q173" s="3">
        <f>IFERROR(REG_STOCK[[#This Row],[VALOR UNITARIO]]*REG_STOCK[[#This Row],[PERDIDA O EN PROCESO]],"")</f>
        <v>2672910.2131208782</v>
      </c>
      <c r="R173" s="3">
        <f>+REG_STOCK[[#This Row],[VALOR UNITARIO]]*REG_STOCK[[#This Row],[STOCK FISICO]]</f>
        <v>0</v>
      </c>
    </row>
    <row r="174" spans="1:18" hidden="1" x14ac:dyDescent="0.25">
      <c r="A174" s="1">
        <v>46203</v>
      </c>
      <c r="B174">
        <v>302054</v>
      </c>
      <c r="C174" t="s">
        <v>356</v>
      </c>
      <c r="D174" t="s">
        <v>20</v>
      </c>
      <c r="H174">
        <f>+_xlfn.XLOOKUP(REG_STOCK[[#This Row],[CODIGO]],PRODUCTOS[CODIGO],PRODUCTOS[DESC CORTA],"",0)</f>
        <v>0</v>
      </c>
      <c r="I174" s="76">
        <f>SUMIFS(DETALLE_GD_1[CANTIDAD RECEPCIONADA],DETALLE_GD_1[CODIGO],REG_STOCK[[#This Row],[CODIGO]],DETALLE_GD_1[FECHA SOLICITUD],"&lt;="&amp;REG_STOCK[[#This Row],[FECHA STOCK ]])+97</f>
        <v>17905</v>
      </c>
      <c r="J174">
        <f>+REG_STOCK[[#This Row],[SOLICITADO A TF]]-REG_STOCK[[#This Row],[STOCK FISICO]]</f>
        <v>17905</v>
      </c>
      <c r="K174" s="40">
        <f>+_xlfn.XLOOKUP(REG_STOCK[[#This Row],[CODIGO]],PRODUCTOS[CODIGO],PRODUCTOS[CANT X MODULO],"",0)</f>
        <v>34.543750000000003</v>
      </c>
      <c r="L174" s="3">
        <f>+REG_STOCK[[#This Row],[CONSUMO]]/REG_STOCK[[#This Row],[CUBICACION PPTO.]]</f>
        <v>518.32820698389719</v>
      </c>
      <c r="M174" s="3">
        <f>+REG_STOCK[[#This Row],[STOCK FISICO]]/REG_STOCK[[#This Row],[CUBICACION PPTO.]]</f>
        <v>0</v>
      </c>
      <c r="N174" s="3">
        <f>+REG_STOCK[[#This Row],[SOLICITADO A TF]]/REG_STOCK[[#This Row],[CUBICACION PPTO.]]</f>
        <v>518.32820698389719</v>
      </c>
      <c r="O174" s="3">
        <f>IF($V$2-REG_STOCK[[#This Row],[ALCANCE FISICO]]&gt;0,"",($V$2-REG_STOCK[[#This Row],[ALCANCE FISICO]]/REG_STOCK[[#This Row],[CUBICACION PPTO.]]))</f>
        <v>94.995022052212136</v>
      </c>
      <c r="P174" s="3">
        <f>+_xlfn.XLOOKUP(REG_STOCK[[#This Row],[CODIGO]],PRODUCTOS[CODIGO],PRODUCTOS[PRECIO COMPRA UNITARIO],"",0)</f>
        <v>4843.5655884995504</v>
      </c>
      <c r="Q174" s="3">
        <f>IFERROR(REG_STOCK[[#This Row],[VALOR UNITARIO]]*REG_STOCK[[#This Row],[PERDIDA O EN PROCESO]],"")</f>
        <v>460114.61989085062</v>
      </c>
      <c r="R174" s="3">
        <f>+REG_STOCK[[#This Row],[VALOR UNITARIO]]*REG_STOCK[[#This Row],[STOCK FISICO]]</f>
        <v>0</v>
      </c>
    </row>
    <row r="175" spans="1:18" hidden="1" x14ac:dyDescent="0.25">
      <c r="A175" s="1">
        <v>46203</v>
      </c>
      <c r="B175">
        <v>302048</v>
      </c>
      <c r="C175" t="s">
        <v>126</v>
      </c>
      <c r="D175" t="s">
        <v>20</v>
      </c>
      <c r="F175">
        <v>0</v>
      </c>
      <c r="H175" t="str">
        <f>+_xlfn.XLOOKUP(REG_STOCK[[#This Row],[CODIGO]],PRODUCTOS[CODIGO],PRODUCTOS[DESC CORTA],"",0)</f>
        <v>PINO 2X8X4</v>
      </c>
      <c r="I175" s="76">
        <f>SUMIFS(DETALLE_GD_1[CANTIDAD RECEPCIONADA],DETALLE_GD_1[CODIGO],REG_STOCK[[#This Row],[CODIGO]],DETALLE_GD_1[FECHA SOLICITUD],"&lt;="&amp;REG_STOCK[[#This Row],[FECHA STOCK ]])+97</f>
        <v>3019</v>
      </c>
      <c r="J175">
        <f>+REG_STOCK[[#This Row],[SOLICITADO A TF]]-REG_STOCK[[#This Row],[STOCK FISICO]]</f>
        <v>3019</v>
      </c>
      <c r="K175" s="40">
        <f>+_xlfn.XLOOKUP(REG_STOCK[[#This Row],[CODIGO]],PRODUCTOS[CODIGO],PRODUCTOS[CANT X MODULO],"",0)</f>
        <v>35.174999999999997</v>
      </c>
      <c r="L175" s="3">
        <f>+REG_STOCK[[#This Row],[CONSUMO]]/REG_STOCK[[#This Row],[CUBICACION PPTO.]]</f>
        <v>85.828002842928228</v>
      </c>
      <c r="M175" s="3">
        <f>+REG_STOCK[[#This Row],[STOCK FISICO]]/REG_STOCK[[#This Row],[CUBICACION PPTO.]]</f>
        <v>0</v>
      </c>
      <c r="N175" s="3">
        <f>+REG_STOCK[[#This Row],[SOLICITADO A TF]]/REG_STOCK[[#This Row],[CUBICACION PPTO.]]</f>
        <v>85.828002842928228</v>
      </c>
      <c r="O175" s="3" t="str">
        <f>IF($V$2-REG_STOCK[[#This Row],[ALCANCE FISICO]]&gt;0,"",($V$2-REG_STOCK[[#This Row],[ALCANCE FISICO]]/REG_STOCK[[#This Row],[CUBICACION PPTO.]]))</f>
        <v/>
      </c>
      <c r="P175" s="3">
        <f>+_xlfn.XLOOKUP(REG_STOCK[[#This Row],[CODIGO]],PRODUCTOS[CODIGO],PRODUCTOS[PRECIO COMPRA UNITARIO],"",0)</f>
        <v>13769.264887063655</v>
      </c>
      <c r="Q175" s="3" t="str">
        <f>IFERROR(REG_STOCK[[#This Row],[VALOR UNITARIO]]*REG_STOCK[[#This Row],[PERDIDA O EN PROCESO]],"")</f>
        <v/>
      </c>
      <c r="R175" s="3">
        <f>+REG_STOCK[[#This Row],[VALOR UNITARIO]]*REG_STOCK[[#This Row],[STOCK FISICO]]</f>
        <v>0</v>
      </c>
    </row>
    <row r="176" spans="1:18" hidden="1" x14ac:dyDescent="0.25">
      <c r="A176" s="1">
        <v>46203</v>
      </c>
      <c r="B176">
        <v>705028</v>
      </c>
      <c r="C176" t="s">
        <v>72</v>
      </c>
      <c r="D176" t="s">
        <v>18</v>
      </c>
      <c r="H176" t="str">
        <f>+_xlfn.XLOOKUP(REG_STOCK[[#This Row],[CODIGO]],PRODUCTOS[CODIGO],PRODUCTOS[DESC CORTA],"",0)</f>
        <v>SIMPLISIMA</v>
      </c>
      <c r="I176" s="76">
        <f>SUMIFS(DETALLE_GD_1[CANTIDAD RECEPCIONADA],DETALLE_GD_1[CODIGO],REG_STOCK[[#This Row],[CODIGO]],DETALLE_GD_1[FECHA SOLICITUD],"&lt;="&amp;REG_STOCK[[#This Row],[FECHA STOCK ]])+97</f>
        <v>546</v>
      </c>
      <c r="J176">
        <f>+REG_STOCK[[#This Row],[SOLICITADO A TF]]-REG_STOCK[[#This Row],[STOCK FISICO]]</f>
        <v>546</v>
      </c>
      <c r="K176" s="40">
        <f>+_xlfn.XLOOKUP(REG_STOCK[[#This Row],[CODIGO]],PRODUCTOS[CODIGO],PRODUCTOS[CANT X MODULO],"",0)</f>
        <v>3.6749999999999998</v>
      </c>
      <c r="L176" s="3">
        <f>+REG_STOCK[[#This Row],[CONSUMO]]/REG_STOCK[[#This Row],[CUBICACION PPTO.]]</f>
        <v>148.57142857142858</v>
      </c>
      <c r="M176" s="3">
        <f>+REG_STOCK[[#This Row],[STOCK FISICO]]/REG_STOCK[[#This Row],[CUBICACION PPTO.]]</f>
        <v>0</v>
      </c>
      <c r="N176" s="3">
        <f>+REG_STOCK[[#This Row],[SOLICITADO A TF]]/REG_STOCK[[#This Row],[CUBICACION PPTO.]]</f>
        <v>148.57142857142858</v>
      </c>
      <c r="O176" s="3">
        <f>IF($V$2-REG_STOCK[[#This Row],[ALCANCE FISICO]]&gt;0,"",($V$2-REG_STOCK[[#This Row],[ALCANCE FISICO]]/REG_STOCK[[#This Row],[CUBICACION PPTO.]]))</f>
        <v>69.572400388726919</v>
      </c>
      <c r="P176" s="3">
        <f>+_xlfn.XLOOKUP(REG_STOCK[[#This Row],[CODIGO]],PRODUCTOS[CODIGO],PRODUCTOS[PRECIO COMPRA UNITARIO],"",0)</f>
        <v>22787.11135857461</v>
      </c>
      <c r="Q176" s="3">
        <f>IFERROR(REG_STOCK[[#This Row],[VALOR UNITARIO]]*REG_STOCK[[#This Row],[PERDIDA O EN PROCESO]],"")</f>
        <v>1585354.0351412597</v>
      </c>
      <c r="R176" s="3">
        <f>+REG_STOCK[[#This Row],[VALOR UNITARIO]]*REG_STOCK[[#This Row],[STOCK FISICO]]</f>
        <v>0</v>
      </c>
    </row>
    <row r="177" spans="1:18" hidden="1" x14ac:dyDescent="0.25">
      <c r="A177" s="1">
        <v>46203</v>
      </c>
      <c r="B177">
        <v>1902013</v>
      </c>
      <c r="C177" t="s">
        <v>338</v>
      </c>
      <c r="D177" t="s">
        <v>47</v>
      </c>
      <c r="F177">
        <v>2</v>
      </c>
      <c r="H177">
        <f>+_xlfn.XLOOKUP(REG_STOCK[[#This Row],[CODIGO]],PRODUCTOS[CODIGO],PRODUCTOS[DESC CORTA],"",0)</f>
        <v>0</v>
      </c>
      <c r="I177" s="76">
        <f>SUMIFS(DETALLE_GD_1[CANTIDAD RECEPCIONADA],DETALLE_GD_1[CODIGO],REG_STOCK[[#This Row],[CODIGO]],DETALLE_GD_1[FECHA SOLICITUD],"&lt;="&amp;REG_STOCK[[#This Row],[FECHA STOCK ]])+97</f>
        <v>470</v>
      </c>
      <c r="J177">
        <f>+REG_STOCK[[#This Row],[SOLICITADO A TF]]-REG_STOCK[[#This Row],[STOCK FISICO]]</f>
        <v>470</v>
      </c>
      <c r="K177" s="40">
        <f>+_xlfn.XLOOKUP(REG_STOCK[[#This Row],[CODIGO]],PRODUCTOS[CODIGO],PRODUCTOS[CANT X MODULO],"",0)</f>
        <v>130.33466250000004</v>
      </c>
      <c r="L177" s="3">
        <f>+REG_STOCK[[#This Row],[CONSUMO]]/REG_STOCK[[#This Row],[CUBICACION PPTO.]]</f>
        <v>3.6061013316392319</v>
      </c>
      <c r="M177" s="3">
        <f>+REG_STOCK[[#This Row],[STOCK FISICO]]/REG_STOCK[[#This Row],[CUBICACION PPTO.]]</f>
        <v>0</v>
      </c>
      <c r="N177" s="3">
        <f>+REG_STOCK[[#This Row],[SOLICITADO A TF]]/REG_STOCK[[#This Row],[CUBICACION PPTO.]]</f>
        <v>3.6061013316392319</v>
      </c>
      <c r="O177" s="3" t="str">
        <f>IF($V$2-REG_STOCK[[#This Row],[ALCANCE FISICO]]&gt;0,"",($V$2-REG_STOCK[[#This Row],[ALCANCE FISICO]]/REG_STOCK[[#This Row],[CUBICACION PPTO.]]))</f>
        <v/>
      </c>
      <c r="P177" s="3">
        <f>+_xlfn.XLOOKUP(REG_STOCK[[#This Row],[CODIGO]],PRODUCTOS[CODIGO],PRODUCTOS[PRECIO COMPRA UNITARIO],"",0)</f>
        <v>40087.627345844507</v>
      </c>
      <c r="Q177" s="3" t="str">
        <f>IFERROR(REG_STOCK[[#This Row],[VALOR UNITARIO]]*REG_STOCK[[#This Row],[PERDIDA O EN PROCESO]],"")</f>
        <v/>
      </c>
      <c r="R177" s="3">
        <f>+REG_STOCK[[#This Row],[VALOR UNITARIO]]*REG_STOCK[[#This Row],[STOCK FISICO]]</f>
        <v>0</v>
      </c>
    </row>
    <row r="178" spans="1:18" hidden="1" x14ac:dyDescent="0.25">
      <c r="A178" s="1">
        <v>46209</v>
      </c>
      <c r="B178">
        <v>304007</v>
      </c>
      <c r="C178" t="s">
        <v>80</v>
      </c>
      <c r="D178" t="s">
        <v>18</v>
      </c>
      <c r="F178">
        <v>0.125</v>
      </c>
      <c r="G178">
        <v>31</v>
      </c>
      <c r="H178" t="str">
        <f>+_xlfn.XLOOKUP(REG_STOCK[[#This Row],[CODIGO]],PRODUCTOS[CODIGO],PRODUCTOS[DESC CORTA],"",0)</f>
        <v>OSB 11MM</v>
      </c>
      <c r="I178" s="76">
        <f>SUMIFS(DETALLE_GD_1[CANTIDAD RECEPCIONADA],DETALLE_GD_1[CODIGO],REG_STOCK[[#This Row],[CODIGO]],DETALLE_GD_1[FECHA SOLICITUD],"&lt;="&amp;REG_STOCK[[#This Row],[FECHA STOCK ]])+97</f>
        <v>1385</v>
      </c>
      <c r="J178">
        <f>+REG_STOCK[[#This Row],[SOLICITADO A TF]]-REG_STOCK[[#This Row],[STOCK FISICO]]</f>
        <v>1354</v>
      </c>
      <c r="K178" s="40">
        <f>+_xlfn.XLOOKUP(REG_STOCK[[#This Row],[CODIGO]],PRODUCTOS[CODIGO],PRODUCTOS[CANT X MODULO],"",0)</f>
        <v>8.6625000000000014</v>
      </c>
      <c r="L178" s="3">
        <f>+REG_STOCK[[#This Row],[CONSUMO]]/REG_STOCK[[#This Row],[CUBICACION PPTO.]]</f>
        <v>156.30591630591627</v>
      </c>
      <c r="M178" s="3">
        <f>+REG_STOCK[[#This Row],[STOCK FISICO]]/REG_STOCK[[#This Row],[CUBICACION PPTO.]]</f>
        <v>3.578643578643578</v>
      </c>
      <c r="N178" s="3">
        <f>+REG_STOCK[[#This Row],[SOLICITADO A TF]]/REG_STOCK[[#This Row],[CUBICACION PPTO.]]</f>
        <v>159.88455988455985</v>
      </c>
      <c r="O178" s="3">
        <f>IF($V$2-REG_STOCK[[#This Row],[ALCANCE FISICO]]&gt;0,"",($V$2-REG_STOCK[[#This Row],[ALCANCE FISICO]]/REG_STOCK[[#This Row],[CUBICACION PPTO.]]))</f>
        <v>91.542907949834358</v>
      </c>
      <c r="P178" s="3">
        <f>+_xlfn.XLOOKUP(REG_STOCK[[#This Row],[CODIGO]],PRODUCTOS[CODIGO],PRODUCTOS[PRECIO COMPRA UNITARIO],"",0)</f>
        <v>11497.288819875776</v>
      </c>
      <c r="Q178" s="3">
        <f>IFERROR(REG_STOCK[[#This Row],[VALOR UNITARIO]]*REG_STOCK[[#This Row],[PERDIDA O EN PROCESO]],"")</f>
        <v>1052495.2521105479</v>
      </c>
      <c r="R178" s="3">
        <f>+REG_STOCK[[#This Row],[VALOR UNITARIO]]*REG_STOCK[[#This Row],[STOCK FISICO]]</f>
        <v>356415.95341614902</v>
      </c>
    </row>
    <row r="179" spans="1:18" hidden="1" x14ac:dyDescent="0.25">
      <c r="A179" s="1">
        <v>46209</v>
      </c>
      <c r="B179">
        <v>701043</v>
      </c>
      <c r="C179" t="s">
        <v>197</v>
      </c>
      <c r="D179" t="s">
        <v>696</v>
      </c>
      <c r="F179">
        <v>2</v>
      </c>
      <c r="G179">
        <v>198</v>
      </c>
      <c r="H179" t="str">
        <f>+_xlfn.XLOOKUP(REG_STOCK[[#This Row],[CODIGO]],PRODUCTOS[CODIGO],PRODUCTOS[DESC CORTA],"",0)</f>
        <v>VOLCANITA EMPAPELADA CIELO</v>
      </c>
      <c r="I179" s="76">
        <f>SUMIFS(DETALLE_GD_1[CANTIDAD RECEPCIONADA],DETALLE_GD_1[CODIGO],REG_STOCK[[#This Row],[CODIGO]],DETALLE_GD_1[FECHA SOLICITUD],"&lt;="&amp;REG_STOCK[[#This Row],[FECHA STOCK ]])+97</f>
        <v>1173</v>
      </c>
      <c r="J179">
        <f>+REG_STOCK[[#This Row],[SOLICITADO A TF]]-REG_STOCK[[#This Row],[STOCK FISICO]]</f>
        <v>975</v>
      </c>
      <c r="K179" s="40">
        <f>+_xlfn.XLOOKUP(REG_STOCK[[#This Row],[CODIGO]],PRODUCTOS[CODIGO],PRODUCTOS[CANT X MODULO],"",0)</f>
        <v>7.0875000000000012</v>
      </c>
      <c r="L179" s="3">
        <f>+REG_STOCK[[#This Row],[CONSUMO]]/REG_STOCK[[#This Row],[CUBICACION PPTO.]]</f>
        <v>137.56613756613754</v>
      </c>
      <c r="M179" s="3">
        <f>+REG_STOCK[[#This Row],[STOCK FISICO]]/REG_STOCK[[#This Row],[CUBICACION PPTO.]]</f>
        <v>27.936507936507933</v>
      </c>
      <c r="N179" s="3">
        <f>+REG_STOCK[[#This Row],[SOLICITADO A TF]]/REG_STOCK[[#This Row],[CUBICACION PPTO.]]</f>
        <v>165.50264550264546</v>
      </c>
      <c r="O179" s="3">
        <f>IF($V$2-REG_STOCK[[#This Row],[ALCANCE FISICO]]&gt;0,"",($V$2-REG_STOCK[[#This Row],[ALCANCE FISICO]]/REG_STOCK[[#This Row],[CUBICACION PPTO.]]))</f>
        <v>86.648656719203473</v>
      </c>
      <c r="P179" s="3">
        <f>+_xlfn.XLOOKUP(REG_STOCK[[#This Row],[CODIGO]],PRODUCTOS[CODIGO],PRODUCTOS[PRECIO COMPRA UNITARIO],"",0)</f>
        <v>22537.549256505576</v>
      </c>
      <c r="Q179" s="3">
        <f>IFERROR(REG_STOCK[[#This Row],[VALOR UNITARIO]]*REG_STOCK[[#This Row],[PERDIDA O EN PROCESO]],"")</f>
        <v>1952848.368819091</v>
      </c>
      <c r="R179" s="3">
        <f>+REG_STOCK[[#This Row],[VALOR UNITARIO]]*REG_STOCK[[#This Row],[STOCK FISICO]]</f>
        <v>4462434.7527881041</v>
      </c>
    </row>
    <row r="180" spans="1:18" hidden="1" x14ac:dyDescent="0.25">
      <c r="A180" s="1">
        <v>46209</v>
      </c>
      <c r="B180">
        <v>302046</v>
      </c>
      <c r="C180" t="s">
        <v>516</v>
      </c>
      <c r="D180" t="s">
        <v>20</v>
      </c>
      <c r="F180">
        <v>10</v>
      </c>
      <c r="G180">
        <v>358</v>
      </c>
      <c r="H180" t="str">
        <f>+_xlfn.XLOOKUP(REG_STOCK[[#This Row],[CODIGO]],PRODUCTOS[CODIGO],PRODUCTOS[DESC CORTA],"",0)</f>
        <v>PINO 2X6X400</v>
      </c>
      <c r="I180" s="76">
        <f>SUMIFS(DETALLE_GD_1[CANTIDAD RECEPCIONADA],DETALLE_GD_1[CODIGO],REG_STOCK[[#This Row],[CODIGO]],DETALLE_GD_1[FECHA SOLICITUD],"&lt;="&amp;REG_STOCK[[#This Row],[FECHA STOCK ]])+97</f>
        <v>4934</v>
      </c>
      <c r="J180">
        <f>+REG_STOCK[[#This Row],[SOLICITADO A TF]]-REG_STOCK[[#This Row],[STOCK FISICO]]</f>
        <v>4576</v>
      </c>
      <c r="K180" s="40">
        <f>+_xlfn.XLOOKUP(REG_STOCK[[#This Row],[CODIGO]],PRODUCTOS[CODIGO],PRODUCTOS[CANT X MODULO],"",0)</f>
        <v>34.65</v>
      </c>
      <c r="L180" s="3">
        <f>+REG_STOCK[[#This Row],[CONSUMO]]/REG_STOCK[[#This Row],[CUBICACION PPTO.]]</f>
        <v>132.06349206349208</v>
      </c>
      <c r="M180" s="3">
        <f>+REG_STOCK[[#This Row],[STOCK FISICO]]/REG_STOCK[[#This Row],[CUBICACION PPTO.]]</f>
        <v>10.331890331890332</v>
      </c>
      <c r="N180" s="3">
        <f>+REG_STOCK[[#This Row],[SOLICITADO A TF]]/REG_STOCK[[#This Row],[CUBICACION PPTO.]]</f>
        <v>142.3953823953824</v>
      </c>
      <c r="O180" s="3">
        <f>IF($V$2-REG_STOCK[[#This Row],[ALCANCE FISICO]]&gt;0,"",($V$2-REG_STOCK[[#This Row],[ALCANCE FISICO]]/REG_STOCK[[#This Row],[CUBICACION PPTO.]]))</f>
        <v>105.89046515453441</v>
      </c>
      <c r="P180" s="3">
        <f>+_xlfn.XLOOKUP(REG_STOCK[[#This Row],[CODIGO]],PRODUCTOS[CODIGO],PRODUCTOS[PRECIO COMPRA UNITARIO],"",0)</f>
        <v>10289.047343394666</v>
      </c>
      <c r="Q180" s="3">
        <f>IFERROR(REG_STOCK[[#This Row],[VALOR UNITARIO]]*REG_STOCK[[#This Row],[PERDIDA O EN PROCESO]],"")</f>
        <v>1089512.0091890877</v>
      </c>
      <c r="R180" s="3">
        <f>+REG_STOCK[[#This Row],[VALOR UNITARIO]]*REG_STOCK[[#This Row],[STOCK FISICO]]</f>
        <v>3683478.9489352903</v>
      </c>
    </row>
    <row r="181" spans="1:18" hidden="1" x14ac:dyDescent="0.25">
      <c r="A181" s="1">
        <v>46209</v>
      </c>
      <c r="B181">
        <v>302010</v>
      </c>
      <c r="C181" t="s">
        <v>511</v>
      </c>
      <c r="D181" t="s">
        <v>20</v>
      </c>
      <c r="F181">
        <v>10</v>
      </c>
      <c r="G181">
        <v>336</v>
      </c>
      <c r="H181" t="str">
        <f>+_xlfn.XLOOKUP(REG_STOCK[[#This Row],[CODIGO]],PRODUCTOS[CODIGO],PRODUCTOS[DESC CORTA],"",0)</f>
        <v>PINO 2X6X320</v>
      </c>
      <c r="I181" s="76">
        <f>SUMIFS(DETALLE_GD_1[CANTIDAD RECEPCIONADA],DETALLE_GD_1[CODIGO],REG_STOCK[[#This Row],[CODIGO]],DETALLE_GD_1[FECHA SOLICITUD],"&lt;="&amp;REG_STOCK[[#This Row],[FECHA STOCK ]])+97</f>
        <v>3541</v>
      </c>
      <c r="J181">
        <f>+REG_STOCK[[#This Row],[SOLICITADO A TF]]-REG_STOCK[[#This Row],[STOCK FISICO]]</f>
        <v>3205</v>
      </c>
      <c r="K181" s="40">
        <f>+_xlfn.XLOOKUP(REG_STOCK[[#This Row],[CODIGO]],PRODUCTOS[CODIGO],PRODUCTOS[CANT X MODULO],"",0)</f>
        <v>34.912500000000023</v>
      </c>
      <c r="L181" s="3">
        <f>+REG_STOCK[[#This Row],[CONSUMO]]/REG_STOCK[[#This Row],[CUBICACION PPTO.]]</f>
        <v>91.800930898675205</v>
      </c>
      <c r="M181" s="3">
        <f>+REG_STOCK[[#This Row],[STOCK FISICO]]/REG_STOCK[[#This Row],[CUBICACION PPTO.]]</f>
        <v>9.624060150375934</v>
      </c>
      <c r="N181" s="3">
        <f>+REG_STOCK[[#This Row],[SOLICITADO A TF]]/REG_STOCK[[#This Row],[CUBICACION PPTO.]]</f>
        <v>101.42499104905113</v>
      </c>
      <c r="O181" s="3" t="str">
        <f>IF($V$2-REG_STOCK[[#This Row],[ALCANCE FISICO]]&gt;0,"",($V$2-REG_STOCK[[#This Row],[ALCANCE FISICO]]/REG_STOCK[[#This Row],[CUBICACION PPTO.]]))</f>
        <v/>
      </c>
      <c r="P181" s="3">
        <f>+_xlfn.XLOOKUP(REG_STOCK[[#This Row],[CODIGO]],PRODUCTOS[CODIGO],PRODUCTOS[PRECIO COMPRA UNITARIO],"",0)</f>
        <v>5690.5508432539682</v>
      </c>
      <c r="Q181" s="3" t="str">
        <f>IFERROR(REG_STOCK[[#This Row],[VALOR UNITARIO]]*REG_STOCK[[#This Row],[PERDIDA O EN PROCESO]],"")</f>
        <v/>
      </c>
      <c r="R181" s="3">
        <f>+REG_STOCK[[#This Row],[VALOR UNITARIO]]*REG_STOCK[[#This Row],[STOCK FISICO]]</f>
        <v>1912025.0833333333</v>
      </c>
    </row>
    <row r="182" spans="1:18" hidden="1" x14ac:dyDescent="0.25">
      <c r="A182" s="1">
        <v>46209</v>
      </c>
      <c r="B182">
        <v>1901008</v>
      </c>
      <c r="C182" t="s">
        <v>747</v>
      </c>
      <c r="D182" t="s">
        <v>26</v>
      </c>
      <c r="F182">
        <v>0</v>
      </c>
      <c r="G182">
        <v>27</v>
      </c>
      <c r="H182" t="str">
        <f>+_xlfn.XLOOKUP(REG_STOCK[[#This Row],[CODIGO]],PRODUCTOS[CODIGO],PRODUCTOS[DESC CORTA],"",0)</f>
        <v>AISLAN GLASS 90MM</v>
      </c>
      <c r="I182" s="76">
        <f>SUMIFS(DETALLE_GD_1[CANTIDAD RECEPCIONADA],DETALLE_GD_1[CODIGO],REG_STOCK[[#This Row],[CODIGO]],DETALLE_GD_1[FECHA SOLICITUD],"&lt;="&amp;REG_STOCK[[#This Row],[FECHA STOCK ]])+97</f>
        <v>7114</v>
      </c>
      <c r="J182">
        <f>+REG_STOCK[[#This Row],[SOLICITADO A TF]]-REG_STOCK[[#This Row],[STOCK FISICO]]</f>
        <v>7087</v>
      </c>
      <c r="K182" s="40">
        <f>+_xlfn.XLOOKUP(REG_STOCK[[#This Row],[CODIGO]],PRODUCTOS[CODIGO],PRODUCTOS[CANT X MODULO],"",0)</f>
        <v>62.430325650000007</v>
      </c>
      <c r="L182" s="3">
        <f>+REG_STOCK[[#This Row],[CONSUMO]]/REG_STOCK[[#This Row],[CUBICACION PPTO.]]</f>
        <v>113.51854929816467</v>
      </c>
      <c r="M182" s="3">
        <f>+REG_STOCK[[#This Row],[STOCK FISICO]]/REG_STOCK[[#This Row],[CUBICACION PPTO.]]</f>
        <v>0.43248212657689378</v>
      </c>
      <c r="N182" s="3">
        <f>+REG_STOCK[[#This Row],[SOLICITADO A TF]]/REG_STOCK[[#This Row],[CUBICACION PPTO.]]</f>
        <v>113.95103142474156</v>
      </c>
      <c r="O182" s="3">
        <f>IF($V$2-REG_STOCK[[#This Row],[ALCANCE FISICO]]&gt;0,"",($V$2-REG_STOCK[[#This Row],[ALCANCE FISICO]]/REG_STOCK[[#This Row],[CUBICACION PPTO.]]))</f>
        <v>108.17474872606657</v>
      </c>
      <c r="P182" s="3">
        <f>+_xlfn.XLOOKUP(REG_STOCK[[#This Row],[CODIGO]],PRODUCTOS[CODIGO],PRODUCTOS[PRECIO COMPRA UNITARIO],"",0)</f>
        <v>2062.9827561636025</v>
      </c>
      <c r="Q182" s="3">
        <f>IFERROR(REG_STOCK[[#This Row],[VALOR UNITARIO]]*REG_STOCK[[#This Row],[PERDIDA O EN PROCESO]],"")</f>
        <v>223162.64127420596</v>
      </c>
      <c r="R182" s="3">
        <f>+REG_STOCK[[#This Row],[VALOR UNITARIO]]*REG_STOCK[[#This Row],[STOCK FISICO]]</f>
        <v>55700.534416417271</v>
      </c>
    </row>
    <row r="183" spans="1:18" hidden="1" x14ac:dyDescent="0.25">
      <c r="A183" s="1">
        <v>46209</v>
      </c>
      <c r="B183">
        <v>304002</v>
      </c>
      <c r="C183" t="s">
        <v>37</v>
      </c>
      <c r="D183" t="s">
        <v>18</v>
      </c>
      <c r="G183">
        <v>231</v>
      </c>
      <c r="H183" t="str">
        <f>+_xlfn.XLOOKUP(REG_STOCK[[#This Row],[CODIGO]],PRODUCTOS[CODIGO],PRODUCTOS[DESC CORTA],"",0)</f>
        <v>SMARTPANEL</v>
      </c>
      <c r="I183" s="76">
        <f>SUMIFS(DETALLE_GD_1[CANTIDAD RECEPCIONADA],DETALLE_GD_1[CODIGO],REG_STOCK[[#This Row],[CODIGO]],DETALLE_GD_1[FECHA SOLICITUD],"&lt;="&amp;REG_STOCK[[#This Row],[FECHA STOCK ]])+97</f>
        <v>3600</v>
      </c>
      <c r="J183">
        <f>+REG_STOCK[[#This Row],[SOLICITADO A TF]]-REG_STOCK[[#This Row],[STOCK FISICO]]</f>
        <v>3369</v>
      </c>
      <c r="K183" s="40">
        <f>+_xlfn.XLOOKUP(REG_STOCK[[#This Row],[CODIGO]],PRODUCTOS[CODIGO],PRODUCTOS[CANT X MODULO],"",0)</f>
        <v>23.296874999999996</v>
      </c>
      <c r="L183" s="3">
        <f>+REG_STOCK[[#This Row],[CONSUMO]]/REG_STOCK[[#This Row],[CUBICACION PPTO.]]</f>
        <v>144.61167002012075</v>
      </c>
      <c r="M183" s="3">
        <f>+REG_STOCK[[#This Row],[STOCK FISICO]]/REG_STOCK[[#This Row],[CUBICACION PPTO.]]</f>
        <v>9.9154929577464799</v>
      </c>
      <c r="N183" s="3">
        <f>+REG_STOCK[[#This Row],[SOLICITADO A TF]]/REG_STOCK[[#This Row],[CUBICACION PPTO.]]</f>
        <v>154.52716297786722</v>
      </c>
      <c r="O183" s="3">
        <f>IF($V$2-REG_STOCK[[#This Row],[ALCANCE FISICO]]&gt;0,"",($V$2-REG_STOCK[[#This Row],[ALCANCE FISICO]]/REG_STOCK[[#This Row],[CUBICACION PPTO.]]))</f>
        <v>103.36704330611435</v>
      </c>
      <c r="P183" s="3">
        <f>+_xlfn.XLOOKUP(REG_STOCK[[#This Row],[CODIGO]],PRODUCTOS[CODIGO],PRODUCTOS[PRECIO COMPRA UNITARIO],"",0)</f>
        <v>21604.880388238653</v>
      </c>
      <c r="Q183" s="3">
        <f>IFERROR(REG_STOCK[[#This Row],[VALOR UNITARIO]]*REG_STOCK[[#This Row],[PERDIDA O EN PROCESO]],"")</f>
        <v>2233232.6067144857</v>
      </c>
      <c r="R183" s="3">
        <f>+REG_STOCK[[#This Row],[VALOR UNITARIO]]*REG_STOCK[[#This Row],[STOCK FISICO]]</f>
        <v>4990727.3696831288</v>
      </c>
    </row>
    <row r="184" spans="1:18" hidden="1" x14ac:dyDescent="0.25">
      <c r="A184" s="1">
        <v>46209</v>
      </c>
      <c r="B184">
        <v>304101</v>
      </c>
      <c r="C184" t="s">
        <v>695</v>
      </c>
      <c r="D184" t="s">
        <v>18</v>
      </c>
      <c r="F184">
        <v>8.375</v>
      </c>
      <c r="G184">
        <v>216</v>
      </c>
      <c r="H184" t="str">
        <f>+_xlfn.XLOOKUP(REG_STOCK[[#This Row],[CODIGO]],PRODUCTOS[CODIGO],PRODUCTOS[DESC CORTA],"",0)</f>
        <v>OSB 9.5</v>
      </c>
      <c r="I184" s="76">
        <f>SUMIFS(DETALLE_GD_1[CANTIDAD RECEPCIONADA],DETALLE_GD_1[CODIGO],REG_STOCK[[#This Row],[CODIGO]],DETALLE_GD_1[FECHA SOLICITUD],"&lt;="&amp;REG_STOCK[[#This Row],[FECHA STOCK ]])+97</f>
        <v>5318</v>
      </c>
      <c r="J184">
        <f>+REG_STOCK[[#This Row],[SOLICITADO A TF]]-REG_STOCK[[#This Row],[STOCK FISICO]]</f>
        <v>5102</v>
      </c>
      <c r="K184" s="40">
        <f>+_xlfn.XLOOKUP(REG_STOCK[[#This Row],[CODIGO]],PRODUCTOS[CODIGO],PRODUCTOS[CANT X MODULO],"",0)</f>
        <v>47.643749999999976</v>
      </c>
      <c r="L184" s="3">
        <f>+REG_STOCK[[#This Row],[CONSUMO]]/REG_STOCK[[#This Row],[CUBICACION PPTO.]]</f>
        <v>107.08644890463077</v>
      </c>
      <c r="M184" s="3">
        <f>+REG_STOCK[[#This Row],[STOCK FISICO]]/REG_STOCK[[#This Row],[CUBICACION PPTO.]]</f>
        <v>4.5336481700118085</v>
      </c>
      <c r="N184" s="3">
        <f>+REG_STOCK[[#This Row],[SOLICITADO A TF]]/REG_STOCK[[#This Row],[CUBICACION PPTO.]]</f>
        <v>111.62009707464259</v>
      </c>
      <c r="O184" s="3">
        <f>IF($V$2-REG_STOCK[[#This Row],[ALCANCE FISICO]]&gt;0,"",($V$2-REG_STOCK[[#This Row],[ALCANCE FISICO]]/REG_STOCK[[#This Row],[CUBICACION PPTO.]]))</f>
        <v>107.65719329241206</v>
      </c>
      <c r="P184" s="3">
        <f>+_xlfn.XLOOKUP(REG_STOCK[[#This Row],[CODIGO]],PRODUCTOS[CODIGO],PRODUCTOS[PRECIO COMPRA UNITARIO],"",0)</f>
        <v>9649.1185596629002</v>
      </c>
      <c r="Q184" s="3">
        <f>IFERROR(REG_STOCK[[#This Row],[VALOR UNITARIO]]*REG_STOCK[[#This Row],[PERDIDA O EN PROCESO]],"")</f>
        <v>1038797.0218790295</v>
      </c>
      <c r="R184" s="3">
        <f>+REG_STOCK[[#This Row],[VALOR UNITARIO]]*REG_STOCK[[#This Row],[STOCK FISICO]]</f>
        <v>2084209.6088871865</v>
      </c>
    </row>
    <row r="185" spans="1:18" hidden="1" x14ac:dyDescent="0.25">
      <c r="A185" s="1">
        <v>46209</v>
      </c>
      <c r="B185">
        <v>302028</v>
      </c>
      <c r="C185" t="s">
        <v>512</v>
      </c>
      <c r="D185" t="s">
        <v>20</v>
      </c>
      <c r="F185">
        <v>0.17</v>
      </c>
      <c r="G185">
        <v>96</v>
      </c>
      <c r="H185" t="str">
        <f>+_xlfn.XLOOKUP(REG_STOCK[[#This Row],[CODIGO]],PRODUCTOS[CODIGO],PRODUCTOS[DESC CORTA],"",0)</f>
        <v>PINO 2X4X320</v>
      </c>
      <c r="I185" s="76">
        <f>SUMIFS(DETALLE_GD_1[CANTIDAD RECEPCIONADA],DETALLE_GD_1[CODIGO],REG_STOCK[[#This Row],[CODIGO]],DETALLE_GD_1[FECHA SOLICITUD],"&lt;="&amp;REG_STOCK[[#This Row],[FECHA STOCK ]])+97</f>
        <v>10658</v>
      </c>
      <c r="J185">
        <f>+REG_STOCK[[#This Row],[SOLICITADO A TF]]-REG_STOCK[[#This Row],[STOCK FISICO]]</f>
        <v>10562</v>
      </c>
      <c r="K185" s="40">
        <f>+_xlfn.XLOOKUP(REG_STOCK[[#This Row],[CODIGO]],PRODUCTOS[CODIGO],PRODUCTOS[CANT X MODULO],"",0)</f>
        <v>172.72499999999994</v>
      </c>
      <c r="L185" s="3">
        <f>+REG_STOCK[[#This Row],[CONSUMO]]/REG_STOCK[[#This Row],[CUBICACION PPTO.]]</f>
        <v>61.149225647705912</v>
      </c>
      <c r="M185" s="3">
        <f>+REG_STOCK[[#This Row],[STOCK FISICO]]/REG_STOCK[[#This Row],[CUBICACION PPTO.]]</f>
        <v>0.55579678679982647</v>
      </c>
      <c r="N185" s="3">
        <f>+REG_STOCK[[#This Row],[SOLICITADO A TF]]/REG_STOCK[[#This Row],[CUBICACION PPTO.]]</f>
        <v>61.705022434505743</v>
      </c>
      <c r="O185" s="3" t="str">
        <f>IF($V$2-REG_STOCK[[#This Row],[ALCANCE FISICO]]&gt;0,"",($V$2-REG_STOCK[[#This Row],[ALCANCE FISICO]]/REG_STOCK[[#This Row],[CUBICACION PPTO.]]))</f>
        <v/>
      </c>
      <c r="P185" s="3">
        <f>+_xlfn.XLOOKUP(REG_STOCK[[#This Row],[CODIGO]],PRODUCTOS[CODIGO],PRODUCTOS[PRECIO COMPRA UNITARIO],"",0)</f>
        <v>4769.5117820983787</v>
      </c>
      <c r="Q185" s="3" t="str">
        <f>IFERROR(REG_STOCK[[#This Row],[VALOR UNITARIO]]*REG_STOCK[[#This Row],[PERDIDA O EN PROCESO]],"")</f>
        <v/>
      </c>
      <c r="R185" s="3">
        <f>+REG_STOCK[[#This Row],[VALOR UNITARIO]]*REG_STOCK[[#This Row],[STOCK FISICO]]</f>
        <v>457873.13108144433</v>
      </c>
    </row>
    <row r="186" spans="1:18" hidden="1" x14ac:dyDescent="0.25">
      <c r="A186" s="1">
        <v>46209</v>
      </c>
      <c r="B186">
        <v>304049</v>
      </c>
      <c r="C186" t="s">
        <v>318</v>
      </c>
      <c r="D186" t="s">
        <v>18</v>
      </c>
      <c r="F186">
        <v>0.25</v>
      </c>
      <c r="G186">
        <v>168</v>
      </c>
      <c r="H186" t="str">
        <f>+_xlfn.XLOOKUP(REG_STOCK[[#This Row],[CODIGO]],PRODUCTOS[CODIGO],PRODUCTOS[DESC CORTA],"",0)</f>
        <v>TERCIADO FENOLICO</v>
      </c>
      <c r="I186" s="76">
        <f>SUMIFS(DETALLE_GD_1[CANTIDAD RECEPCIONADA],DETALLE_GD_1[CODIGO],REG_STOCK[[#This Row],[CODIGO]],DETALLE_GD_1[FECHA SOLICITUD],"&lt;="&amp;REG_STOCK[[#This Row],[FECHA STOCK ]])+97</f>
        <v>2737</v>
      </c>
      <c r="J186">
        <f>+REG_STOCK[[#This Row],[SOLICITADO A TF]]-REG_STOCK[[#This Row],[STOCK FISICO]]</f>
        <v>2569</v>
      </c>
      <c r="K186" s="40">
        <f>+_xlfn.XLOOKUP(REG_STOCK[[#This Row],[CODIGO]],PRODUCTOS[CODIGO],PRODUCTOS[CANT X MODULO],"",0)</f>
        <v>23.273250000000008</v>
      </c>
      <c r="L186" s="3">
        <f>+REG_STOCK[[#This Row],[CONSUMO]]/REG_STOCK[[#This Row],[CUBICACION PPTO.]]</f>
        <v>110.38423941649744</v>
      </c>
      <c r="M186" s="3">
        <f>+REG_STOCK[[#This Row],[STOCK FISICO]]/REG_STOCK[[#This Row],[CUBICACION PPTO.]]</f>
        <v>7.2185878637491516</v>
      </c>
      <c r="N186" s="3">
        <f>+REG_STOCK[[#This Row],[SOLICITADO A TF]]/REG_STOCK[[#This Row],[CUBICACION PPTO.]]</f>
        <v>117.6028272802466</v>
      </c>
      <c r="O186" s="3">
        <f>IF($V$2-REG_STOCK[[#This Row],[ALCANCE FISICO]]&gt;0,"",($V$2-REG_STOCK[[#This Row],[ALCANCE FISICO]]/REG_STOCK[[#This Row],[CUBICACION PPTO.]]))</f>
        <v>104.94686701340609</v>
      </c>
      <c r="P186" s="3">
        <f>+_xlfn.XLOOKUP(REG_STOCK[[#This Row],[CODIGO]],PRODUCTOS[CODIGO],PRODUCTOS[PRECIO COMPRA UNITARIO],"",0)</f>
        <v>15095.117424242424</v>
      </c>
      <c r="Q186" s="3">
        <f>IFERROR(REG_STOCK[[#This Row],[VALOR UNITARIO]]*REG_STOCK[[#This Row],[PERDIDA O EN PROCESO]],"")</f>
        <v>1584185.2808737187</v>
      </c>
      <c r="R186" s="3">
        <f>+REG_STOCK[[#This Row],[VALOR UNITARIO]]*REG_STOCK[[#This Row],[STOCK FISICO]]</f>
        <v>2535979.7272727271</v>
      </c>
    </row>
    <row r="187" spans="1:18" hidden="1" x14ac:dyDescent="0.25">
      <c r="A187" s="1">
        <v>46209</v>
      </c>
      <c r="B187">
        <v>701096</v>
      </c>
      <c r="C187" t="s">
        <v>204</v>
      </c>
      <c r="D187" t="s">
        <v>18</v>
      </c>
      <c r="F187">
        <v>1</v>
      </c>
      <c r="G187">
        <v>244</v>
      </c>
      <c r="H187" t="str">
        <f>+_xlfn.XLOOKUP(REG_STOCK[[#This Row],[CODIGO]],PRODUCTOS[CODIGO],PRODUCTOS[DESC CORTA],"",0)</f>
        <v>VOCANITA EMPAPELADA MURO</v>
      </c>
      <c r="I187" s="76">
        <f>SUMIFS(DETALLE_GD_1[CANTIDAD RECEPCIONADA],DETALLE_GD_1[CODIGO],REG_STOCK[[#This Row],[CODIGO]],DETALLE_GD_1[FECHA SOLICITUD],"&lt;="&amp;REG_STOCK[[#This Row],[FECHA STOCK ]])+97</f>
        <v>3021</v>
      </c>
      <c r="J187">
        <f>+REG_STOCK[[#This Row],[SOLICITADO A TF]]-REG_STOCK[[#This Row],[STOCK FISICO]]</f>
        <v>2777</v>
      </c>
      <c r="K187" s="40">
        <f>+_xlfn.XLOOKUP(REG_STOCK[[#This Row],[CODIGO]],PRODUCTOS[CODIGO],PRODUCTOS[CANT X MODULO],"",0)</f>
        <v>31.237499999999997</v>
      </c>
      <c r="L187" s="3">
        <f>+REG_STOCK[[#This Row],[CONSUMO]]/REG_STOCK[[#This Row],[CUBICACION PPTO.]]</f>
        <v>88.899559823929579</v>
      </c>
      <c r="M187" s="3">
        <f>+REG_STOCK[[#This Row],[STOCK FISICO]]/REG_STOCK[[#This Row],[CUBICACION PPTO.]]</f>
        <v>7.8111244497799124</v>
      </c>
      <c r="N187" s="3">
        <f>+REG_STOCK[[#This Row],[SOLICITADO A TF]]/REG_STOCK[[#This Row],[CUBICACION PPTO.]]</f>
        <v>96.710684273709489</v>
      </c>
      <c r="O187" s="3" t="str">
        <f>IF($V$2-REG_STOCK[[#This Row],[ALCANCE FISICO]]&gt;0,"",($V$2-REG_STOCK[[#This Row],[ALCANCE FISICO]]/REG_STOCK[[#This Row],[CUBICACION PPTO.]]))</f>
        <v/>
      </c>
      <c r="P187" s="3">
        <f>+_xlfn.XLOOKUP(REG_STOCK[[#This Row],[CODIGO]],PRODUCTOS[CODIGO],PRODUCTOS[PRECIO COMPRA UNITARIO],"",0)</f>
        <v>16231.199726402188</v>
      </c>
      <c r="Q187" s="3" t="str">
        <f>IFERROR(REG_STOCK[[#This Row],[VALOR UNITARIO]]*REG_STOCK[[#This Row],[PERDIDA O EN PROCESO]],"")</f>
        <v/>
      </c>
      <c r="R187" s="3">
        <f>+REG_STOCK[[#This Row],[VALOR UNITARIO]]*REG_STOCK[[#This Row],[STOCK FISICO]]</f>
        <v>3960412.7332421341</v>
      </c>
    </row>
    <row r="188" spans="1:18" hidden="1" x14ac:dyDescent="0.25">
      <c r="A188" s="1">
        <v>46209</v>
      </c>
      <c r="B188">
        <v>701040</v>
      </c>
      <c r="C188" t="s">
        <v>19</v>
      </c>
      <c r="D188" t="s">
        <v>18</v>
      </c>
      <c r="F188">
        <v>1</v>
      </c>
      <c r="G188">
        <v>289</v>
      </c>
      <c r="H188" t="str">
        <f>+_xlfn.XLOOKUP(REG_STOCK[[#This Row],[CODIGO]],PRODUCTOS[CODIGO],PRODUCTOS[DESC CORTA],"",0)</f>
        <v>VOLCANITA RF</v>
      </c>
      <c r="I188" s="76">
        <f>SUMIFS(DETALLE_GD_1[CANTIDAD RECEPCIONADA],DETALLE_GD_1[CODIGO],REG_STOCK[[#This Row],[CODIGO]],DETALLE_GD_1[FECHA SOLICITUD],"&lt;="&amp;REG_STOCK[[#This Row],[FECHA STOCK ]])+97</f>
        <v>1232</v>
      </c>
      <c r="J188">
        <f>+REG_STOCK[[#This Row],[SOLICITADO A TF]]-REG_STOCK[[#This Row],[STOCK FISICO]]</f>
        <v>943</v>
      </c>
      <c r="K188" s="40">
        <f>+_xlfn.XLOOKUP(REG_STOCK[[#This Row],[CODIGO]],PRODUCTOS[CODIGO],PRODUCTOS[CANT X MODULO],"",0)</f>
        <v>4.2840000000000007</v>
      </c>
      <c r="L188" s="3">
        <f>+REG_STOCK[[#This Row],[CONSUMO]]/REG_STOCK[[#This Row],[CUBICACION PPTO.]]</f>
        <v>220.12138188608773</v>
      </c>
      <c r="M188" s="3">
        <f>+REG_STOCK[[#This Row],[STOCK FISICO]]/REG_STOCK[[#This Row],[CUBICACION PPTO.]]</f>
        <v>67.460317460317455</v>
      </c>
      <c r="N188" s="3">
        <f>+REG_STOCK[[#This Row],[SOLICITADO A TF]]/REG_STOCK[[#This Row],[CUBICACION PPTO.]]</f>
        <v>287.58169934640517</v>
      </c>
      <c r="O188" s="3">
        <f>IF($V$2-REG_STOCK[[#This Row],[ALCANCE FISICO]]&gt;0,"",($V$2-REG_STOCK[[#This Row],[ALCANCE FISICO]]/REG_STOCK[[#This Row],[CUBICACION PPTO.]]))</f>
        <v>42.870751786553427</v>
      </c>
      <c r="P188" s="3">
        <f>+_xlfn.XLOOKUP(REG_STOCK[[#This Row],[CODIGO]],PRODUCTOS[CODIGO],PRODUCTOS[PRECIO COMPRA UNITARIO],"",0)</f>
        <v>7627.9022026431721</v>
      </c>
      <c r="Q188" s="3">
        <f>IFERROR(REG_STOCK[[#This Row],[VALOR UNITARIO]]*REG_STOCK[[#This Row],[PERDIDA O EN PROCESO]],"")</f>
        <v>327013.90198161959</v>
      </c>
      <c r="R188" s="3">
        <f>+REG_STOCK[[#This Row],[VALOR UNITARIO]]*REG_STOCK[[#This Row],[STOCK FISICO]]</f>
        <v>2204463.7365638767</v>
      </c>
    </row>
    <row r="189" spans="1:18" hidden="1" x14ac:dyDescent="0.25">
      <c r="A189" s="1">
        <v>46209</v>
      </c>
      <c r="B189">
        <v>1902003</v>
      </c>
      <c r="C189" t="s">
        <v>155</v>
      </c>
      <c r="D189" t="s">
        <v>47</v>
      </c>
      <c r="F189">
        <v>0</v>
      </c>
      <c r="G189">
        <v>11</v>
      </c>
      <c r="H189">
        <f>+_xlfn.XLOOKUP(REG_STOCK[[#This Row],[CODIGO]],PRODUCTOS[CODIGO],PRODUCTOS[DESC CORTA],"",0)</f>
        <v>0</v>
      </c>
      <c r="I189" s="76">
        <f>SUMIFS(DETALLE_GD_1[CANTIDAD RECEPCIONADA],DETALLE_GD_1[CODIGO],REG_STOCK[[#This Row],[CODIGO]],DETALLE_GD_1[FECHA SOLICITUD],"&lt;="&amp;REG_STOCK[[#This Row],[FECHA STOCK ]])+97</f>
        <v>206</v>
      </c>
      <c r="J189">
        <f>+REG_STOCK[[#This Row],[SOLICITADO A TF]]-REG_STOCK[[#This Row],[STOCK FISICO]]</f>
        <v>195</v>
      </c>
      <c r="K189" s="40">
        <f>+_xlfn.XLOOKUP(REG_STOCK[[#This Row],[CODIGO]],PRODUCTOS[CODIGO],PRODUCTOS[CANT X MODULO],"",0)</f>
        <v>0.41466600000000009</v>
      </c>
      <c r="L189" s="3">
        <f>+REG_STOCK[[#This Row],[CONSUMO]]/REG_STOCK[[#This Row],[CUBICACION PPTO.]]</f>
        <v>470.2579907684738</v>
      </c>
      <c r="M189" s="3">
        <f>+REG_STOCK[[#This Row],[STOCK FISICO]]/REG_STOCK[[#This Row],[CUBICACION PPTO.]]</f>
        <v>26.5273738382216</v>
      </c>
      <c r="N189" s="3">
        <f>+REG_STOCK[[#This Row],[SOLICITADO A TF]]/REG_STOCK[[#This Row],[CUBICACION PPTO.]]</f>
        <v>496.7853646066954</v>
      </c>
      <c r="O189" s="3">
        <f>IF($V$2-REG_STOCK[[#This Row],[ALCANCE FISICO]]&gt;0,"",($V$2-REG_STOCK[[#This Row],[ALCANCE FISICO]]/REG_STOCK[[#This Row],[CUBICACION PPTO.]]))</f>
        <v>-1088.0373712980936</v>
      </c>
      <c r="P189" s="3">
        <f>+_xlfn.XLOOKUP(REG_STOCK[[#This Row],[CODIGO]],PRODUCTOS[CODIGO],PRODUCTOS[PRECIO COMPRA UNITARIO],"",0)</f>
        <v>150758.376146789</v>
      </c>
      <c r="Q189" s="3">
        <f>IFERROR(REG_STOCK[[#This Row],[VALOR UNITARIO]]*REG_STOCK[[#This Row],[PERDIDA O EN PROCESO]],"")</f>
        <v>-164030747.28392151</v>
      </c>
      <c r="R189" s="3">
        <f>+REG_STOCK[[#This Row],[VALOR UNITARIO]]*REG_STOCK[[#This Row],[STOCK FISICO]]</f>
        <v>1658342.1376146791</v>
      </c>
    </row>
    <row r="190" spans="1:18" hidden="1" x14ac:dyDescent="0.25">
      <c r="A190" s="1">
        <v>46209</v>
      </c>
      <c r="B190" t="s">
        <v>21</v>
      </c>
      <c r="C190" t="s">
        <v>785</v>
      </c>
      <c r="D190" t="s">
        <v>20</v>
      </c>
      <c r="F190">
        <v>0</v>
      </c>
      <c r="G190">
        <v>103</v>
      </c>
      <c r="H190" t="str">
        <f>+_xlfn.XLOOKUP(REG_STOCK[[#This Row],[CODIGO]],PRODUCTOS[CODIGO],PRODUCTOS[DESC CORTA],"",0)</f>
        <v>PINO 3X8X320</v>
      </c>
      <c r="I190" s="76">
        <f>SUMIFS(DETALLE_GD_1[CANTIDAD RECEPCIONADA],DETALLE_GD_1[CODIGO],REG_STOCK[[#This Row],[CODIGO]],DETALLE_GD_1[FECHA SOLICITUD],"&lt;="&amp;REG_STOCK[[#This Row],[FECHA STOCK ]])+97</f>
        <v>985</v>
      </c>
      <c r="J190">
        <f>+REG_STOCK[[#This Row],[SOLICITADO A TF]]-REG_STOCK[[#This Row],[STOCK FISICO]]</f>
        <v>882</v>
      </c>
      <c r="K190" s="40">
        <f>+_xlfn.XLOOKUP(REG_STOCK[[#This Row],[CODIGO]],PRODUCTOS[CODIGO],PRODUCTOS[CANT X MODULO],"",0)</f>
        <v>6.3000000000000007</v>
      </c>
      <c r="L190" s="3">
        <f>+REG_STOCK[[#This Row],[CONSUMO]]/REG_STOCK[[#This Row],[CUBICACION PPTO.]]</f>
        <v>139.99999999999997</v>
      </c>
      <c r="M190" s="3">
        <f>+REG_STOCK[[#This Row],[STOCK FISICO]]/REG_STOCK[[#This Row],[CUBICACION PPTO.]]</f>
        <v>16.349206349206348</v>
      </c>
      <c r="N190" s="3">
        <f>+REG_STOCK[[#This Row],[SOLICITADO A TF]]/REG_STOCK[[#This Row],[CUBICACION PPTO.]]</f>
        <v>156.34920634920633</v>
      </c>
      <c r="O190" s="3">
        <f>IF($V$2-REG_STOCK[[#This Row],[ALCANCE FISICO]]&gt;0,"",($V$2-REG_STOCK[[#This Row],[ALCANCE FISICO]]/REG_STOCK[[#This Row],[CUBICACION PPTO.]]))</f>
        <v>85.182665658856138</v>
      </c>
      <c r="P190" s="3">
        <f>+_xlfn.XLOOKUP(REG_STOCK[[#This Row],[CODIGO]],PRODUCTOS[CODIGO],PRODUCTOS[PRECIO COMPRA UNITARIO],"",0)</f>
        <v>15443.519144144144</v>
      </c>
      <c r="Q190" s="3">
        <f>IFERROR(REG_STOCK[[#This Row],[VALOR UNITARIO]]*REG_STOCK[[#This Row],[PERDIDA O EN PROCESO]],"")</f>
        <v>1315520.1278517747</v>
      </c>
      <c r="R190" s="3">
        <f>+REG_STOCK[[#This Row],[VALOR UNITARIO]]*REG_STOCK[[#This Row],[STOCK FISICO]]</f>
        <v>1590682.4718468469</v>
      </c>
    </row>
    <row r="191" spans="1:18" hidden="1" x14ac:dyDescent="0.25">
      <c r="A191" s="1">
        <v>46209</v>
      </c>
      <c r="B191">
        <v>701084</v>
      </c>
      <c r="C191" t="s">
        <v>38</v>
      </c>
      <c r="D191" t="s">
        <v>18</v>
      </c>
      <c r="F191">
        <v>0</v>
      </c>
      <c r="G191">
        <v>40</v>
      </c>
      <c r="H191" t="str">
        <f>+_xlfn.XLOOKUP(REG_STOCK[[#This Row],[CODIGO]],PRODUCTOS[CODIGO],PRODUCTOS[DESC CORTA],"",0)</f>
        <v>FIBROCEMENTO BALCON</v>
      </c>
      <c r="I191" s="76">
        <f>SUMIFS(DETALLE_GD_1[CANTIDAD RECEPCIONADA],DETALLE_GD_1[CODIGO],REG_STOCK[[#This Row],[CODIGO]],DETALLE_GD_1[FECHA SOLICITUD],"&lt;="&amp;REG_STOCK[[#This Row],[FECHA STOCK ]])+97</f>
        <v>229</v>
      </c>
      <c r="J191">
        <f>+REG_STOCK[[#This Row],[SOLICITADO A TF]]-REG_STOCK[[#This Row],[STOCK FISICO]]</f>
        <v>189</v>
      </c>
      <c r="K191" s="40">
        <f>+_xlfn.XLOOKUP(REG_STOCK[[#This Row],[CODIGO]],PRODUCTOS[CODIGO],PRODUCTOS[CANT X MODULO],"",0)</f>
        <v>0.69825000000000004</v>
      </c>
      <c r="L191" s="3">
        <f>+REG_STOCK[[#This Row],[CONSUMO]]/REG_STOCK[[#This Row],[CUBICACION PPTO.]]</f>
        <v>270.6766917293233</v>
      </c>
      <c r="M191" s="3">
        <f>+REG_STOCK[[#This Row],[STOCK FISICO]]/REG_STOCK[[#This Row],[CUBICACION PPTO.]]</f>
        <v>57.286072323666303</v>
      </c>
      <c r="N191" s="3">
        <f>+REG_STOCK[[#This Row],[SOLICITADO A TF]]/REG_STOCK[[#This Row],[CUBICACION PPTO.]]</f>
        <v>327.9627640529896</v>
      </c>
      <c r="O191" s="3">
        <f>IF($V$2-REG_STOCK[[#This Row],[ALCANCE FISICO]]&gt;0,"",($V$2-REG_STOCK[[#This Row],[ALCANCE FISICO]]/REG_STOCK[[#This Row],[CUBICACION PPTO.]]))</f>
        <v>-359.69246552522674</v>
      </c>
      <c r="P191" s="3">
        <f>+_xlfn.XLOOKUP(REG_STOCK[[#This Row],[CODIGO]],PRODUCTOS[CODIGO],PRODUCTOS[PRECIO COMPRA UNITARIO],"",0)</f>
        <v>39468.96212121212</v>
      </c>
      <c r="Q191" s="3">
        <f>IFERROR(REG_STOCK[[#This Row],[VALOR UNITARIO]]*REG_STOCK[[#This Row],[PERDIDA O EN PROCESO]],"")</f>
        <v>-14196688.29710057</v>
      </c>
      <c r="R191" s="3">
        <f>+REG_STOCK[[#This Row],[VALOR UNITARIO]]*REG_STOCK[[#This Row],[STOCK FISICO]]</f>
        <v>1578758.4848484849</v>
      </c>
    </row>
    <row r="192" spans="1:18" hidden="1" x14ac:dyDescent="0.25">
      <c r="A192" s="1">
        <v>46209</v>
      </c>
      <c r="B192">
        <v>5309018</v>
      </c>
      <c r="C192" t="s">
        <v>112</v>
      </c>
      <c r="D192" t="s">
        <v>26</v>
      </c>
      <c r="F192">
        <v>0.25</v>
      </c>
      <c r="G192">
        <v>13</v>
      </c>
      <c r="H192">
        <f>+_xlfn.XLOOKUP(REG_STOCK[[#This Row],[CODIGO]],PRODUCTOS[CODIGO],PRODUCTOS[DESC CORTA],"",0)</f>
        <v>0</v>
      </c>
      <c r="I192" s="76">
        <f>SUMIFS(DETALLE_GD_1[CANTIDAD RECEPCIONADA],DETALLE_GD_1[CODIGO],REG_STOCK[[#This Row],[CODIGO]],DETALLE_GD_1[FECHA SOLICITUD],"&lt;="&amp;REG_STOCK[[#This Row],[FECHA STOCK ]])+97</f>
        <v>3797</v>
      </c>
      <c r="J192">
        <f>+REG_STOCK[[#This Row],[SOLICITADO A TF]]-REG_STOCK[[#This Row],[STOCK FISICO]]</f>
        <v>3784</v>
      </c>
      <c r="K192" s="40">
        <f>+_xlfn.XLOOKUP(REG_STOCK[[#This Row],[CODIGO]],PRODUCTOS[CODIGO],PRODUCTOS[CANT X MODULO],"",0)</f>
        <v>34.649999999999991</v>
      </c>
      <c r="L192" s="3">
        <f>+REG_STOCK[[#This Row],[CONSUMO]]/REG_STOCK[[#This Row],[CUBICACION PPTO.]]</f>
        <v>109.20634920634923</v>
      </c>
      <c r="M192" s="3">
        <f>+REG_STOCK[[#This Row],[STOCK FISICO]]/REG_STOCK[[#This Row],[CUBICACION PPTO.]]</f>
        <v>0.37518037518037528</v>
      </c>
      <c r="N192" s="3">
        <f>+REG_STOCK[[#This Row],[SOLICITADO A TF]]/REG_STOCK[[#This Row],[CUBICACION PPTO.]]</f>
        <v>109.58152958152961</v>
      </c>
      <c r="O192" s="3" t="str">
        <f>IF($V$2-REG_STOCK[[#This Row],[ALCANCE FISICO]]&gt;0,"",($V$2-REG_STOCK[[#This Row],[ALCANCE FISICO]]/REG_STOCK[[#This Row],[CUBICACION PPTO.]]))</f>
        <v/>
      </c>
      <c r="P192" s="3">
        <f>+_xlfn.XLOOKUP(REG_STOCK[[#This Row],[CODIGO]],PRODUCTOS[CODIGO],PRODUCTOS[PRECIO COMPRA UNITARIO],"",0)</f>
        <v>707.86891891891889</v>
      </c>
      <c r="Q192" s="3" t="str">
        <f>IFERROR(REG_STOCK[[#This Row],[VALOR UNITARIO]]*REG_STOCK[[#This Row],[PERDIDA O EN PROCESO]],"")</f>
        <v/>
      </c>
      <c r="R192" s="3">
        <f>+REG_STOCK[[#This Row],[VALOR UNITARIO]]*REG_STOCK[[#This Row],[STOCK FISICO]]</f>
        <v>9202.2959459459453</v>
      </c>
    </row>
    <row r="193" spans="1:18" hidden="1" x14ac:dyDescent="0.25">
      <c r="A193" s="1">
        <v>46209</v>
      </c>
      <c r="B193">
        <v>1902014</v>
      </c>
      <c r="C193" t="s">
        <v>316</v>
      </c>
      <c r="D193" t="s">
        <v>18</v>
      </c>
      <c r="F193">
        <v>0</v>
      </c>
      <c r="G193">
        <v>52</v>
      </c>
      <c r="H193" t="str">
        <f>+_xlfn.XLOOKUP(REG_STOCK[[#This Row],[CODIGO]],PRODUCTOS[CODIGO],PRODUCTOS[DESC CORTA],"",0)</f>
        <v>VOLCOGLASS</v>
      </c>
      <c r="I193" s="76">
        <f>SUMIFS(DETALLE_GD_1[CANTIDAD RECEPCIONADA],DETALLE_GD_1[CODIGO],REG_STOCK[[#This Row],[CODIGO]],DETALLE_GD_1[FECHA SOLICITUD],"&lt;="&amp;REG_STOCK[[#This Row],[FECHA STOCK ]])+97</f>
        <v>617</v>
      </c>
      <c r="J193">
        <f>+REG_STOCK[[#This Row],[SOLICITADO A TF]]-REG_STOCK[[#This Row],[STOCK FISICO]]</f>
        <v>565</v>
      </c>
      <c r="K193" s="40">
        <f>+_xlfn.XLOOKUP(REG_STOCK[[#This Row],[CODIGO]],PRODUCTOS[CODIGO],PRODUCTOS[CANT X MODULO],"",0)</f>
        <v>5.5125000000000002</v>
      </c>
      <c r="L193" s="3">
        <f>+REG_STOCK[[#This Row],[CONSUMO]]/REG_STOCK[[#This Row],[CUBICACION PPTO.]]</f>
        <v>102.49433106575964</v>
      </c>
      <c r="M193" s="3">
        <f>+REG_STOCK[[#This Row],[STOCK FISICO]]/REG_STOCK[[#This Row],[CUBICACION PPTO.]]</f>
        <v>9.433106575963718</v>
      </c>
      <c r="N193" s="3">
        <f>+REG_STOCK[[#This Row],[SOLICITADO A TF]]/REG_STOCK[[#This Row],[CUBICACION PPTO.]]</f>
        <v>111.92743764172336</v>
      </c>
      <c r="O193" s="3">
        <f>IF($V$2-REG_STOCK[[#This Row],[ALCANCE FISICO]]&gt;0,"",($V$2-REG_STOCK[[#This Row],[ALCANCE FISICO]]/REG_STOCK[[#This Row],[CUBICACION PPTO.]]))</f>
        <v>89.695702922136348</v>
      </c>
      <c r="P193" s="3">
        <f>+_xlfn.XLOOKUP(REG_STOCK[[#This Row],[CODIGO]],PRODUCTOS[CODIGO],PRODUCTOS[PRECIO COMPRA UNITARIO],"",0)</f>
        <v>29799.757692307692</v>
      </c>
      <c r="Q193" s="3">
        <f>IFERROR(REG_STOCK[[#This Row],[VALOR UNITARIO]]*REG_STOCK[[#This Row],[PERDIDA O EN PROCESO]],"")</f>
        <v>2672910.2131208782</v>
      </c>
      <c r="R193" s="3">
        <f>+REG_STOCK[[#This Row],[VALOR UNITARIO]]*REG_STOCK[[#This Row],[STOCK FISICO]]</f>
        <v>1549587.4</v>
      </c>
    </row>
    <row r="194" spans="1:18" hidden="1" x14ac:dyDescent="0.25">
      <c r="A194" s="1">
        <v>46209</v>
      </c>
      <c r="B194">
        <v>302054</v>
      </c>
      <c r="C194" t="s">
        <v>356</v>
      </c>
      <c r="D194" t="s">
        <v>20</v>
      </c>
      <c r="G194">
        <v>624</v>
      </c>
      <c r="H194">
        <f>+_xlfn.XLOOKUP(REG_STOCK[[#This Row],[CODIGO]],PRODUCTOS[CODIGO],PRODUCTOS[DESC CORTA],"",0)</f>
        <v>0</v>
      </c>
      <c r="I194" s="76">
        <f>SUMIFS(DETALLE_GD_1[CANTIDAD RECEPCIONADA],DETALLE_GD_1[CODIGO],REG_STOCK[[#This Row],[CODIGO]],DETALLE_GD_1[FECHA SOLICITUD],"&lt;="&amp;REG_STOCK[[#This Row],[FECHA STOCK ]])+97</f>
        <v>17905</v>
      </c>
      <c r="J194">
        <f>+REG_STOCK[[#This Row],[SOLICITADO A TF]]-REG_STOCK[[#This Row],[STOCK FISICO]]</f>
        <v>17281</v>
      </c>
      <c r="K194" s="40">
        <f>+_xlfn.XLOOKUP(REG_STOCK[[#This Row],[CODIGO]],PRODUCTOS[CODIGO],PRODUCTOS[CANT X MODULO],"",0)</f>
        <v>34.543750000000003</v>
      </c>
      <c r="L194" s="3">
        <f>+REG_STOCK[[#This Row],[CONSUMO]]/REG_STOCK[[#This Row],[CUBICACION PPTO.]]</f>
        <v>500.26415777094263</v>
      </c>
      <c r="M194" s="3">
        <f>+REG_STOCK[[#This Row],[STOCK FISICO]]/REG_STOCK[[#This Row],[CUBICACION PPTO.]]</f>
        <v>18.064049212954586</v>
      </c>
      <c r="N194" s="3">
        <f>+REG_STOCK[[#This Row],[SOLICITADO A TF]]/REG_STOCK[[#This Row],[CUBICACION PPTO.]]</f>
        <v>518.32820698389719</v>
      </c>
      <c r="O194" s="3">
        <f>IF($V$2-REG_STOCK[[#This Row],[ALCANCE FISICO]]&gt;0,"",($V$2-REG_STOCK[[#This Row],[ALCANCE FISICO]]/REG_STOCK[[#This Row],[CUBICACION PPTO.]]))</f>
        <v>94.995022052212136</v>
      </c>
      <c r="P194" s="3">
        <f>+_xlfn.XLOOKUP(REG_STOCK[[#This Row],[CODIGO]],PRODUCTOS[CODIGO],PRODUCTOS[PRECIO COMPRA UNITARIO],"",0)</f>
        <v>4843.5655884995504</v>
      </c>
      <c r="Q194" s="3">
        <f>IFERROR(REG_STOCK[[#This Row],[VALOR UNITARIO]]*REG_STOCK[[#This Row],[PERDIDA O EN PROCESO]],"")</f>
        <v>460114.61989085062</v>
      </c>
      <c r="R194" s="3">
        <f>+REG_STOCK[[#This Row],[VALOR UNITARIO]]*REG_STOCK[[#This Row],[STOCK FISICO]]</f>
        <v>3022384.9272237197</v>
      </c>
    </row>
    <row r="195" spans="1:18" hidden="1" x14ac:dyDescent="0.25">
      <c r="A195" s="1">
        <v>46209</v>
      </c>
      <c r="B195">
        <v>302048</v>
      </c>
      <c r="C195" t="s">
        <v>126</v>
      </c>
      <c r="D195" t="s">
        <v>20</v>
      </c>
      <c r="F195">
        <v>0</v>
      </c>
      <c r="G195">
        <v>216</v>
      </c>
      <c r="H195" t="str">
        <f>+_xlfn.XLOOKUP(REG_STOCK[[#This Row],[CODIGO]],PRODUCTOS[CODIGO],PRODUCTOS[DESC CORTA],"",0)</f>
        <v>PINO 2X8X4</v>
      </c>
      <c r="I195" s="76">
        <f>SUMIFS(DETALLE_GD_1[CANTIDAD RECEPCIONADA],DETALLE_GD_1[CODIGO],REG_STOCK[[#This Row],[CODIGO]],DETALLE_GD_1[FECHA SOLICITUD],"&lt;="&amp;REG_STOCK[[#This Row],[FECHA STOCK ]])+97</f>
        <v>3019</v>
      </c>
      <c r="J195">
        <f>+REG_STOCK[[#This Row],[SOLICITADO A TF]]-REG_STOCK[[#This Row],[STOCK FISICO]]</f>
        <v>2803</v>
      </c>
      <c r="K195" s="40">
        <f>+_xlfn.XLOOKUP(REG_STOCK[[#This Row],[CODIGO]],PRODUCTOS[CODIGO],PRODUCTOS[CANT X MODULO],"",0)</f>
        <v>35.174999999999997</v>
      </c>
      <c r="L195" s="3">
        <f>+REG_STOCK[[#This Row],[CONSUMO]]/REG_STOCK[[#This Row],[CUBICACION PPTO.]]</f>
        <v>79.687277896233127</v>
      </c>
      <c r="M195" s="3">
        <f>+REG_STOCK[[#This Row],[STOCK FISICO]]/REG_STOCK[[#This Row],[CUBICACION PPTO.]]</f>
        <v>6.1407249466950962</v>
      </c>
      <c r="N195" s="3">
        <f>+REG_STOCK[[#This Row],[SOLICITADO A TF]]/REG_STOCK[[#This Row],[CUBICACION PPTO.]]</f>
        <v>85.828002842928228</v>
      </c>
      <c r="O195" s="3" t="str">
        <f>IF($V$2-REG_STOCK[[#This Row],[ALCANCE FISICO]]&gt;0,"",($V$2-REG_STOCK[[#This Row],[ALCANCE FISICO]]/REG_STOCK[[#This Row],[CUBICACION PPTO.]]))</f>
        <v/>
      </c>
      <c r="P195" s="3">
        <f>+_xlfn.XLOOKUP(REG_STOCK[[#This Row],[CODIGO]],PRODUCTOS[CODIGO],PRODUCTOS[PRECIO COMPRA UNITARIO],"",0)</f>
        <v>13769.264887063655</v>
      </c>
      <c r="Q195" s="3" t="str">
        <f>IFERROR(REG_STOCK[[#This Row],[VALOR UNITARIO]]*REG_STOCK[[#This Row],[PERDIDA O EN PROCESO]],"")</f>
        <v/>
      </c>
      <c r="R195" s="3">
        <f>+REG_STOCK[[#This Row],[VALOR UNITARIO]]*REG_STOCK[[#This Row],[STOCK FISICO]]</f>
        <v>2974161.2156057493</v>
      </c>
    </row>
    <row r="196" spans="1:18" hidden="1" x14ac:dyDescent="0.25">
      <c r="A196" s="1">
        <v>46209</v>
      </c>
      <c r="B196">
        <v>705028</v>
      </c>
      <c r="C196" t="s">
        <v>72</v>
      </c>
      <c r="D196" t="s">
        <v>18</v>
      </c>
      <c r="G196">
        <v>55</v>
      </c>
      <c r="H196" t="str">
        <f>+_xlfn.XLOOKUP(REG_STOCK[[#This Row],[CODIGO]],PRODUCTOS[CODIGO],PRODUCTOS[DESC CORTA],"",0)</f>
        <v>SIMPLISIMA</v>
      </c>
      <c r="I196" s="76">
        <f>SUMIFS(DETALLE_GD_1[CANTIDAD RECEPCIONADA],DETALLE_GD_1[CODIGO],REG_STOCK[[#This Row],[CODIGO]],DETALLE_GD_1[FECHA SOLICITUD],"&lt;="&amp;REG_STOCK[[#This Row],[FECHA STOCK ]])+97</f>
        <v>546</v>
      </c>
      <c r="J196">
        <f>+REG_STOCK[[#This Row],[SOLICITADO A TF]]-REG_STOCK[[#This Row],[STOCK FISICO]]</f>
        <v>491</v>
      </c>
      <c r="K196" s="40">
        <f>+_xlfn.XLOOKUP(REG_STOCK[[#This Row],[CODIGO]],PRODUCTOS[CODIGO],PRODUCTOS[CANT X MODULO],"",0)</f>
        <v>3.6749999999999998</v>
      </c>
      <c r="L196" s="3">
        <f>+REG_STOCK[[#This Row],[CONSUMO]]/REG_STOCK[[#This Row],[CUBICACION PPTO.]]</f>
        <v>133.60544217687075</v>
      </c>
      <c r="M196" s="3">
        <f>+REG_STOCK[[#This Row],[STOCK FISICO]]/REG_STOCK[[#This Row],[CUBICACION PPTO.]]</f>
        <v>14.965986394557824</v>
      </c>
      <c r="N196" s="3">
        <f>+REG_STOCK[[#This Row],[SOLICITADO A TF]]/REG_STOCK[[#This Row],[CUBICACION PPTO.]]</f>
        <v>148.57142857142858</v>
      </c>
      <c r="O196" s="3">
        <f>IF($V$2-REG_STOCK[[#This Row],[ALCANCE FISICO]]&gt;0,"",($V$2-REG_STOCK[[#This Row],[ALCANCE FISICO]]/REG_STOCK[[#This Row],[CUBICACION PPTO.]]))</f>
        <v>69.572400388726919</v>
      </c>
      <c r="P196" s="3">
        <f>+_xlfn.XLOOKUP(REG_STOCK[[#This Row],[CODIGO]],PRODUCTOS[CODIGO],PRODUCTOS[PRECIO COMPRA UNITARIO],"",0)</f>
        <v>22787.11135857461</v>
      </c>
      <c r="Q196" s="3">
        <f>IFERROR(REG_STOCK[[#This Row],[VALOR UNITARIO]]*REG_STOCK[[#This Row],[PERDIDA O EN PROCESO]],"")</f>
        <v>1585354.0351412597</v>
      </c>
      <c r="R196" s="3">
        <f>+REG_STOCK[[#This Row],[VALOR UNITARIO]]*REG_STOCK[[#This Row],[STOCK FISICO]]</f>
        <v>1253291.1247216035</v>
      </c>
    </row>
    <row r="197" spans="1:18" hidden="1" x14ac:dyDescent="0.25">
      <c r="A197" s="1">
        <v>46209</v>
      </c>
      <c r="B197">
        <v>1902013</v>
      </c>
      <c r="C197" t="s">
        <v>338</v>
      </c>
      <c r="D197" t="s">
        <v>47</v>
      </c>
      <c r="F197">
        <v>0.5</v>
      </c>
      <c r="G197">
        <v>47</v>
      </c>
      <c r="H197">
        <f>+_xlfn.XLOOKUP(REG_STOCK[[#This Row],[CODIGO]],PRODUCTOS[CODIGO],PRODUCTOS[DESC CORTA],"",0)</f>
        <v>0</v>
      </c>
      <c r="I197" s="76">
        <f>SUMIFS(DETALLE_GD_1[CANTIDAD RECEPCIONADA],DETALLE_GD_1[CODIGO],REG_STOCK[[#This Row],[CODIGO]],DETALLE_GD_1[FECHA SOLICITUD],"&lt;="&amp;REG_STOCK[[#This Row],[FECHA STOCK ]])+97</f>
        <v>470</v>
      </c>
      <c r="J197">
        <f>+REG_STOCK[[#This Row],[SOLICITADO A TF]]-REG_STOCK[[#This Row],[STOCK FISICO]]</f>
        <v>423</v>
      </c>
      <c r="K197" s="40">
        <f>+_xlfn.XLOOKUP(REG_STOCK[[#This Row],[CODIGO]],PRODUCTOS[CODIGO],PRODUCTOS[CANT X MODULO],"",0)</f>
        <v>130.33466250000004</v>
      </c>
      <c r="L197" s="3">
        <f>+REG_STOCK[[#This Row],[CONSUMO]]/REG_STOCK[[#This Row],[CUBICACION PPTO.]]</f>
        <v>3.245491198475309</v>
      </c>
      <c r="M197" s="3">
        <f>+REG_STOCK[[#This Row],[STOCK FISICO]]/REG_STOCK[[#This Row],[CUBICACION PPTO.]]</f>
        <v>0.36061013316392321</v>
      </c>
      <c r="N197" s="3">
        <f>+REG_STOCK[[#This Row],[SOLICITADO A TF]]/REG_STOCK[[#This Row],[CUBICACION PPTO.]]</f>
        <v>3.6061013316392319</v>
      </c>
      <c r="O197" s="3" t="str">
        <f>IF($V$2-REG_STOCK[[#This Row],[ALCANCE FISICO]]&gt;0,"",($V$2-REG_STOCK[[#This Row],[ALCANCE FISICO]]/REG_STOCK[[#This Row],[CUBICACION PPTO.]]))</f>
        <v/>
      </c>
      <c r="P197" s="3">
        <f>+_xlfn.XLOOKUP(REG_STOCK[[#This Row],[CODIGO]],PRODUCTOS[CODIGO],PRODUCTOS[PRECIO COMPRA UNITARIO],"",0)</f>
        <v>40087.627345844507</v>
      </c>
      <c r="Q197" s="3" t="str">
        <f>IFERROR(REG_STOCK[[#This Row],[VALOR UNITARIO]]*REG_STOCK[[#This Row],[PERDIDA O EN PROCESO]],"")</f>
        <v/>
      </c>
      <c r="R197" s="3">
        <f>+REG_STOCK[[#This Row],[VALOR UNITARIO]]*REG_STOCK[[#This Row],[STOCK FISICO]]</f>
        <v>1884118.4852546919</v>
      </c>
    </row>
    <row r="198" spans="1:18" hidden="1" x14ac:dyDescent="0.25">
      <c r="A198" s="1">
        <v>46214</v>
      </c>
      <c r="B198">
        <v>304007</v>
      </c>
      <c r="C198" t="s">
        <v>80</v>
      </c>
      <c r="D198" t="s">
        <v>18</v>
      </c>
      <c r="F198">
        <v>0</v>
      </c>
      <c r="H198" t="str">
        <f>+_xlfn.XLOOKUP(REG_STOCK[[#This Row],[CODIGO]],PRODUCTOS[CODIGO],PRODUCTOS[DESC CORTA],"",0)</f>
        <v>OSB 11MM</v>
      </c>
      <c r="I198" s="76">
        <f>SUMIFS(DETALLE_GD_1[CANTIDAD RECEPCIONADA],DETALLE_GD_1[CODIGO],REG_STOCK[[#This Row],[CODIGO]],DETALLE_GD_1[FECHA SOLICITUD],"&lt;="&amp;REG_STOCK[[#This Row],[FECHA STOCK ]])+97</f>
        <v>1385</v>
      </c>
      <c r="J198">
        <f>+REG_STOCK[[#This Row],[SOLICITADO A TF]]-REG_STOCK[[#This Row],[STOCK FISICO]]</f>
        <v>1385</v>
      </c>
      <c r="K198" s="40">
        <f>+_xlfn.XLOOKUP(REG_STOCK[[#This Row],[CODIGO]],PRODUCTOS[CODIGO],PRODUCTOS[CANT X MODULO],"",0)</f>
        <v>8.6625000000000014</v>
      </c>
      <c r="L198" s="3">
        <f>+REG_STOCK[[#This Row],[CONSUMO]]/REG_STOCK[[#This Row],[CUBICACION PPTO.]]</f>
        <v>159.88455988455985</v>
      </c>
      <c r="M198" s="3">
        <f>+REG_STOCK[[#This Row],[STOCK FISICO]]/REG_STOCK[[#This Row],[CUBICACION PPTO.]]</f>
        <v>0</v>
      </c>
      <c r="N198" s="3">
        <f>+REG_STOCK[[#This Row],[SOLICITADO A TF]]/REG_STOCK[[#This Row],[CUBICACION PPTO.]]</f>
        <v>159.88455988455985</v>
      </c>
      <c r="O198" s="3">
        <f>IF($V$2-REG_STOCK[[#This Row],[ALCANCE FISICO]]&gt;0,"",($V$2-REG_STOCK[[#This Row],[ALCANCE FISICO]]/REG_STOCK[[#This Row],[CUBICACION PPTO.]]))</f>
        <v>91.542907949834358</v>
      </c>
      <c r="P198" s="3">
        <f>+_xlfn.XLOOKUP(REG_STOCK[[#This Row],[CODIGO]],PRODUCTOS[CODIGO],PRODUCTOS[PRECIO COMPRA UNITARIO],"",0)</f>
        <v>11497.288819875776</v>
      </c>
      <c r="Q198" s="3">
        <f>IFERROR(REG_STOCK[[#This Row],[VALOR UNITARIO]]*REG_STOCK[[#This Row],[PERDIDA O EN PROCESO]],"")</f>
        <v>1052495.2521105479</v>
      </c>
      <c r="R198" s="3">
        <f>+REG_STOCK[[#This Row],[VALOR UNITARIO]]*REG_STOCK[[#This Row],[STOCK FISICO]]</f>
        <v>0</v>
      </c>
    </row>
    <row r="199" spans="1:18" hidden="1" x14ac:dyDescent="0.25">
      <c r="A199" s="1">
        <v>46214</v>
      </c>
      <c r="B199">
        <v>701043</v>
      </c>
      <c r="C199" t="s">
        <v>197</v>
      </c>
      <c r="D199" t="s">
        <v>696</v>
      </c>
      <c r="F199">
        <v>0.5</v>
      </c>
      <c r="H199" t="str">
        <f>+_xlfn.XLOOKUP(REG_STOCK[[#This Row],[CODIGO]],PRODUCTOS[CODIGO],PRODUCTOS[DESC CORTA],"",0)</f>
        <v>VOLCANITA EMPAPELADA CIELO</v>
      </c>
      <c r="I199" s="76">
        <f>SUMIFS(DETALLE_GD_1[CANTIDAD RECEPCIONADA],DETALLE_GD_1[CODIGO],REG_STOCK[[#This Row],[CODIGO]],DETALLE_GD_1[FECHA SOLICITUD],"&lt;="&amp;REG_STOCK[[#This Row],[FECHA STOCK ]])+97</f>
        <v>1173</v>
      </c>
      <c r="J199">
        <f>+REG_STOCK[[#This Row],[SOLICITADO A TF]]-REG_STOCK[[#This Row],[STOCK FISICO]]</f>
        <v>1173</v>
      </c>
      <c r="K199" s="40">
        <f>+_xlfn.XLOOKUP(REG_STOCK[[#This Row],[CODIGO]],PRODUCTOS[CODIGO],PRODUCTOS[CANT X MODULO],"",0)</f>
        <v>7.0875000000000012</v>
      </c>
      <c r="L199" s="3">
        <f>+REG_STOCK[[#This Row],[CONSUMO]]/REG_STOCK[[#This Row],[CUBICACION PPTO.]]</f>
        <v>165.50264550264546</v>
      </c>
      <c r="M199" s="3">
        <f>+REG_STOCK[[#This Row],[STOCK FISICO]]/REG_STOCK[[#This Row],[CUBICACION PPTO.]]</f>
        <v>0</v>
      </c>
      <c r="N199" s="3">
        <f>+REG_STOCK[[#This Row],[SOLICITADO A TF]]/REG_STOCK[[#This Row],[CUBICACION PPTO.]]</f>
        <v>165.50264550264546</v>
      </c>
      <c r="O199" s="3">
        <f>IF($V$2-REG_STOCK[[#This Row],[ALCANCE FISICO]]&gt;0,"",($V$2-REG_STOCK[[#This Row],[ALCANCE FISICO]]/REG_STOCK[[#This Row],[CUBICACION PPTO.]]))</f>
        <v>86.648656719203473</v>
      </c>
      <c r="P199" s="3">
        <f>+_xlfn.XLOOKUP(REG_STOCK[[#This Row],[CODIGO]],PRODUCTOS[CODIGO],PRODUCTOS[PRECIO COMPRA UNITARIO],"",0)</f>
        <v>22537.549256505576</v>
      </c>
      <c r="Q199" s="3">
        <f>IFERROR(REG_STOCK[[#This Row],[VALOR UNITARIO]]*REG_STOCK[[#This Row],[PERDIDA O EN PROCESO]],"")</f>
        <v>1952848.368819091</v>
      </c>
      <c r="R199" s="3">
        <f>+REG_STOCK[[#This Row],[VALOR UNITARIO]]*REG_STOCK[[#This Row],[STOCK FISICO]]</f>
        <v>0</v>
      </c>
    </row>
    <row r="200" spans="1:18" hidden="1" x14ac:dyDescent="0.25">
      <c r="A200" s="1">
        <v>46214</v>
      </c>
      <c r="B200">
        <v>302046</v>
      </c>
      <c r="C200" t="s">
        <v>516</v>
      </c>
      <c r="D200" t="s">
        <v>20</v>
      </c>
      <c r="F200">
        <v>8.375</v>
      </c>
      <c r="H200" t="str">
        <f>+_xlfn.XLOOKUP(REG_STOCK[[#This Row],[CODIGO]],PRODUCTOS[CODIGO],PRODUCTOS[DESC CORTA],"",0)</f>
        <v>PINO 2X6X400</v>
      </c>
      <c r="I200" s="76">
        <f>SUMIFS(DETALLE_GD_1[CANTIDAD RECEPCIONADA],DETALLE_GD_1[CODIGO],REG_STOCK[[#This Row],[CODIGO]],DETALLE_GD_1[FECHA SOLICITUD],"&lt;="&amp;REG_STOCK[[#This Row],[FECHA STOCK ]])+97</f>
        <v>4934</v>
      </c>
      <c r="J200">
        <f>+REG_STOCK[[#This Row],[SOLICITADO A TF]]-REG_STOCK[[#This Row],[STOCK FISICO]]</f>
        <v>4934</v>
      </c>
      <c r="K200" s="40">
        <f>+_xlfn.XLOOKUP(REG_STOCK[[#This Row],[CODIGO]],PRODUCTOS[CODIGO],PRODUCTOS[CANT X MODULO],"",0)</f>
        <v>34.65</v>
      </c>
      <c r="L200" s="3">
        <f>+REG_STOCK[[#This Row],[CONSUMO]]/REG_STOCK[[#This Row],[CUBICACION PPTO.]]</f>
        <v>142.3953823953824</v>
      </c>
      <c r="M200" s="3">
        <f>+REG_STOCK[[#This Row],[STOCK FISICO]]/REG_STOCK[[#This Row],[CUBICACION PPTO.]]</f>
        <v>0</v>
      </c>
      <c r="N200" s="3">
        <f>+REG_STOCK[[#This Row],[SOLICITADO A TF]]/REG_STOCK[[#This Row],[CUBICACION PPTO.]]</f>
        <v>142.3953823953824</v>
      </c>
      <c r="O200" s="3">
        <f>IF($V$2-REG_STOCK[[#This Row],[ALCANCE FISICO]]&gt;0,"",($V$2-REG_STOCK[[#This Row],[ALCANCE FISICO]]/REG_STOCK[[#This Row],[CUBICACION PPTO.]]))</f>
        <v>105.89046515453441</v>
      </c>
      <c r="P200" s="3">
        <f>+_xlfn.XLOOKUP(REG_STOCK[[#This Row],[CODIGO]],PRODUCTOS[CODIGO],PRODUCTOS[PRECIO COMPRA UNITARIO],"",0)</f>
        <v>10289.047343394666</v>
      </c>
      <c r="Q200" s="3">
        <f>IFERROR(REG_STOCK[[#This Row],[VALOR UNITARIO]]*REG_STOCK[[#This Row],[PERDIDA O EN PROCESO]],"")</f>
        <v>1089512.0091890877</v>
      </c>
      <c r="R200" s="3">
        <f>+REG_STOCK[[#This Row],[VALOR UNITARIO]]*REG_STOCK[[#This Row],[STOCK FISICO]]</f>
        <v>0</v>
      </c>
    </row>
    <row r="201" spans="1:18" hidden="1" x14ac:dyDescent="0.25">
      <c r="A201" s="1">
        <v>46214</v>
      </c>
      <c r="B201">
        <v>302010</v>
      </c>
      <c r="C201" t="s">
        <v>511</v>
      </c>
      <c r="D201" t="s">
        <v>20</v>
      </c>
      <c r="F201">
        <v>8.375</v>
      </c>
      <c r="H201" t="str">
        <f>+_xlfn.XLOOKUP(REG_STOCK[[#This Row],[CODIGO]],PRODUCTOS[CODIGO],PRODUCTOS[DESC CORTA],"",0)</f>
        <v>PINO 2X6X320</v>
      </c>
      <c r="I201" s="76">
        <f>SUMIFS(DETALLE_GD_1[CANTIDAD RECEPCIONADA],DETALLE_GD_1[CODIGO],REG_STOCK[[#This Row],[CODIGO]],DETALLE_GD_1[FECHA SOLICITUD],"&lt;="&amp;REG_STOCK[[#This Row],[FECHA STOCK ]])+97</f>
        <v>3541</v>
      </c>
      <c r="J201">
        <f>+REG_STOCK[[#This Row],[SOLICITADO A TF]]-REG_STOCK[[#This Row],[STOCK FISICO]]</f>
        <v>3541</v>
      </c>
      <c r="K201" s="40">
        <f>+_xlfn.XLOOKUP(REG_STOCK[[#This Row],[CODIGO]],PRODUCTOS[CODIGO],PRODUCTOS[CANT X MODULO],"",0)</f>
        <v>34.912500000000023</v>
      </c>
      <c r="L201" s="3">
        <f>+REG_STOCK[[#This Row],[CONSUMO]]/REG_STOCK[[#This Row],[CUBICACION PPTO.]]</f>
        <v>101.42499104905113</v>
      </c>
      <c r="M201" s="3">
        <f>+REG_STOCK[[#This Row],[STOCK FISICO]]/REG_STOCK[[#This Row],[CUBICACION PPTO.]]</f>
        <v>0</v>
      </c>
      <c r="N201" s="3">
        <f>+REG_STOCK[[#This Row],[SOLICITADO A TF]]/REG_STOCK[[#This Row],[CUBICACION PPTO.]]</f>
        <v>101.42499104905113</v>
      </c>
      <c r="O201" s="3" t="str">
        <f>IF($V$2-REG_STOCK[[#This Row],[ALCANCE FISICO]]&gt;0,"",($V$2-REG_STOCK[[#This Row],[ALCANCE FISICO]]/REG_STOCK[[#This Row],[CUBICACION PPTO.]]))</f>
        <v/>
      </c>
      <c r="P201" s="3">
        <f>+_xlfn.XLOOKUP(REG_STOCK[[#This Row],[CODIGO]],PRODUCTOS[CODIGO],PRODUCTOS[PRECIO COMPRA UNITARIO],"",0)</f>
        <v>5690.5508432539682</v>
      </c>
      <c r="Q201" s="3" t="str">
        <f>IFERROR(REG_STOCK[[#This Row],[VALOR UNITARIO]]*REG_STOCK[[#This Row],[PERDIDA O EN PROCESO]],"")</f>
        <v/>
      </c>
      <c r="R201" s="3">
        <f>+REG_STOCK[[#This Row],[VALOR UNITARIO]]*REG_STOCK[[#This Row],[STOCK FISICO]]</f>
        <v>0</v>
      </c>
    </row>
    <row r="202" spans="1:18" hidden="1" x14ac:dyDescent="0.25">
      <c r="A202" s="1">
        <v>46214</v>
      </c>
      <c r="B202">
        <v>1901008</v>
      </c>
      <c r="C202" t="s">
        <v>747</v>
      </c>
      <c r="D202" t="s">
        <v>26</v>
      </c>
      <c r="F202">
        <v>0</v>
      </c>
      <c r="H202" t="str">
        <f>+_xlfn.XLOOKUP(REG_STOCK[[#This Row],[CODIGO]],PRODUCTOS[CODIGO],PRODUCTOS[DESC CORTA],"",0)</f>
        <v>AISLAN GLASS 90MM</v>
      </c>
      <c r="I202" s="76">
        <f>SUMIFS(DETALLE_GD_1[CANTIDAD RECEPCIONADA],DETALLE_GD_1[CODIGO],REG_STOCK[[#This Row],[CODIGO]],DETALLE_GD_1[FECHA SOLICITUD],"&lt;="&amp;REG_STOCK[[#This Row],[FECHA STOCK ]])+97</f>
        <v>7114</v>
      </c>
      <c r="J202">
        <f>+REG_STOCK[[#This Row],[SOLICITADO A TF]]-REG_STOCK[[#This Row],[STOCK FISICO]]</f>
        <v>7114</v>
      </c>
      <c r="K202" s="40">
        <f>+_xlfn.XLOOKUP(REG_STOCK[[#This Row],[CODIGO]],PRODUCTOS[CODIGO],PRODUCTOS[CANT X MODULO],"",0)</f>
        <v>62.430325650000007</v>
      </c>
      <c r="L202" s="3">
        <f>+REG_STOCK[[#This Row],[CONSUMO]]/REG_STOCK[[#This Row],[CUBICACION PPTO.]]</f>
        <v>113.95103142474156</v>
      </c>
      <c r="M202" s="3">
        <f>+REG_STOCK[[#This Row],[STOCK FISICO]]/REG_STOCK[[#This Row],[CUBICACION PPTO.]]</f>
        <v>0</v>
      </c>
      <c r="N202" s="3">
        <f>+REG_STOCK[[#This Row],[SOLICITADO A TF]]/REG_STOCK[[#This Row],[CUBICACION PPTO.]]</f>
        <v>113.95103142474156</v>
      </c>
      <c r="O202" s="3">
        <f>IF($V$2-REG_STOCK[[#This Row],[ALCANCE FISICO]]&gt;0,"",($V$2-REG_STOCK[[#This Row],[ALCANCE FISICO]]/REG_STOCK[[#This Row],[CUBICACION PPTO.]]))</f>
        <v>108.17474872606657</v>
      </c>
      <c r="P202" s="3">
        <f>+_xlfn.XLOOKUP(REG_STOCK[[#This Row],[CODIGO]],PRODUCTOS[CODIGO],PRODUCTOS[PRECIO COMPRA UNITARIO],"",0)</f>
        <v>2062.9827561636025</v>
      </c>
      <c r="Q202" s="3">
        <f>IFERROR(REG_STOCK[[#This Row],[VALOR UNITARIO]]*REG_STOCK[[#This Row],[PERDIDA O EN PROCESO]],"")</f>
        <v>223162.64127420596</v>
      </c>
      <c r="R202" s="3">
        <f>+REG_STOCK[[#This Row],[VALOR UNITARIO]]*REG_STOCK[[#This Row],[STOCK FISICO]]</f>
        <v>0</v>
      </c>
    </row>
    <row r="203" spans="1:18" hidden="1" x14ac:dyDescent="0.25">
      <c r="A203" s="1">
        <v>46214</v>
      </c>
      <c r="B203">
        <v>304002</v>
      </c>
      <c r="C203" t="s">
        <v>37</v>
      </c>
      <c r="D203" t="s">
        <v>18</v>
      </c>
      <c r="H203" t="str">
        <f>+_xlfn.XLOOKUP(REG_STOCK[[#This Row],[CODIGO]],PRODUCTOS[CODIGO],PRODUCTOS[DESC CORTA],"",0)</f>
        <v>SMARTPANEL</v>
      </c>
      <c r="I203" s="76">
        <f>SUMIFS(DETALLE_GD_1[CANTIDAD RECEPCIONADA],DETALLE_GD_1[CODIGO],REG_STOCK[[#This Row],[CODIGO]],DETALLE_GD_1[FECHA SOLICITUD],"&lt;="&amp;REG_STOCK[[#This Row],[FECHA STOCK ]])+97</f>
        <v>3600</v>
      </c>
      <c r="J203">
        <f>+REG_STOCK[[#This Row],[SOLICITADO A TF]]-REG_STOCK[[#This Row],[STOCK FISICO]]</f>
        <v>3600</v>
      </c>
      <c r="K203" s="40">
        <f>+_xlfn.XLOOKUP(REG_STOCK[[#This Row],[CODIGO]],PRODUCTOS[CODIGO],PRODUCTOS[CANT X MODULO],"",0)</f>
        <v>23.296874999999996</v>
      </c>
      <c r="L203" s="3">
        <f>+REG_STOCK[[#This Row],[CONSUMO]]/REG_STOCK[[#This Row],[CUBICACION PPTO.]]</f>
        <v>154.52716297786722</v>
      </c>
      <c r="M203" s="3">
        <f>+REG_STOCK[[#This Row],[STOCK FISICO]]/REG_STOCK[[#This Row],[CUBICACION PPTO.]]</f>
        <v>0</v>
      </c>
      <c r="N203" s="3">
        <f>+REG_STOCK[[#This Row],[SOLICITADO A TF]]/REG_STOCK[[#This Row],[CUBICACION PPTO.]]</f>
        <v>154.52716297786722</v>
      </c>
      <c r="O203" s="3">
        <f>IF($V$2-REG_STOCK[[#This Row],[ALCANCE FISICO]]&gt;0,"",($V$2-REG_STOCK[[#This Row],[ALCANCE FISICO]]/REG_STOCK[[#This Row],[CUBICACION PPTO.]]))</f>
        <v>103.36704330611435</v>
      </c>
      <c r="P203" s="3">
        <f>+_xlfn.XLOOKUP(REG_STOCK[[#This Row],[CODIGO]],PRODUCTOS[CODIGO],PRODUCTOS[PRECIO COMPRA UNITARIO],"",0)</f>
        <v>21604.880388238653</v>
      </c>
      <c r="Q203" s="3">
        <f>IFERROR(REG_STOCK[[#This Row],[VALOR UNITARIO]]*REG_STOCK[[#This Row],[PERDIDA O EN PROCESO]],"")</f>
        <v>2233232.6067144857</v>
      </c>
      <c r="R203" s="3">
        <f>+REG_STOCK[[#This Row],[VALOR UNITARIO]]*REG_STOCK[[#This Row],[STOCK FISICO]]</f>
        <v>0</v>
      </c>
    </row>
    <row r="204" spans="1:18" hidden="1" x14ac:dyDescent="0.25">
      <c r="A204" s="1">
        <v>46214</v>
      </c>
      <c r="B204">
        <v>304101</v>
      </c>
      <c r="C204" t="s">
        <v>695</v>
      </c>
      <c r="D204" t="s">
        <v>18</v>
      </c>
      <c r="F204">
        <v>0.25</v>
      </c>
      <c r="H204" t="str">
        <f>+_xlfn.XLOOKUP(REG_STOCK[[#This Row],[CODIGO]],PRODUCTOS[CODIGO],PRODUCTOS[DESC CORTA],"",0)</f>
        <v>OSB 9.5</v>
      </c>
      <c r="I204" s="76">
        <f>SUMIFS(DETALLE_GD_1[CANTIDAD RECEPCIONADA],DETALLE_GD_1[CODIGO],REG_STOCK[[#This Row],[CODIGO]],DETALLE_GD_1[FECHA SOLICITUD],"&lt;="&amp;REG_STOCK[[#This Row],[FECHA STOCK ]])+97</f>
        <v>5318</v>
      </c>
      <c r="J204">
        <f>+REG_STOCK[[#This Row],[SOLICITADO A TF]]-REG_STOCK[[#This Row],[STOCK FISICO]]</f>
        <v>5318</v>
      </c>
      <c r="K204" s="40">
        <f>+_xlfn.XLOOKUP(REG_STOCK[[#This Row],[CODIGO]],PRODUCTOS[CODIGO],PRODUCTOS[CANT X MODULO],"",0)</f>
        <v>47.643749999999976</v>
      </c>
      <c r="L204" s="3">
        <f>+REG_STOCK[[#This Row],[CONSUMO]]/REG_STOCK[[#This Row],[CUBICACION PPTO.]]</f>
        <v>111.62009707464259</v>
      </c>
      <c r="M204" s="3">
        <f>+REG_STOCK[[#This Row],[STOCK FISICO]]/REG_STOCK[[#This Row],[CUBICACION PPTO.]]</f>
        <v>0</v>
      </c>
      <c r="N204" s="3">
        <f>+REG_STOCK[[#This Row],[SOLICITADO A TF]]/REG_STOCK[[#This Row],[CUBICACION PPTO.]]</f>
        <v>111.62009707464259</v>
      </c>
      <c r="O204" s="3">
        <f>IF($V$2-REG_STOCK[[#This Row],[ALCANCE FISICO]]&gt;0,"",($V$2-REG_STOCK[[#This Row],[ALCANCE FISICO]]/REG_STOCK[[#This Row],[CUBICACION PPTO.]]))</f>
        <v>107.65719329241206</v>
      </c>
      <c r="P204" s="3">
        <f>+_xlfn.XLOOKUP(REG_STOCK[[#This Row],[CODIGO]],PRODUCTOS[CODIGO],PRODUCTOS[PRECIO COMPRA UNITARIO],"",0)</f>
        <v>9649.1185596629002</v>
      </c>
      <c r="Q204" s="3">
        <f>IFERROR(REG_STOCK[[#This Row],[VALOR UNITARIO]]*REG_STOCK[[#This Row],[PERDIDA O EN PROCESO]],"")</f>
        <v>1038797.0218790295</v>
      </c>
      <c r="R204" s="3">
        <f>+REG_STOCK[[#This Row],[VALOR UNITARIO]]*REG_STOCK[[#This Row],[STOCK FISICO]]</f>
        <v>0</v>
      </c>
    </row>
    <row r="205" spans="1:18" hidden="1" x14ac:dyDescent="0.25">
      <c r="A205" s="1">
        <v>46214</v>
      </c>
      <c r="B205">
        <v>302028</v>
      </c>
      <c r="C205" t="s">
        <v>512</v>
      </c>
      <c r="D205" t="s">
        <v>20</v>
      </c>
      <c r="F205">
        <v>0.25</v>
      </c>
      <c r="H205" t="str">
        <f>+_xlfn.XLOOKUP(REG_STOCK[[#This Row],[CODIGO]],PRODUCTOS[CODIGO],PRODUCTOS[DESC CORTA],"",0)</f>
        <v>PINO 2X4X320</v>
      </c>
      <c r="I205" s="76">
        <f>SUMIFS(DETALLE_GD_1[CANTIDAD RECEPCIONADA],DETALLE_GD_1[CODIGO],REG_STOCK[[#This Row],[CODIGO]],DETALLE_GD_1[FECHA SOLICITUD],"&lt;="&amp;REG_STOCK[[#This Row],[FECHA STOCK ]])+97</f>
        <v>10658</v>
      </c>
      <c r="J205">
        <f>+REG_STOCK[[#This Row],[SOLICITADO A TF]]-REG_STOCK[[#This Row],[STOCK FISICO]]</f>
        <v>10658</v>
      </c>
      <c r="K205" s="40">
        <f>+_xlfn.XLOOKUP(REG_STOCK[[#This Row],[CODIGO]],PRODUCTOS[CODIGO],PRODUCTOS[CANT X MODULO],"",0)</f>
        <v>172.72499999999994</v>
      </c>
      <c r="L205" s="3">
        <f>+REG_STOCK[[#This Row],[CONSUMO]]/REG_STOCK[[#This Row],[CUBICACION PPTO.]]</f>
        <v>61.705022434505743</v>
      </c>
      <c r="M205" s="3">
        <f>+REG_STOCK[[#This Row],[STOCK FISICO]]/REG_STOCK[[#This Row],[CUBICACION PPTO.]]</f>
        <v>0</v>
      </c>
      <c r="N205" s="3">
        <f>+REG_STOCK[[#This Row],[SOLICITADO A TF]]/REG_STOCK[[#This Row],[CUBICACION PPTO.]]</f>
        <v>61.705022434505743</v>
      </c>
      <c r="O205" s="3" t="str">
        <f>IF($V$2-REG_STOCK[[#This Row],[ALCANCE FISICO]]&gt;0,"",($V$2-REG_STOCK[[#This Row],[ALCANCE FISICO]]/REG_STOCK[[#This Row],[CUBICACION PPTO.]]))</f>
        <v/>
      </c>
      <c r="P205" s="3">
        <f>+_xlfn.XLOOKUP(REG_STOCK[[#This Row],[CODIGO]],PRODUCTOS[CODIGO],PRODUCTOS[PRECIO COMPRA UNITARIO],"",0)</f>
        <v>4769.5117820983787</v>
      </c>
      <c r="Q205" s="3" t="str">
        <f>IFERROR(REG_STOCK[[#This Row],[VALOR UNITARIO]]*REG_STOCK[[#This Row],[PERDIDA O EN PROCESO]],"")</f>
        <v/>
      </c>
      <c r="R205" s="3">
        <f>+REG_STOCK[[#This Row],[VALOR UNITARIO]]*REG_STOCK[[#This Row],[STOCK FISICO]]</f>
        <v>0</v>
      </c>
    </row>
    <row r="206" spans="1:18" hidden="1" x14ac:dyDescent="0.25">
      <c r="A206" s="1">
        <v>46214</v>
      </c>
      <c r="B206">
        <v>304049</v>
      </c>
      <c r="C206" t="s">
        <v>318</v>
      </c>
      <c r="D206" t="s">
        <v>18</v>
      </c>
      <c r="F206">
        <v>0.25</v>
      </c>
      <c r="H206" t="str">
        <f>+_xlfn.XLOOKUP(REG_STOCK[[#This Row],[CODIGO]],PRODUCTOS[CODIGO],PRODUCTOS[DESC CORTA],"",0)</f>
        <v>TERCIADO FENOLICO</v>
      </c>
      <c r="I206" s="76">
        <f>SUMIFS(DETALLE_GD_1[CANTIDAD RECEPCIONADA],DETALLE_GD_1[CODIGO],REG_STOCK[[#This Row],[CODIGO]],DETALLE_GD_1[FECHA SOLICITUD],"&lt;="&amp;REG_STOCK[[#This Row],[FECHA STOCK ]])+97</f>
        <v>2737</v>
      </c>
      <c r="J206">
        <f>+REG_STOCK[[#This Row],[SOLICITADO A TF]]-REG_STOCK[[#This Row],[STOCK FISICO]]</f>
        <v>2737</v>
      </c>
      <c r="K206" s="40">
        <f>+_xlfn.XLOOKUP(REG_STOCK[[#This Row],[CODIGO]],PRODUCTOS[CODIGO],PRODUCTOS[CANT X MODULO],"",0)</f>
        <v>23.273250000000008</v>
      </c>
      <c r="L206" s="3">
        <f>+REG_STOCK[[#This Row],[CONSUMO]]/REG_STOCK[[#This Row],[CUBICACION PPTO.]]</f>
        <v>117.6028272802466</v>
      </c>
      <c r="M206" s="3">
        <f>+REG_STOCK[[#This Row],[STOCK FISICO]]/REG_STOCK[[#This Row],[CUBICACION PPTO.]]</f>
        <v>0</v>
      </c>
      <c r="N206" s="3">
        <f>+REG_STOCK[[#This Row],[SOLICITADO A TF]]/REG_STOCK[[#This Row],[CUBICACION PPTO.]]</f>
        <v>117.6028272802466</v>
      </c>
      <c r="O206" s="3">
        <f>IF($V$2-REG_STOCK[[#This Row],[ALCANCE FISICO]]&gt;0,"",($V$2-REG_STOCK[[#This Row],[ALCANCE FISICO]]/REG_STOCK[[#This Row],[CUBICACION PPTO.]]))</f>
        <v>104.94686701340609</v>
      </c>
      <c r="P206" s="3">
        <f>+_xlfn.XLOOKUP(REG_STOCK[[#This Row],[CODIGO]],PRODUCTOS[CODIGO],PRODUCTOS[PRECIO COMPRA UNITARIO],"",0)</f>
        <v>15095.117424242424</v>
      </c>
      <c r="Q206" s="3">
        <f>IFERROR(REG_STOCK[[#This Row],[VALOR UNITARIO]]*REG_STOCK[[#This Row],[PERDIDA O EN PROCESO]],"")</f>
        <v>1584185.2808737187</v>
      </c>
      <c r="R206" s="3">
        <f>+REG_STOCK[[#This Row],[VALOR UNITARIO]]*REG_STOCK[[#This Row],[STOCK FISICO]]</f>
        <v>0</v>
      </c>
    </row>
    <row r="207" spans="1:18" hidden="1" x14ac:dyDescent="0.25">
      <c r="A207" s="1">
        <v>46214</v>
      </c>
      <c r="B207">
        <v>701096</v>
      </c>
      <c r="C207" t="s">
        <v>204</v>
      </c>
      <c r="D207" t="s">
        <v>18</v>
      </c>
      <c r="F207">
        <v>0.25</v>
      </c>
      <c r="H207" t="str">
        <f>+_xlfn.XLOOKUP(REG_STOCK[[#This Row],[CODIGO]],PRODUCTOS[CODIGO],PRODUCTOS[DESC CORTA],"",0)</f>
        <v>VOCANITA EMPAPELADA MURO</v>
      </c>
      <c r="I207" s="76">
        <f>SUMIFS(DETALLE_GD_1[CANTIDAD RECEPCIONADA],DETALLE_GD_1[CODIGO],REG_STOCK[[#This Row],[CODIGO]],DETALLE_GD_1[FECHA SOLICITUD],"&lt;="&amp;REG_STOCK[[#This Row],[FECHA STOCK ]])+97</f>
        <v>3021</v>
      </c>
      <c r="J207">
        <f>+REG_STOCK[[#This Row],[SOLICITADO A TF]]-REG_STOCK[[#This Row],[STOCK FISICO]]</f>
        <v>3021</v>
      </c>
      <c r="K207" s="40">
        <f>+_xlfn.XLOOKUP(REG_STOCK[[#This Row],[CODIGO]],PRODUCTOS[CODIGO],PRODUCTOS[CANT X MODULO],"",0)</f>
        <v>31.237499999999997</v>
      </c>
      <c r="L207" s="3">
        <f>+REG_STOCK[[#This Row],[CONSUMO]]/REG_STOCK[[#This Row],[CUBICACION PPTO.]]</f>
        <v>96.710684273709489</v>
      </c>
      <c r="M207" s="3">
        <f>+REG_STOCK[[#This Row],[STOCK FISICO]]/REG_STOCK[[#This Row],[CUBICACION PPTO.]]</f>
        <v>0</v>
      </c>
      <c r="N207" s="3">
        <f>+REG_STOCK[[#This Row],[SOLICITADO A TF]]/REG_STOCK[[#This Row],[CUBICACION PPTO.]]</f>
        <v>96.710684273709489</v>
      </c>
      <c r="O207" s="3" t="str">
        <f>IF($V$2-REG_STOCK[[#This Row],[ALCANCE FISICO]]&gt;0,"",($V$2-REG_STOCK[[#This Row],[ALCANCE FISICO]]/REG_STOCK[[#This Row],[CUBICACION PPTO.]]))</f>
        <v/>
      </c>
      <c r="P207" s="3">
        <f>+_xlfn.XLOOKUP(REG_STOCK[[#This Row],[CODIGO]],PRODUCTOS[CODIGO],PRODUCTOS[PRECIO COMPRA UNITARIO],"",0)</f>
        <v>16231.199726402188</v>
      </c>
      <c r="Q207" s="3" t="str">
        <f>IFERROR(REG_STOCK[[#This Row],[VALOR UNITARIO]]*REG_STOCK[[#This Row],[PERDIDA O EN PROCESO]],"")</f>
        <v/>
      </c>
      <c r="R207" s="3">
        <f>+REG_STOCK[[#This Row],[VALOR UNITARIO]]*REG_STOCK[[#This Row],[STOCK FISICO]]</f>
        <v>0</v>
      </c>
    </row>
    <row r="208" spans="1:18" hidden="1" x14ac:dyDescent="0.25">
      <c r="A208" s="1">
        <v>46214</v>
      </c>
      <c r="B208">
        <v>701040</v>
      </c>
      <c r="C208" t="s">
        <v>19</v>
      </c>
      <c r="D208" t="s">
        <v>18</v>
      </c>
      <c r="F208">
        <v>0.25</v>
      </c>
      <c r="H208" t="str">
        <f>+_xlfn.XLOOKUP(REG_STOCK[[#This Row],[CODIGO]],PRODUCTOS[CODIGO],PRODUCTOS[DESC CORTA],"",0)</f>
        <v>VOLCANITA RF</v>
      </c>
      <c r="I208" s="76">
        <f>SUMIFS(DETALLE_GD_1[CANTIDAD RECEPCIONADA],DETALLE_GD_1[CODIGO],REG_STOCK[[#This Row],[CODIGO]],DETALLE_GD_1[FECHA SOLICITUD],"&lt;="&amp;REG_STOCK[[#This Row],[FECHA STOCK ]])+97</f>
        <v>1232</v>
      </c>
      <c r="J208">
        <f>+REG_STOCK[[#This Row],[SOLICITADO A TF]]-REG_STOCK[[#This Row],[STOCK FISICO]]</f>
        <v>1232</v>
      </c>
      <c r="K208" s="40">
        <f>+_xlfn.XLOOKUP(REG_STOCK[[#This Row],[CODIGO]],PRODUCTOS[CODIGO],PRODUCTOS[CANT X MODULO],"",0)</f>
        <v>4.2840000000000007</v>
      </c>
      <c r="L208" s="3">
        <f>+REG_STOCK[[#This Row],[CONSUMO]]/REG_STOCK[[#This Row],[CUBICACION PPTO.]]</f>
        <v>287.58169934640517</v>
      </c>
      <c r="M208" s="3">
        <f>+REG_STOCK[[#This Row],[STOCK FISICO]]/REG_STOCK[[#This Row],[CUBICACION PPTO.]]</f>
        <v>0</v>
      </c>
      <c r="N208" s="3">
        <f>+REG_STOCK[[#This Row],[SOLICITADO A TF]]/REG_STOCK[[#This Row],[CUBICACION PPTO.]]</f>
        <v>287.58169934640517</v>
      </c>
      <c r="O208" s="3">
        <f>IF($V$2-REG_STOCK[[#This Row],[ALCANCE FISICO]]&gt;0,"",($V$2-REG_STOCK[[#This Row],[ALCANCE FISICO]]/REG_STOCK[[#This Row],[CUBICACION PPTO.]]))</f>
        <v>42.870751786553427</v>
      </c>
      <c r="P208" s="3">
        <f>+_xlfn.XLOOKUP(REG_STOCK[[#This Row],[CODIGO]],PRODUCTOS[CODIGO],PRODUCTOS[PRECIO COMPRA UNITARIO],"",0)</f>
        <v>7627.9022026431721</v>
      </c>
      <c r="Q208" s="3">
        <f>IFERROR(REG_STOCK[[#This Row],[VALOR UNITARIO]]*REG_STOCK[[#This Row],[PERDIDA O EN PROCESO]],"")</f>
        <v>327013.90198161959</v>
      </c>
      <c r="R208" s="3">
        <f>+REG_STOCK[[#This Row],[VALOR UNITARIO]]*REG_STOCK[[#This Row],[STOCK FISICO]]</f>
        <v>0</v>
      </c>
    </row>
    <row r="209" spans="1:18" hidden="1" x14ac:dyDescent="0.25">
      <c r="A209" s="1">
        <v>46214</v>
      </c>
      <c r="B209">
        <v>1902003</v>
      </c>
      <c r="C209" t="s">
        <v>155</v>
      </c>
      <c r="D209" t="s">
        <v>47</v>
      </c>
      <c r="F209">
        <v>0</v>
      </c>
      <c r="H209">
        <f>+_xlfn.XLOOKUP(REG_STOCK[[#This Row],[CODIGO]],PRODUCTOS[CODIGO],PRODUCTOS[DESC CORTA],"",0)</f>
        <v>0</v>
      </c>
      <c r="I209" s="76">
        <f>SUMIFS(DETALLE_GD_1[CANTIDAD RECEPCIONADA],DETALLE_GD_1[CODIGO],REG_STOCK[[#This Row],[CODIGO]],DETALLE_GD_1[FECHA SOLICITUD],"&lt;="&amp;REG_STOCK[[#This Row],[FECHA STOCK ]])+97</f>
        <v>206</v>
      </c>
      <c r="J209">
        <f>+REG_STOCK[[#This Row],[SOLICITADO A TF]]-REG_STOCK[[#This Row],[STOCK FISICO]]</f>
        <v>206</v>
      </c>
      <c r="K209" s="40">
        <f>+_xlfn.XLOOKUP(REG_STOCK[[#This Row],[CODIGO]],PRODUCTOS[CODIGO],PRODUCTOS[CANT X MODULO],"",0)</f>
        <v>0.41466600000000009</v>
      </c>
      <c r="L209" s="3">
        <f>+REG_STOCK[[#This Row],[CONSUMO]]/REG_STOCK[[#This Row],[CUBICACION PPTO.]]</f>
        <v>496.7853646066954</v>
      </c>
      <c r="M209" s="3">
        <f>+REG_STOCK[[#This Row],[STOCK FISICO]]/REG_STOCK[[#This Row],[CUBICACION PPTO.]]</f>
        <v>0</v>
      </c>
      <c r="N209" s="3">
        <f>+REG_STOCK[[#This Row],[SOLICITADO A TF]]/REG_STOCK[[#This Row],[CUBICACION PPTO.]]</f>
        <v>496.7853646066954</v>
      </c>
      <c r="O209" s="3">
        <f>IF($V$2-REG_STOCK[[#This Row],[ALCANCE FISICO]]&gt;0,"",($V$2-REG_STOCK[[#This Row],[ALCANCE FISICO]]/REG_STOCK[[#This Row],[CUBICACION PPTO.]]))</f>
        <v>-1088.0373712980936</v>
      </c>
      <c r="P209" s="3">
        <f>+_xlfn.XLOOKUP(REG_STOCK[[#This Row],[CODIGO]],PRODUCTOS[CODIGO],PRODUCTOS[PRECIO COMPRA UNITARIO],"",0)</f>
        <v>150758.376146789</v>
      </c>
      <c r="Q209" s="3">
        <f>IFERROR(REG_STOCK[[#This Row],[VALOR UNITARIO]]*REG_STOCK[[#This Row],[PERDIDA O EN PROCESO]],"")</f>
        <v>-164030747.28392151</v>
      </c>
      <c r="R209" s="3">
        <f>+REG_STOCK[[#This Row],[VALOR UNITARIO]]*REG_STOCK[[#This Row],[STOCK FISICO]]</f>
        <v>0</v>
      </c>
    </row>
    <row r="210" spans="1:18" hidden="1" x14ac:dyDescent="0.25">
      <c r="A210" s="1">
        <v>46214</v>
      </c>
      <c r="B210" t="s">
        <v>21</v>
      </c>
      <c r="C210" t="s">
        <v>785</v>
      </c>
      <c r="D210" t="s">
        <v>20</v>
      </c>
      <c r="F210">
        <v>0</v>
      </c>
      <c r="H210" t="str">
        <f>+_xlfn.XLOOKUP(REG_STOCK[[#This Row],[CODIGO]],PRODUCTOS[CODIGO],PRODUCTOS[DESC CORTA],"",0)</f>
        <v>PINO 3X8X320</v>
      </c>
      <c r="I210" s="76">
        <f>SUMIFS(DETALLE_GD_1[CANTIDAD RECEPCIONADA],DETALLE_GD_1[CODIGO],REG_STOCK[[#This Row],[CODIGO]],DETALLE_GD_1[FECHA SOLICITUD],"&lt;="&amp;REG_STOCK[[#This Row],[FECHA STOCK ]])+97</f>
        <v>985</v>
      </c>
      <c r="J210">
        <f>+REG_STOCK[[#This Row],[SOLICITADO A TF]]-REG_STOCK[[#This Row],[STOCK FISICO]]</f>
        <v>985</v>
      </c>
      <c r="K210" s="40">
        <f>+_xlfn.XLOOKUP(REG_STOCK[[#This Row],[CODIGO]],PRODUCTOS[CODIGO],PRODUCTOS[CANT X MODULO],"",0)</f>
        <v>6.3000000000000007</v>
      </c>
      <c r="L210" s="3">
        <f>+REG_STOCK[[#This Row],[CONSUMO]]/REG_STOCK[[#This Row],[CUBICACION PPTO.]]</f>
        <v>156.34920634920633</v>
      </c>
      <c r="M210" s="3">
        <f>+REG_STOCK[[#This Row],[STOCK FISICO]]/REG_STOCK[[#This Row],[CUBICACION PPTO.]]</f>
        <v>0</v>
      </c>
      <c r="N210" s="3">
        <f>+REG_STOCK[[#This Row],[SOLICITADO A TF]]/REG_STOCK[[#This Row],[CUBICACION PPTO.]]</f>
        <v>156.34920634920633</v>
      </c>
      <c r="O210" s="3">
        <f>IF($V$2-REG_STOCK[[#This Row],[ALCANCE FISICO]]&gt;0,"",($V$2-REG_STOCK[[#This Row],[ALCANCE FISICO]]/REG_STOCK[[#This Row],[CUBICACION PPTO.]]))</f>
        <v>85.182665658856138</v>
      </c>
      <c r="P210" s="3">
        <f>+_xlfn.XLOOKUP(REG_STOCK[[#This Row],[CODIGO]],PRODUCTOS[CODIGO],PRODUCTOS[PRECIO COMPRA UNITARIO],"",0)</f>
        <v>15443.519144144144</v>
      </c>
      <c r="Q210" s="3">
        <f>IFERROR(REG_STOCK[[#This Row],[VALOR UNITARIO]]*REG_STOCK[[#This Row],[PERDIDA O EN PROCESO]],"")</f>
        <v>1315520.1278517747</v>
      </c>
      <c r="R210" s="3">
        <f>+REG_STOCK[[#This Row],[VALOR UNITARIO]]*REG_STOCK[[#This Row],[STOCK FISICO]]</f>
        <v>0</v>
      </c>
    </row>
    <row r="211" spans="1:18" hidden="1" x14ac:dyDescent="0.25">
      <c r="A211" s="1">
        <v>46214</v>
      </c>
      <c r="B211">
        <v>701084</v>
      </c>
      <c r="C211" t="s">
        <v>38</v>
      </c>
      <c r="D211" t="s">
        <v>18</v>
      </c>
      <c r="F211">
        <v>0</v>
      </c>
      <c r="H211" t="str">
        <f>+_xlfn.XLOOKUP(REG_STOCK[[#This Row],[CODIGO]],PRODUCTOS[CODIGO],PRODUCTOS[DESC CORTA],"",0)</f>
        <v>FIBROCEMENTO BALCON</v>
      </c>
      <c r="I211" s="76">
        <f>SUMIFS(DETALLE_GD_1[CANTIDAD RECEPCIONADA],DETALLE_GD_1[CODIGO],REG_STOCK[[#This Row],[CODIGO]],DETALLE_GD_1[FECHA SOLICITUD],"&lt;="&amp;REG_STOCK[[#This Row],[FECHA STOCK ]])+97</f>
        <v>229</v>
      </c>
      <c r="J211">
        <f>+REG_STOCK[[#This Row],[SOLICITADO A TF]]-REG_STOCK[[#This Row],[STOCK FISICO]]</f>
        <v>229</v>
      </c>
      <c r="K211" s="40">
        <f>+_xlfn.XLOOKUP(REG_STOCK[[#This Row],[CODIGO]],PRODUCTOS[CODIGO],PRODUCTOS[CANT X MODULO],"",0)</f>
        <v>0.69825000000000004</v>
      </c>
      <c r="L211" s="3">
        <f>+REG_STOCK[[#This Row],[CONSUMO]]/REG_STOCK[[#This Row],[CUBICACION PPTO.]]</f>
        <v>327.9627640529896</v>
      </c>
      <c r="M211" s="3">
        <f>+REG_STOCK[[#This Row],[STOCK FISICO]]/REG_STOCK[[#This Row],[CUBICACION PPTO.]]</f>
        <v>0</v>
      </c>
      <c r="N211" s="3">
        <f>+REG_STOCK[[#This Row],[SOLICITADO A TF]]/REG_STOCK[[#This Row],[CUBICACION PPTO.]]</f>
        <v>327.9627640529896</v>
      </c>
      <c r="O211" s="3">
        <f>IF($V$2-REG_STOCK[[#This Row],[ALCANCE FISICO]]&gt;0,"",($V$2-REG_STOCK[[#This Row],[ALCANCE FISICO]]/REG_STOCK[[#This Row],[CUBICACION PPTO.]]))</f>
        <v>-359.69246552522674</v>
      </c>
      <c r="P211" s="3">
        <f>+_xlfn.XLOOKUP(REG_STOCK[[#This Row],[CODIGO]],PRODUCTOS[CODIGO],PRODUCTOS[PRECIO COMPRA UNITARIO],"",0)</f>
        <v>39468.96212121212</v>
      </c>
      <c r="Q211" s="3">
        <f>IFERROR(REG_STOCK[[#This Row],[VALOR UNITARIO]]*REG_STOCK[[#This Row],[PERDIDA O EN PROCESO]],"")</f>
        <v>-14196688.29710057</v>
      </c>
      <c r="R211" s="3">
        <f>+REG_STOCK[[#This Row],[VALOR UNITARIO]]*REG_STOCK[[#This Row],[STOCK FISICO]]</f>
        <v>0</v>
      </c>
    </row>
    <row r="212" spans="1:18" hidden="1" x14ac:dyDescent="0.25">
      <c r="A212" s="1">
        <v>46214</v>
      </c>
      <c r="B212">
        <v>5309018</v>
      </c>
      <c r="C212" t="s">
        <v>112</v>
      </c>
      <c r="D212" t="s">
        <v>26</v>
      </c>
      <c r="F212">
        <v>0.25</v>
      </c>
      <c r="H212">
        <f>+_xlfn.XLOOKUP(REG_STOCK[[#This Row],[CODIGO]],PRODUCTOS[CODIGO],PRODUCTOS[DESC CORTA],"",0)</f>
        <v>0</v>
      </c>
      <c r="I212" s="76">
        <f>SUMIFS(DETALLE_GD_1[CANTIDAD RECEPCIONADA],DETALLE_GD_1[CODIGO],REG_STOCK[[#This Row],[CODIGO]],DETALLE_GD_1[FECHA SOLICITUD],"&lt;="&amp;REG_STOCK[[#This Row],[FECHA STOCK ]])+97</f>
        <v>3797</v>
      </c>
      <c r="J212">
        <f>+REG_STOCK[[#This Row],[SOLICITADO A TF]]-REG_STOCK[[#This Row],[STOCK FISICO]]</f>
        <v>3797</v>
      </c>
      <c r="K212" s="40">
        <f>+_xlfn.XLOOKUP(REG_STOCK[[#This Row],[CODIGO]],PRODUCTOS[CODIGO],PRODUCTOS[CANT X MODULO],"",0)</f>
        <v>34.649999999999991</v>
      </c>
      <c r="L212" s="3">
        <f>+REG_STOCK[[#This Row],[CONSUMO]]/REG_STOCK[[#This Row],[CUBICACION PPTO.]]</f>
        <v>109.58152958152961</v>
      </c>
      <c r="M212" s="3">
        <f>+REG_STOCK[[#This Row],[STOCK FISICO]]/REG_STOCK[[#This Row],[CUBICACION PPTO.]]</f>
        <v>0</v>
      </c>
      <c r="N212" s="3">
        <f>+REG_STOCK[[#This Row],[SOLICITADO A TF]]/REG_STOCK[[#This Row],[CUBICACION PPTO.]]</f>
        <v>109.58152958152961</v>
      </c>
      <c r="O212" s="3" t="str">
        <f>IF($V$2-REG_STOCK[[#This Row],[ALCANCE FISICO]]&gt;0,"",($V$2-REG_STOCK[[#This Row],[ALCANCE FISICO]]/REG_STOCK[[#This Row],[CUBICACION PPTO.]]))</f>
        <v/>
      </c>
      <c r="P212" s="3">
        <f>+_xlfn.XLOOKUP(REG_STOCK[[#This Row],[CODIGO]],PRODUCTOS[CODIGO],PRODUCTOS[PRECIO COMPRA UNITARIO],"",0)</f>
        <v>707.86891891891889</v>
      </c>
      <c r="Q212" s="3" t="str">
        <f>IFERROR(REG_STOCK[[#This Row],[VALOR UNITARIO]]*REG_STOCK[[#This Row],[PERDIDA O EN PROCESO]],"")</f>
        <v/>
      </c>
      <c r="R212" s="3">
        <f>+REG_STOCK[[#This Row],[VALOR UNITARIO]]*REG_STOCK[[#This Row],[STOCK FISICO]]</f>
        <v>0</v>
      </c>
    </row>
    <row r="213" spans="1:18" hidden="1" x14ac:dyDescent="0.25">
      <c r="A213" s="1">
        <v>46214</v>
      </c>
      <c r="B213">
        <v>1902014</v>
      </c>
      <c r="C213" t="s">
        <v>316</v>
      </c>
      <c r="D213" t="s">
        <v>18</v>
      </c>
      <c r="F213">
        <v>0</v>
      </c>
      <c r="H213" t="str">
        <f>+_xlfn.XLOOKUP(REG_STOCK[[#This Row],[CODIGO]],PRODUCTOS[CODIGO],PRODUCTOS[DESC CORTA],"",0)</f>
        <v>VOLCOGLASS</v>
      </c>
      <c r="I213" s="76">
        <f>SUMIFS(DETALLE_GD_1[CANTIDAD RECEPCIONADA],DETALLE_GD_1[CODIGO],REG_STOCK[[#This Row],[CODIGO]],DETALLE_GD_1[FECHA SOLICITUD],"&lt;="&amp;REG_STOCK[[#This Row],[FECHA STOCK ]])+97</f>
        <v>617</v>
      </c>
      <c r="J213">
        <f>+REG_STOCK[[#This Row],[SOLICITADO A TF]]-REG_STOCK[[#This Row],[STOCK FISICO]]</f>
        <v>617</v>
      </c>
      <c r="K213" s="40">
        <f>+_xlfn.XLOOKUP(REG_STOCK[[#This Row],[CODIGO]],PRODUCTOS[CODIGO],PRODUCTOS[CANT X MODULO],"",0)</f>
        <v>5.5125000000000002</v>
      </c>
      <c r="L213" s="3">
        <f>+REG_STOCK[[#This Row],[CONSUMO]]/REG_STOCK[[#This Row],[CUBICACION PPTO.]]</f>
        <v>111.92743764172336</v>
      </c>
      <c r="M213" s="3">
        <f>+REG_STOCK[[#This Row],[STOCK FISICO]]/REG_STOCK[[#This Row],[CUBICACION PPTO.]]</f>
        <v>0</v>
      </c>
      <c r="N213" s="3">
        <f>+REG_STOCK[[#This Row],[SOLICITADO A TF]]/REG_STOCK[[#This Row],[CUBICACION PPTO.]]</f>
        <v>111.92743764172336</v>
      </c>
      <c r="O213" s="3">
        <f>IF($V$2-REG_STOCK[[#This Row],[ALCANCE FISICO]]&gt;0,"",($V$2-REG_STOCK[[#This Row],[ALCANCE FISICO]]/REG_STOCK[[#This Row],[CUBICACION PPTO.]]))</f>
        <v>89.695702922136348</v>
      </c>
      <c r="P213" s="3">
        <f>+_xlfn.XLOOKUP(REG_STOCK[[#This Row],[CODIGO]],PRODUCTOS[CODIGO],PRODUCTOS[PRECIO COMPRA UNITARIO],"",0)</f>
        <v>29799.757692307692</v>
      </c>
      <c r="Q213" s="3">
        <f>IFERROR(REG_STOCK[[#This Row],[VALOR UNITARIO]]*REG_STOCK[[#This Row],[PERDIDA O EN PROCESO]],"")</f>
        <v>2672910.2131208782</v>
      </c>
      <c r="R213" s="3">
        <f>+REG_STOCK[[#This Row],[VALOR UNITARIO]]*REG_STOCK[[#This Row],[STOCK FISICO]]</f>
        <v>0</v>
      </c>
    </row>
    <row r="214" spans="1:18" hidden="1" x14ac:dyDescent="0.25">
      <c r="A214" s="1">
        <v>46214</v>
      </c>
      <c r="B214">
        <v>302054</v>
      </c>
      <c r="C214" t="s">
        <v>356</v>
      </c>
      <c r="D214" t="s">
        <v>20</v>
      </c>
      <c r="H214">
        <f>+_xlfn.XLOOKUP(REG_STOCK[[#This Row],[CODIGO]],PRODUCTOS[CODIGO],PRODUCTOS[DESC CORTA],"",0)</f>
        <v>0</v>
      </c>
      <c r="I214" s="76">
        <f>SUMIFS(DETALLE_GD_1[CANTIDAD RECEPCIONADA],DETALLE_GD_1[CODIGO],REG_STOCK[[#This Row],[CODIGO]],DETALLE_GD_1[FECHA SOLICITUD],"&lt;="&amp;REG_STOCK[[#This Row],[FECHA STOCK ]])+97</f>
        <v>17905</v>
      </c>
      <c r="J214">
        <f>+REG_STOCK[[#This Row],[SOLICITADO A TF]]-REG_STOCK[[#This Row],[STOCK FISICO]]</f>
        <v>17905</v>
      </c>
      <c r="K214" s="40">
        <f>+_xlfn.XLOOKUP(REG_STOCK[[#This Row],[CODIGO]],PRODUCTOS[CODIGO],PRODUCTOS[CANT X MODULO],"",0)</f>
        <v>34.543750000000003</v>
      </c>
      <c r="L214" s="3">
        <f>+REG_STOCK[[#This Row],[CONSUMO]]/REG_STOCK[[#This Row],[CUBICACION PPTO.]]</f>
        <v>518.32820698389719</v>
      </c>
      <c r="M214" s="3">
        <f>+REG_STOCK[[#This Row],[STOCK FISICO]]/REG_STOCK[[#This Row],[CUBICACION PPTO.]]</f>
        <v>0</v>
      </c>
      <c r="N214" s="3">
        <f>+REG_STOCK[[#This Row],[SOLICITADO A TF]]/REG_STOCK[[#This Row],[CUBICACION PPTO.]]</f>
        <v>518.32820698389719</v>
      </c>
      <c r="O214" s="3">
        <f>IF($V$2-REG_STOCK[[#This Row],[ALCANCE FISICO]]&gt;0,"",($V$2-REG_STOCK[[#This Row],[ALCANCE FISICO]]/REG_STOCK[[#This Row],[CUBICACION PPTO.]]))</f>
        <v>94.995022052212136</v>
      </c>
      <c r="P214" s="3">
        <f>+_xlfn.XLOOKUP(REG_STOCK[[#This Row],[CODIGO]],PRODUCTOS[CODIGO],PRODUCTOS[PRECIO COMPRA UNITARIO],"",0)</f>
        <v>4843.5655884995504</v>
      </c>
      <c r="Q214" s="3">
        <f>IFERROR(REG_STOCK[[#This Row],[VALOR UNITARIO]]*REG_STOCK[[#This Row],[PERDIDA O EN PROCESO]],"")</f>
        <v>460114.61989085062</v>
      </c>
      <c r="R214" s="3">
        <f>+REG_STOCK[[#This Row],[VALOR UNITARIO]]*REG_STOCK[[#This Row],[STOCK FISICO]]</f>
        <v>0</v>
      </c>
    </row>
    <row r="215" spans="1:18" hidden="1" x14ac:dyDescent="0.25">
      <c r="A215" s="1">
        <v>46214</v>
      </c>
      <c r="B215">
        <v>302048</v>
      </c>
      <c r="C215" t="s">
        <v>126</v>
      </c>
      <c r="D215" t="s">
        <v>20</v>
      </c>
      <c r="F215">
        <v>0</v>
      </c>
      <c r="H215" t="str">
        <f>+_xlfn.XLOOKUP(REG_STOCK[[#This Row],[CODIGO]],PRODUCTOS[CODIGO],PRODUCTOS[DESC CORTA],"",0)</f>
        <v>PINO 2X8X4</v>
      </c>
      <c r="I215" s="76">
        <f>SUMIFS(DETALLE_GD_1[CANTIDAD RECEPCIONADA],DETALLE_GD_1[CODIGO],REG_STOCK[[#This Row],[CODIGO]],DETALLE_GD_1[FECHA SOLICITUD],"&lt;="&amp;REG_STOCK[[#This Row],[FECHA STOCK ]])+97</f>
        <v>3019</v>
      </c>
      <c r="J215">
        <f>+REG_STOCK[[#This Row],[SOLICITADO A TF]]-REG_STOCK[[#This Row],[STOCK FISICO]]</f>
        <v>3019</v>
      </c>
      <c r="K215" s="40">
        <f>+_xlfn.XLOOKUP(REG_STOCK[[#This Row],[CODIGO]],PRODUCTOS[CODIGO],PRODUCTOS[CANT X MODULO],"",0)</f>
        <v>35.174999999999997</v>
      </c>
      <c r="L215" s="3">
        <f>+REG_STOCK[[#This Row],[CONSUMO]]/REG_STOCK[[#This Row],[CUBICACION PPTO.]]</f>
        <v>85.828002842928228</v>
      </c>
      <c r="M215" s="3">
        <f>+REG_STOCK[[#This Row],[STOCK FISICO]]/REG_STOCK[[#This Row],[CUBICACION PPTO.]]</f>
        <v>0</v>
      </c>
      <c r="N215" s="3">
        <f>+REG_STOCK[[#This Row],[SOLICITADO A TF]]/REG_STOCK[[#This Row],[CUBICACION PPTO.]]</f>
        <v>85.828002842928228</v>
      </c>
      <c r="O215" s="3" t="str">
        <f>IF($V$2-REG_STOCK[[#This Row],[ALCANCE FISICO]]&gt;0,"",($V$2-REG_STOCK[[#This Row],[ALCANCE FISICO]]/REG_STOCK[[#This Row],[CUBICACION PPTO.]]))</f>
        <v/>
      </c>
      <c r="P215" s="3">
        <f>+_xlfn.XLOOKUP(REG_STOCK[[#This Row],[CODIGO]],PRODUCTOS[CODIGO],PRODUCTOS[PRECIO COMPRA UNITARIO],"",0)</f>
        <v>13769.264887063655</v>
      </c>
      <c r="Q215" s="3" t="str">
        <f>IFERROR(REG_STOCK[[#This Row],[VALOR UNITARIO]]*REG_STOCK[[#This Row],[PERDIDA O EN PROCESO]],"")</f>
        <v/>
      </c>
      <c r="R215" s="3">
        <f>+REG_STOCK[[#This Row],[VALOR UNITARIO]]*REG_STOCK[[#This Row],[STOCK FISICO]]</f>
        <v>0</v>
      </c>
    </row>
    <row r="216" spans="1:18" hidden="1" x14ac:dyDescent="0.25">
      <c r="A216" s="1">
        <v>46214</v>
      </c>
      <c r="B216">
        <v>705028</v>
      </c>
      <c r="C216" t="s">
        <v>72</v>
      </c>
      <c r="D216" t="s">
        <v>18</v>
      </c>
      <c r="H216" t="str">
        <f>+_xlfn.XLOOKUP(REG_STOCK[[#This Row],[CODIGO]],PRODUCTOS[CODIGO],PRODUCTOS[DESC CORTA],"",0)</f>
        <v>SIMPLISIMA</v>
      </c>
      <c r="I216" s="76">
        <f>SUMIFS(DETALLE_GD_1[CANTIDAD RECEPCIONADA],DETALLE_GD_1[CODIGO],REG_STOCK[[#This Row],[CODIGO]],DETALLE_GD_1[FECHA SOLICITUD],"&lt;="&amp;REG_STOCK[[#This Row],[FECHA STOCK ]])+97</f>
        <v>546</v>
      </c>
      <c r="J216">
        <f>+REG_STOCK[[#This Row],[SOLICITADO A TF]]-REG_STOCK[[#This Row],[STOCK FISICO]]</f>
        <v>546</v>
      </c>
      <c r="K216" s="40">
        <f>+_xlfn.XLOOKUP(REG_STOCK[[#This Row],[CODIGO]],PRODUCTOS[CODIGO],PRODUCTOS[CANT X MODULO],"",0)</f>
        <v>3.6749999999999998</v>
      </c>
      <c r="L216" s="3">
        <f>+REG_STOCK[[#This Row],[CONSUMO]]/REG_STOCK[[#This Row],[CUBICACION PPTO.]]</f>
        <v>148.57142857142858</v>
      </c>
      <c r="M216" s="3">
        <f>+REG_STOCK[[#This Row],[STOCK FISICO]]/REG_STOCK[[#This Row],[CUBICACION PPTO.]]</f>
        <v>0</v>
      </c>
      <c r="N216" s="3">
        <f>+REG_STOCK[[#This Row],[SOLICITADO A TF]]/REG_STOCK[[#This Row],[CUBICACION PPTO.]]</f>
        <v>148.57142857142858</v>
      </c>
      <c r="O216" s="3">
        <f>IF($V$2-REG_STOCK[[#This Row],[ALCANCE FISICO]]&gt;0,"",($V$2-REG_STOCK[[#This Row],[ALCANCE FISICO]]/REG_STOCK[[#This Row],[CUBICACION PPTO.]]))</f>
        <v>69.572400388726919</v>
      </c>
      <c r="P216" s="3">
        <f>+_xlfn.XLOOKUP(REG_STOCK[[#This Row],[CODIGO]],PRODUCTOS[CODIGO],PRODUCTOS[PRECIO COMPRA UNITARIO],"",0)</f>
        <v>22787.11135857461</v>
      </c>
      <c r="Q216" s="3">
        <f>IFERROR(REG_STOCK[[#This Row],[VALOR UNITARIO]]*REG_STOCK[[#This Row],[PERDIDA O EN PROCESO]],"")</f>
        <v>1585354.0351412597</v>
      </c>
      <c r="R216" s="3">
        <f>+REG_STOCK[[#This Row],[VALOR UNITARIO]]*REG_STOCK[[#This Row],[STOCK FISICO]]</f>
        <v>0</v>
      </c>
    </row>
    <row r="217" spans="1:18" hidden="1" x14ac:dyDescent="0.25">
      <c r="A217" s="1">
        <v>46214</v>
      </c>
      <c r="B217">
        <v>1902013</v>
      </c>
      <c r="C217" t="s">
        <v>338</v>
      </c>
      <c r="D217" t="s">
        <v>47</v>
      </c>
      <c r="F217">
        <v>0.25</v>
      </c>
      <c r="H217">
        <f>+_xlfn.XLOOKUP(REG_STOCK[[#This Row],[CODIGO]],PRODUCTOS[CODIGO],PRODUCTOS[DESC CORTA],"",0)</f>
        <v>0</v>
      </c>
      <c r="I217" s="76">
        <f>SUMIFS(DETALLE_GD_1[CANTIDAD RECEPCIONADA],DETALLE_GD_1[CODIGO],REG_STOCK[[#This Row],[CODIGO]],DETALLE_GD_1[FECHA SOLICITUD],"&lt;="&amp;REG_STOCK[[#This Row],[FECHA STOCK ]])+97</f>
        <v>470</v>
      </c>
      <c r="J217">
        <f>+REG_STOCK[[#This Row],[SOLICITADO A TF]]-REG_STOCK[[#This Row],[STOCK FISICO]]</f>
        <v>470</v>
      </c>
      <c r="K217" s="40">
        <f>+_xlfn.XLOOKUP(REG_STOCK[[#This Row],[CODIGO]],PRODUCTOS[CODIGO],PRODUCTOS[CANT X MODULO],"",0)</f>
        <v>130.33466250000004</v>
      </c>
      <c r="L217" s="3">
        <f>+REG_STOCK[[#This Row],[CONSUMO]]/REG_STOCK[[#This Row],[CUBICACION PPTO.]]</f>
        <v>3.6061013316392319</v>
      </c>
      <c r="M217" s="3">
        <f>+REG_STOCK[[#This Row],[STOCK FISICO]]/REG_STOCK[[#This Row],[CUBICACION PPTO.]]</f>
        <v>0</v>
      </c>
      <c r="N217" s="3">
        <f>+REG_STOCK[[#This Row],[SOLICITADO A TF]]/REG_STOCK[[#This Row],[CUBICACION PPTO.]]</f>
        <v>3.6061013316392319</v>
      </c>
      <c r="O217" s="3" t="str">
        <f>IF($V$2-REG_STOCK[[#This Row],[ALCANCE FISICO]]&gt;0,"",($V$2-REG_STOCK[[#This Row],[ALCANCE FISICO]]/REG_STOCK[[#This Row],[CUBICACION PPTO.]]))</f>
        <v/>
      </c>
      <c r="P217" s="3">
        <f>+_xlfn.XLOOKUP(REG_STOCK[[#This Row],[CODIGO]],PRODUCTOS[CODIGO],PRODUCTOS[PRECIO COMPRA UNITARIO],"",0)</f>
        <v>40087.627345844507</v>
      </c>
      <c r="Q217" s="3" t="str">
        <f>IFERROR(REG_STOCK[[#This Row],[VALOR UNITARIO]]*REG_STOCK[[#This Row],[PERDIDA O EN PROCESO]],"")</f>
        <v/>
      </c>
      <c r="R217" s="3">
        <f>+REG_STOCK[[#This Row],[VALOR UNITARIO]]*REG_STOCK[[#This Row],[STOCK FISICO]]</f>
        <v>0</v>
      </c>
    </row>
    <row r="218" spans="1:18" hidden="1" x14ac:dyDescent="0.25">
      <c r="A218" s="1"/>
      <c r="B218" t="s">
        <v>2</v>
      </c>
      <c r="C218" t="s">
        <v>322</v>
      </c>
      <c r="D218" t="s">
        <v>694</v>
      </c>
      <c r="H218" t="str">
        <f>+_xlfn.XLOOKUP(REG_STOCK[[#This Row],[CODIGO]],PRODUCTOS[CODIGO],PRODUCTOS[DESC CORTA],"",0)</f>
        <v/>
      </c>
      <c r="I218" s="76">
        <f>SUMIFS(DETALLE_GD_1[CANTIDAD RECEPCIONADA],DETALLE_GD_1[CODIGO],REG_STOCK[[#This Row],[CODIGO]],DETALLE_GD_1[FECHA SOLICITUD],"&lt;="&amp;REG_STOCK[[#This Row],[FECHA STOCK ]])+97</f>
        <v>97</v>
      </c>
      <c r="J218">
        <f>+REG_STOCK[[#This Row],[SOLICITADO A TF]]-REG_STOCK[[#This Row],[STOCK FISICO]]</f>
        <v>97</v>
      </c>
      <c r="K218" s="40" t="str">
        <f>+_xlfn.XLOOKUP(REG_STOCK[[#This Row],[CODIGO]],PRODUCTOS[CODIGO],PRODUCTOS[CANT X MODULO],"",0)</f>
        <v/>
      </c>
      <c r="L218" s="3" t="e">
        <f>+REG_STOCK[[#This Row],[CONSUMO]]/REG_STOCK[[#This Row],[CUBICACION PPTO.]]</f>
        <v>#VALUE!</v>
      </c>
      <c r="M218" s="3" t="e">
        <f>+REG_STOCK[[#This Row],[STOCK FISICO]]/REG_STOCK[[#This Row],[CUBICACION PPTO.]]</f>
        <v>#VALUE!</v>
      </c>
      <c r="N218" s="3" t="e">
        <f>+REG_STOCK[[#This Row],[SOLICITADO A TF]]/REG_STOCK[[#This Row],[CUBICACION PPTO.]]</f>
        <v>#VALUE!</v>
      </c>
      <c r="O218" s="3" t="e">
        <f>IF($V$2-REG_STOCK[[#This Row],[ALCANCE FISICO]]&gt;0,"",($V$2-REG_STOCK[[#This Row],[ALCANCE FISICO]]/REG_STOCK[[#This Row],[CUBICACION PPTO.]]))</f>
        <v>#VALUE!</v>
      </c>
      <c r="P218" s="3" t="str">
        <f>+_xlfn.XLOOKUP(REG_STOCK[[#This Row],[CODIGO]],PRODUCTOS[CODIGO],PRODUCTOS[PRECIO COMPRA UNITARIO],"",0)</f>
        <v/>
      </c>
      <c r="Q218" s="3" t="str">
        <f>IFERROR(REG_STOCK[[#This Row],[VALOR UNITARIO]]*REG_STOCK[[#This Row],[PERDIDA O EN PROCESO]],"")</f>
        <v/>
      </c>
      <c r="R218" s="3" t="e">
        <f>+REG_STOCK[[#This Row],[VALOR UNITARIO]]*REG_STOCK[[#This Row],[STOCK FISICO]]</f>
        <v>#VALUE!</v>
      </c>
    </row>
    <row r="219" spans="1:18" hidden="1" x14ac:dyDescent="0.25">
      <c r="A219" s="1">
        <v>46223</v>
      </c>
      <c r="B219">
        <v>304007</v>
      </c>
      <c r="C219" t="s">
        <v>80</v>
      </c>
      <c r="D219" t="s">
        <v>18</v>
      </c>
      <c r="F219">
        <v>0</v>
      </c>
      <c r="H219" t="str">
        <f>+_xlfn.XLOOKUP(REG_STOCK[[#This Row],[CODIGO]],PRODUCTOS[CODIGO],PRODUCTOS[DESC CORTA],"",0)</f>
        <v>OSB 11MM</v>
      </c>
      <c r="I219" s="76">
        <f>SUMIFS(DETALLE_GD_1[CANTIDAD RECEPCIONADA],DETALLE_GD_1[CODIGO],REG_STOCK[[#This Row],[CODIGO]],DETALLE_GD_1[FECHA SOLICITUD],"&lt;="&amp;REG_STOCK[[#This Row],[FECHA STOCK ]])+97</f>
        <v>1385</v>
      </c>
      <c r="J219">
        <f>+REG_STOCK[[#This Row],[SOLICITADO A TF]]-REG_STOCK[[#This Row],[STOCK FISICO]]</f>
        <v>1385</v>
      </c>
      <c r="K219" s="40">
        <f>+_xlfn.XLOOKUP(REG_STOCK[[#This Row],[CODIGO]],PRODUCTOS[CODIGO],PRODUCTOS[CANT X MODULO],"",0)</f>
        <v>8.6625000000000014</v>
      </c>
      <c r="L219" s="3">
        <f>+REG_STOCK[[#This Row],[CONSUMO]]/REG_STOCK[[#This Row],[CUBICACION PPTO.]]</f>
        <v>159.88455988455985</v>
      </c>
      <c r="M219" s="3">
        <f>+REG_STOCK[[#This Row],[STOCK FISICO]]/REG_STOCK[[#This Row],[CUBICACION PPTO.]]</f>
        <v>0</v>
      </c>
      <c r="N219" s="3">
        <f>+REG_STOCK[[#This Row],[SOLICITADO A TF]]/REG_STOCK[[#This Row],[CUBICACION PPTO.]]</f>
        <v>159.88455988455985</v>
      </c>
      <c r="O219" s="3">
        <f>IF($V$2-REG_STOCK[[#This Row],[ALCANCE FISICO]]&gt;0,"",($V$2-REG_STOCK[[#This Row],[ALCANCE FISICO]]/REG_STOCK[[#This Row],[CUBICACION PPTO.]]))</f>
        <v>91.542907949834358</v>
      </c>
      <c r="P219" s="3">
        <f>+_xlfn.XLOOKUP(REG_STOCK[[#This Row],[CODIGO]],PRODUCTOS[CODIGO],PRODUCTOS[PRECIO COMPRA UNITARIO],"",0)</f>
        <v>11497.288819875776</v>
      </c>
      <c r="Q219" s="3">
        <f>IFERROR(REG_STOCK[[#This Row],[VALOR UNITARIO]]*REG_STOCK[[#This Row],[PERDIDA O EN PROCESO]],"")</f>
        <v>1052495.2521105479</v>
      </c>
      <c r="R219" s="3">
        <f>+REG_STOCK[[#This Row],[VALOR UNITARIO]]*REG_STOCK[[#This Row],[STOCK FISICO]]</f>
        <v>0</v>
      </c>
    </row>
    <row r="220" spans="1:18" hidden="1" x14ac:dyDescent="0.25">
      <c r="A220" s="1">
        <v>46223</v>
      </c>
      <c r="B220">
        <v>701043</v>
      </c>
      <c r="C220" t="s">
        <v>197</v>
      </c>
      <c r="D220" t="s">
        <v>696</v>
      </c>
      <c r="F220">
        <v>0.125</v>
      </c>
      <c r="H220" t="str">
        <f>+_xlfn.XLOOKUP(REG_STOCK[[#This Row],[CODIGO]],PRODUCTOS[CODIGO],PRODUCTOS[DESC CORTA],"",0)</f>
        <v>VOLCANITA EMPAPELADA CIELO</v>
      </c>
      <c r="I220" s="76">
        <f>SUMIFS(DETALLE_GD_1[CANTIDAD RECEPCIONADA],DETALLE_GD_1[CODIGO],REG_STOCK[[#This Row],[CODIGO]],DETALLE_GD_1[FECHA SOLICITUD],"&lt;="&amp;REG_STOCK[[#This Row],[FECHA STOCK ]])+97</f>
        <v>1173</v>
      </c>
      <c r="J220">
        <f>+REG_STOCK[[#This Row],[SOLICITADO A TF]]-REG_STOCK[[#This Row],[STOCK FISICO]]</f>
        <v>1173</v>
      </c>
      <c r="K220" s="40">
        <f>+_xlfn.XLOOKUP(REG_STOCK[[#This Row],[CODIGO]],PRODUCTOS[CODIGO],PRODUCTOS[CANT X MODULO],"",0)</f>
        <v>7.0875000000000012</v>
      </c>
      <c r="L220" s="3">
        <f>+REG_STOCK[[#This Row],[CONSUMO]]/REG_STOCK[[#This Row],[CUBICACION PPTO.]]</f>
        <v>165.50264550264546</v>
      </c>
      <c r="M220" s="3">
        <f>+REG_STOCK[[#This Row],[STOCK FISICO]]/REG_STOCK[[#This Row],[CUBICACION PPTO.]]</f>
        <v>0</v>
      </c>
      <c r="N220" s="3">
        <f>+REG_STOCK[[#This Row],[SOLICITADO A TF]]/REG_STOCK[[#This Row],[CUBICACION PPTO.]]</f>
        <v>165.50264550264546</v>
      </c>
      <c r="O220" s="3">
        <f>IF($V$2-REG_STOCK[[#This Row],[ALCANCE FISICO]]&gt;0,"",($V$2-REG_STOCK[[#This Row],[ALCANCE FISICO]]/REG_STOCK[[#This Row],[CUBICACION PPTO.]]))</f>
        <v>86.648656719203473</v>
      </c>
      <c r="P220" s="3">
        <f>+_xlfn.XLOOKUP(REG_STOCK[[#This Row],[CODIGO]],PRODUCTOS[CODIGO],PRODUCTOS[PRECIO COMPRA UNITARIO],"",0)</f>
        <v>22537.549256505576</v>
      </c>
      <c r="Q220" s="3">
        <f>IFERROR(REG_STOCK[[#This Row],[VALOR UNITARIO]]*REG_STOCK[[#This Row],[PERDIDA O EN PROCESO]],"")</f>
        <v>1952848.368819091</v>
      </c>
      <c r="R220" s="3">
        <f>+REG_STOCK[[#This Row],[VALOR UNITARIO]]*REG_STOCK[[#This Row],[STOCK FISICO]]</f>
        <v>0</v>
      </c>
    </row>
    <row r="221" spans="1:18" hidden="1" x14ac:dyDescent="0.25">
      <c r="A221" s="1">
        <v>46223</v>
      </c>
      <c r="B221">
        <v>302046</v>
      </c>
      <c r="C221" t="s">
        <v>516</v>
      </c>
      <c r="D221" t="s">
        <v>20</v>
      </c>
      <c r="F221">
        <v>0.25</v>
      </c>
      <c r="H221" t="str">
        <f>+_xlfn.XLOOKUP(REG_STOCK[[#This Row],[CODIGO]],PRODUCTOS[CODIGO],PRODUCTOS[DESC CORTA],"",0)</f>
        <v>PINO 2X6X400</v>
      </c>
      <c r="I221" s="76">
        <f>SUMIFS(DETALLE_GD_1[CANTIDAD RECEPCIONADA],DETALLE_GD_1[CODIGO],REG_STOCK[[#This Row],[CODIGO]],DETALLE_GD_1[FECHA SOLICITUD],"&lt;="&amp;REG_STOCK[[#This Row],[FECHA STOCK ]])+97</f>
        <v>4934</v>
      </c>
      <c r="J221">
        <f>+REG_STOCK[[#This Row],[SOLICITADO A TF]]-REG_STOCK[[#This Row],[STOCK FISICO]]</f>
        <v>4934</v>
      </c>
      <c r="K221" s="40">
        <f>+_xlfn.XLOOKUP(REG_STOCK[[#This Row],[CODIGO]],PRODUCTOS[CODIGO],PRODUCTOS[CANT X MODULO],"",0)</f>
        <v>34.65</v>
      </c>
      <c r="L221" s="3">
        <f>+REG_STOCK[[#This Row],[CONSUMO]]/REG_STOCK[[#This Row],[CUBICACION PPTO.]]</f>
        <v>142.3953823953824</v>
      </c>
      <c r="M221" s="3">
        <f>+REG_STOCK[[#This Row],[STOCK FISICO]]/REG_STOCK[[#This Row],[CUBICACION PPTO.]]</f>
        <v>0</v>
      </c>
      <c r="N221" s="3">
        <f>+REG_STOCK[[#This Row],[SOLICITADO A TF]]/REG_STOCK[[#This Row],[CUBICACION PPTO.]]</f>
        <v>142.3953823953824</v>
      </c>
      <c r="O221" s="3">
        <f>IF($V$2-REG_STOCK[[#This Row],[ALCANCE FISICO]]&gt;0,"",($V$2-REG_STOCK[[#This Row],[ALCANCE FISICO]]/REG_STOCK[[#This Row],[CUBICACION PPTO.]]))</f>
        <v>105.89046515453441</v>
      </c>
      <c r="P221" s="3">
        <f>+_xlfn.XLOOKUP(REG_STOCK[[#This Row],[CODIGO]],PRODUCTOS[CODIGO],PRODUCTOS[PRECIO COMPRA UNITARIO],"",0)</f>
        <v>10289.047343394666</v>
      </c>
      <c r="Q221" s="3">
        <f>IFERROR(REG_STOCK[[#This Row],[VALOR UNITARIO]]*REG_STOCK[[#This Row],[PERDIDA O EN PROCESO]],"")</f>
        <v>1089512.0091890877</v>
      </c>
      <c r="R221" s="3">
        <f>+REG_STOCK[[#This Row],[VALOR UNITARIO]]*REG_STOCK[[#This Row],[STOCK FISICO]]</f>
        <v>0</v>
      </c>
    </row>
    <row r="222" spans="1:18" hidden="1" x14ac:dyDescent="0.25">
      <c r="A222" s="1">
        <v>46223</v>
      </c>
      <c r="B222">
        <v>302010</v>
      </c>
      <c r="C222" t="s">
        <v>511</v>
      </c>
      <c r="D222" t="s">
        <v>20</v>
      </c>
      <c r="F222">
        <v>0.25</v>
      </c>
      <c r="H222" t="str">
        <f>+_xlfn.XLOOKUP(REG_STOCK[[#This Row],[CODIGO]],PRODUCTOS[CODIGO],PRODUCTOS[DESC CORTA],"",0)</f>
        <v>PINO 2X6X320</v>
      </c>
      <c r="I222" s="76">
        <f>SUMIFS(DETALLE_GD_1[CANTIDAD RECEPCIONADA],DETALLE_GD_1[CODIGO],REG_STOCK[[#This Row],[CODIGO]],DETALLE_GD_1[FECHA SOLICITUD],"&lt;="&amp;REG_STOCK[[#This Row],[FECHA STOCK ]])+97</f>
        <v>3541</v>
      </c>
      <c r="J222">
        <f>+REG_STOCK[[#This Row],[SOLICITADO A TF]]-REG_STOCK[[#This Row],[STOCK FISICO]]</f>
        <v>3541</v>
      </c>
      <c r="K222" s="40">
        <f>+_xlfn.XLOOKUP(REG_STOCK[[#This Row],[CODIGO]],PRODUCTOS[CODIGO],PRODUCTOS[CANT X MODULO],"",0)</f>
        <v>34.912500000000023</v>
      </c>
      <c r="L222" s="3">
        <f>+REG_STOCK[[#This Row],[CONSUMO]]/REG_STOCK[[#This Row],[CUBICACION PPTO.]]</f>
        <v>101.42499104905113</v>
      </c>
      <c r="M222" s="3">
        <f>+REG_STOCK[[#This Row],[STOCK FISICO]]/REG_STOCK[[#This Row],[CUBICACION PPTO.]]</f>
        <v>0</v>
      </c>
      <c r="N222" s="3">
        <f>+REG_STOCK[[#This Row],[SOLICITADO A TF]]/REG_STOCK[[#This Row],[CUBICACION PPTO.]]</f>
        <v>101.42499104905113</v>
      </c>
      <c r="O222" s="3" t="str">
        <f>IF($V$2-REG_STOCK[[#This Row],[ALCANCE FISICO]]&gt;0,"",($V$2-REG_STOCK[[#This Row],[ALCANCE FISICO]]/REG_STOCK[[#This Row],[CUBICACION PPTO.]]))</f>
        <v/>
      </c>
      <c r="P222" s="3">
        <f>+_xlfn.XLOOKUP(REG_STOCK[[#This Row],[CODIGO]],PRODUCTOS[CODIGO],PRODUCTOS[PRECIO COMPRA UNITARIO],"",0)</f>
        <v>5690.5508432539682</v>
      </c>
      <c r="Q222" s="3" t="str">
        <f>IFERROR(REG_STOCK[[#This Row],[VALOR UNITARIO]]*REG_STOCK[[#This Row],[PERDIDA O EN PROCESO]],"")</f>
        <v/>
      </c>
      <c r="R222" s="3">
        <f>+REG_STOCK[[#This Row],[VALOR UNITARIO]]*REG_STOCK[[#This Row],[STOCK FISICO]]</f>
        <v>0</v>
      </c>
    </row>
    <row r="223" spans="1:18" hidden="1" x14ac:dyDescent="0.25">
      <c r="A223" s="1">
        <v>46223</v>
      </c>
      <c r="B223">
        <v>1901008</v>
      </c>
      <c r="C223" t="s">
        <v>747</v>
      </c>
      <c r="D223" t="s">
        <v>26</v>
      </c>
      <c r="F223">
        <v>0</v>
      </c>
      <c r="H223" t="str">
        <f>+_xlfn.XLOOKUP(REG_STOCK[[#This Row],[CODIGO]],PRODUCTOS[CODIGO],PRODUCTOS[DESC CORTA],"",0)</f>
        <v>AISLAN GLASS 90MM</v>
      </c>
      <c r="I223" s="76">
        <f>SUMIFS(DETALLE_GD_1[CANTIDAD RECEPCIONADA],DETALLE_GD_1[CODIGO],REG_STOCK[[#This Row],[CODIGO]],DETALLE_GD_1[FECHA SOLICITUD],"&lt;="&amp;REG_STOCK[[#This Row],[FECHA STOCK ]])+97</f>
        <v>7114</v>
      </c>
      <c r="J223">
        <f>+REG_STOCK[[#This Row],[SOLICITADO A TF]]-REG_STOCK[[#This Row],[STOCK FISICO]]</f>
        <v>7114</v>
      </c>
      <c r="K223" s="40">
        <f>+_xlfn.XLOOKUP(REG_STOCK[[#This Row],[CODIGO]],PRODUCTOS[CODIGO],PRODUCTOS[CANT X MODULO],"",0)</f>
        <v>62.430325650000007</v>
      </c>
      <c r="L223" s="3">
        <f>+REG_STOCK[[#This Row],[CONSUMO]]/REG_STOCK[[#This Row],[CUBICACION PPTO.]]</f>
        <v>113.95103142474156</v>
      </c>
      <c r="M223" s="3">
        <f>+REG_STOCK[[#This Row],[STOCK FISICO]]/REG_STOCK[[#This Row],[CUBICACION PPTO.]]</f>
        <v>0</v>
      </c>
      <c r="N223" s="3">
        <f>+REG_STOCK[[#This Row],[SOLICITADO A TF]]/REG_STOCK[[#This Row],[CUBICACION PPTO.]]</f>
        <v>113.95103142474156</v>
      </c>
      <c r="O223" s="3">
        <f>IF($V$2-REG_STOCK[[#This Row],[ALCANCE FISICO]]&gt;0,"",($V$2-REG_STOCK[[#This Row],[ALCANCE FISICO]]/REG_STOCK[[#This Row],[CUBICACION PPTO.]]))</f>
        <v>108.17474872606657</v>
      </c>
      <c r="P223" s="3">
        <f>+_xlfn.XLOOKUP(REG_STOCK[[#This Row],[CODIGO]],PRODUCTOS[CODIGO],PRODUCTOS[PRECIO COMPRA UNITARIO],"",0)</f>
        <v>2062.9827561636025</v>
      </c>
      <c r="Q223" s="3">
        <f>IFERROR(REG_STOCK[[#This Row],[VALOR UNITARIO]]*REG_STOCK[[#This Row],[PERDIDA O EN PROCESO]],"")</f>
        <v>223162.64127420596</v>
      </c>
      <c r="R223" s="3">
        <f>+REG_STOCK[[#This Row],[VALOR UNITARIO]]*REG_STOCK[[#This Row],[STOCK FISICO]]</f>
        <v>0</v>
      </c>
    </row>
    <row r="224" spans="1:18" hidden="1" x14ac:dyDescent="0.25">
      <c r="A224" s="1">
        <v>46223</v>
      </c>
      <c r="B224">
        <v>304002</v>
      </c>
      <c r="C224" t="s">
        <v>37</v>
      </c>
      <c r="D224" t="s">
        <v>18</v>
      </c>
      <c r="H224" t="str">
        <f>+_xlfn.XLOOKUP(REG_STOCK[[#This Row],[CODIGO]],PRODUCTOS[CODIGO],PRODUCTOS[DESC CORTA],"",0)</f>
        <v>SMARTPANEL</v>
      </c>
      <c r="I224" s="76">
        <f>SUMIFS(DETALLE_GD_1[CANTIDAD RECEPCIONADA],DETALLE_GD_1[CODIGO],REG_STOCK[[#This Row],[CODIGO]],DETALLE_GD_1[FECHA SOLICITUD],"&lt;="&amp;REG_STOCK[[#This Row],[FECHA STOCK ]])+97</f>
        <v>3600</v>
      </c>
      <c r="J224">
        <f>+REG_STOCK[[#This Row],[SOLICITADO A TF]]-REG_STOCK[[#This Row],[STOCK FISICO]]</f>
        <v>3600</v>
      </c>
      <c r="K224" s="40">
        <f>+_xlfn.XLOOKUP(REG_STOCK[[#This Row],[CODIGO]],PRODUCTOS[CODIGO],PRODUCTOS[CANT X MODULO],"",0)</f>
        <v>23.296874999999996</v>
      </c>
      <c r="L224" s="3">
        <f>+REG_STOCK[[#This Row],[CONSUMO]]/REG_STOCK[[#This Row],[CUBICACION PPTO.]]</f>
        <v>154.52716297786722</v>
      </c>
      <c r="M224" s="3">
        <f>+REG_STOCK[[#This Row],[STOCK FISICO]]/REG_STOCK[[#This Row],[CUBICACION PPTO.]]</f>
        <v>0</v>
      </c>
      <c r="N224" s="3">
        <f>+REG_STOCK[[#This Row],[SOLICITADO A TF]]/REG_STOCK[[#This Row],[CUBICACION PPTO.]]</f>
        <v>154.52716297786722</v>
      </c>
      <c r="O224" s="3">
        <f>IF($V$2-REG_STOCK[[#This Row],[ALCANCE FISICO]]&gt;0,"",($V$2-REG_STOCK[[#This Row],[ALCANCE FISICO]]/REG_STOCK[[#This Row],[CUBICACION PPTO.]]))</f>
        <v>103.36704330611435</v>
      </c>
      <c r="P224" s="3">
        <f>+_xlfn.XLOOKUP(REG_STOCK[[#This Row],[CODIGO]],PRODUCTOS[CODIGO],PRODUCTOS[PRECIO COMPRA UNITARIO],"",0)</f>
        <v>21604.880388238653</v>
      </c>
      <c r="Q224" s="3">
        <f>IFERROR(REG_STOCK[[#This Row],[VALOR UNITARIO]]*REG_STOCK[[#This Row],[PERDIDA O EN PROCESO]],"")</f>
        <v>2233232.6067144857</v>
      </c>
      <c r="R224" s="3">
        <f>+REG_STOCK[[#This Row],[VALOR UNITARIO]]*REG_STOCK[[#This Row],[STOCK FISICO]]</f>
        <v>0</v>
      </c>
    </row>
    <row r="225" spans="1:18" hidden="1" x14ac:dyDescent="0.25">
      <c r="A225" s="1">
        <v>46223</v>
      </c>
      <c r="B225">
        <v>304101</v>
      </c>
      <c r="C225" t="s">
        <v>695</v>
      </c>
      <c r="D225" t="s">
        <v>18</v>
      </c>
      <c r="F225">
        <v>0.375</v>
      </c>
      <c r="H225" t="str">
        <f>+_xlfn.XLOOKUP(REG_STOCK[[#This Row],[CODIGO]],PRODUCTOS[CODIGO],PRODUCTOS[DESC CORTA],"",0)</f>
        <v>OSB 9.5</v>
      </c>
      <c r="I225" s="76">
        <f>SUMIFS(DETALLE_GD_1[CANTIDAD RECEPCIONADA],DETALLE_GD_1[CODIGO],REG_STOCK[[#This Row],[CODIGO]],DETALLE_GD_1[FECHA SOLICITUD],"&lt;="&amp;REG_STOCK[[#This Row],[FECHA STOCK ]])+97</f>
        <v>5318</v>
      </c>
      <c r="J225">
        <f>+REG_STOCK[[#This Row],[SOLICITADO A TF]]-REG_STOCK[[#This Row],[STOCK FISICO]]</f>
        <v>5318</v>
      </c>
      <c r="K225" s="40">
        <f>+_xlfn.XLOOKUP(REG_STOCK[[#This Row],[CODIGO]],PRODUCTOS[CODIGO],PRODUCTOS[CANT X MODULO],"",0)</f>
        <v>47.643749999999976</v>
      </c>
      <c r="L225" s="3">
        <f>+REG_STOCK[[#This Row],[CONSUMO]]/REG_STOCK[[#This Row],[CUBICACION PPTO.]]</f>
        <v>111.62009707464259</v>
      </c>
      <c r="M225" s="3">
        <f>+REG_STOCK[[#This Row],[STOCK FISICO]]/REG_STOCK[[#This Row],[CUBICACION PPTO.]]</f>
        <v>0</v>
      </c>
      <c r="N225" s="3">
        <f>+REG_STOCK[[#This Row],[SOLICITADO A TF]]/REG_STOCK[[#This Row],[CUBICACION PPTO.]]</f>
        <v>111.62009707464259</v>
      </c>
      <c r="O225" s="3">
        <f>IF($V$2-REG_STOCK[[#This Row],[ALCANCE FISICO]]&gt;0,"",($V$2-REG_STOCK[[#This Row],[ALCANCE FISICO]]/REG_STOCK[[#This Row],[CUBICACION PPTO.]]))</f>
        <v>107.65719329241206</v>
      </c>
      <c r="P225" s="3">
        <f>+_xlfn.XLOOKUP(REG_STOCK[[#This Row],[CODIGO]],PRODUCTOS[CODIGO],PRODUCTOS[PRECIO COMPRA UNITARIO],"",0)</f>
        <v>9649.1185596629002</v>
      </c>
      <c r="Q225" s="3">
        <f>IFERROR(REG_STOCK[[#This Row],[VALOR UNITARIO]]*REG_STOCK[[#This Row],[PERDIDA O EN PROCESO]],"")</f>
        <v>1038797.0218790295</v>
      </c>
      <c r="R225" s="3">
        <f>+REG_STOCK[[#This Row],[VALOR UNITARIO]]*REG_STOCK[[#This Row],[STOCK FISICO]]</f>
        <v>0</v>
      </c>
    </row>
    <row r="226" spans="1:18" hidden="1" x14ac:dyDescent="0.25">
      <c r="A226" s="1">
        <v>46223</v>
      </c>
      <c r="B226">
        <v>302028</v>
      </c>
      <c r="C226" t="s">
        <v>512</v>
      </c>
      <c r="D226" t="s">
        <v>20</v>
      </c>
      <c r="F226">
        <v>0.375</v>
      </c>
      <c r="H226" t="str">
        <f>+_xlfn.XLOOKUP(REG_STOCK[[#This Row],[CODIGO]],PRODUCTOS[CODIGO],PRODUCTOS[DESC CORTA],"",0)</f>
        <v>PINO 2X4X320</v>
      </c>
      <c r="I226" s="76">
        <f>SUMIFS(DETALLE_GD_1[CANTIDAD RECEPCIONADA],DETALLE_GD_1[CODIGO],REG_STOCK[[#This Row],[CODIGO]],DETALLE_GD_1[FECHA SOLICITUD],"&lt;="&amp;REG_STOCK[[#This Row],[FECHA STOCK ]])+97</f>
        <v>10658</v>
      </c>
      <c r="J226">
        <f>+REG_STOCK[[#This Row],[SOLICITADO A TF]]-REG_STOCK[[#This Row],[STOCK FISICO]]</f>
        <v>10658</v>
      </c>
      <c r="K226" s="40">
        <f>+_xlfn.XLOOKUP(REG_STOCK[[#This Row],[CODIGO]],PRODUCTOS[CODIGO],PRODUCTOS[CANT X MODULO],"",0)</f>
        <v>172.72499999999994</v>
      </c>
      <c r="L226" s="3">
        <f>+REG_STOCK[[#This Row],[CONSUMO]]/REG_STOCK[[#This Row],[CUBICACION PPTO.]]</f>
        <v>61.705022434505743</v>
      </c>
      <c r="M226" s="3">
        <f>+REG_STOCK[[#This Row],[STOCK FISICO]]/REG_STOCK[[#This Row],[CUBICACION PPTO.]]</f>
        <v>0</v>
      </c>
      <c r="N226" s="3">
        <f>+REG_STOCK[[#This Row],[SOLICITADO A TF]]/REG_STOCK[[#This Row],[CUBICACION PPTO.]]</f>
        <v>61.705022434505743</v>
      </c>
      <c r="O226" s="3" t="str">
        <f>IF($V$2-REG_STOCK[[#This Row],[ALCANCE FISICO]]&gt;0,"",($V$2-REG_STOCK[[#This Row],[ALCANCE FISICO]]/REG_STOCK[[#This Row],[CUBICACION PPTO.]]))</f>
        <v/>
      </c>
      <c r="P226" s="3">
        <f>+_xlfn.XLOOKUP(REG_STOCK[[#This Row],[CODIGO]],PRODUCTOS[CODIGO],PRODUCTOS[PRECIO COMPRA UNITARIO],"",0)</f>
        <v>4769.5117820983787</v>
      </c>
      <c r="Q226" s="3" t="str">
        <f>IFERROR(REG_STOCK[[#This Row],[VALOR UNITARIO]]*REG_STOCK[[#This Row],[PERDIDA O EN PROCESO]],"")</f>
        <v/>
      </c>
      <c r="R226" s="3">
        <f>+REG_STOCK[[#This Row],[VALOR UNITARIO]]*REG_STOCK[[#This Row],[STOCK FISICO]]</f>
        <v>0</v>
      </c>
    </row>
    <row r="227" spans="1:18" hidden="1" x14ac:dyDescent="0.25">
      <c r="A227" s="1">
        <v>46223</v>
      </c>
      <c r="B227">
        <v>304049</v>
      </c>
      <c r="C227" t="s">
        <v>318</v>
      </c>
      <c r="D227" t="s">
        <v>18</v>
      </c>
      <c r="F227">
        <v>0</v>
      </c>
      <c r="H227" t="str">
        <f>+_xlfn.XLOOKUP(REG_STOCK[[#This Row],[CODIGO]],PRODUCTOS[CODIGO],PRODUCTOS[DESC CORTA],"",0)</f>
        <v>TERCIADO FENOLICO</v>
      </c>
      <c r="I227" s="76">
        <f>SUMIFS(DETALLE_GD_1[CANTIDAD RECEPCIONADA],DETALLE_GD_1[CODIGO],REG_STOCK[[#This Row],[CODIGO]],DETALLE_GD_1[FECHA SOLICITUD],"&lt;="&amp;REG_STOCK[[#This Row],[FECHA STOCK ]])+97</f>
        <v>2737</v>
      </c>
      <c r="J227">
        <f>+REG_STOCK[[#This Row],[SOLICITADO A TF]]-REG_STOCK[[#This Row],[STOCK FISICO]]</f>
        <v>2737</v>
      </c>
      <c r="K227" s="40">
        <f>+_xlfn.XLOOKUP(REG_STOCK[[#This Row],[CODIGO]],PRODUCTOS[CODIGO],PRODUCTOS[CANT X MODULO],"",0)</f>
        <v>23.273250000000008</v>
      </c>
      <c r="L227" s="3">
        <f>+REG_STOCK[[#This Row],[CONSUMO]]/REG_STOCK[[#This Row],[CUBICACION PPTO.]]</f>
        <v>117.6028272802466</v>
      </c>
      <c r="M227" s="3">
        <f>+REG_STOCK[[#This Row],[STOCK FISICO]]/REG_STOCK[[#This Row],[CUBICACION PPTO.]]</f>
        <v>0</v>
      </c>
      <c r="N227" s="3">
        <f>+REG_STOCK[[#This Row],[SOLICITADO A TF]]/REG_STOCK[[#This Row],[CUBICACION PPTO.]]</f>
        <v>117.6028272802466</v>
      </c>
      <c r="O227" s="3">
        <f>IF($V$2-REG_STOCK[[#This Row],[ALCANCE FISICO]]&gt;0,"",($V$2-REG_STOCK[[#This Row],[ALCANCE FISICO]]/REG_STOCK[[#This Row],[CUBICACION PPTO.]]))</f>
        <v>104.94686701340609</v>
      </c>
      <c r="P227" s="3">
        <f>+_xlfn.XLOOKUP(REG_STOCK[[#This Row],[CODIGO]],PRODUCTOS[CODIGO],PRODUCTOS[PRECIO COMPRA UNITARIO],"",0)</f>
        <v>15095.117424242424</v>
      </c>
      <c r="Q227" s="3">
        <f>IFERROR(REG_STOCK[[#This Row],[VALOR UNITARIO]]*REG_STOCK[[#This Row],[PERDIDA O EN PROCESO]],"")</f>
        <v>1584185.2808737187</v>
      </c>
      <c r="R227" s="3">
        <f>+REG_STOCK[[#This Row],[VALOR UNITARIO]]*REG_STOCK[[#This Row],[STOCK FISICO]]</f>
        <v>0</v>
      </c>
    </row>
    <row r="228" spans="1:18" hidden="1" x14ac:dyDescent="0.25">
      <c r="A228" s="1">
        <v>46223</v>
      </c>
      <c r="B228">
        <v>701096</v>
      </c>
      <c r="C228" t="s">
        <v>204</v>
      </c>
      <c r="D228" t="s">
        <v>18</v>
      </c>
      <c r="F228">
        <v>0</v>
      </c>
      <c r="H228" t="str">
        <f>+_xlfn.XLOOKUP(REG_STOCK[[#This Row],[CODIGO]],PRODUCTOS[CODIGO],PRODUCTOS[DESC CORTA],"",0)</f>
        <v>VOCANITA EMPAPELADA MURO</v>
      </c>
      <c r="I228" s="76">
        <f>SUMIFS(DETALLE_GD_1[CANTIDAD RECEPCIONADA],DETALLE_GD_1[CODIGO],REG_STOCK[[#This Row],[CODIGO]],DETALLE_GD_1[FECHA SOLICITUD],"&lt;="&amp;REG_STOCK[[#This Row],[FECHA STOCK ]])+97</f>
        <v>3021</v>
      </c>
      <c r="J228">
        <f>+REG_STOCK[[#This Row],[SOLICITADO A TF]]-REG_STOCK[[#This Row],[STOCK FISICO]]</f>
        <v>3021</v>
      </c>
      <c r="K228" s="40">
        <f>+_xlfn.XLOOKUP(REG_STOCK[[#This Row],[CODIGO]],PRODUCTOS[CODIGO],PRODUCTOS[CANT X MODULO],"",0)</f>
        <v>31.237499999999997</v>
      </c>
      <c r="L228" s="3">
        <f>+REG_STOCK[[#This Row],[CONSUMO]]/REG_STOCK[[#This Row],[CUBICACION PPTO.]]</f>
        <v>96.710684273709489</v>
      </c>
      <c r="M228" s="3">
        <f>+REG_STOCK[[#This Row],[STOCK FISICO]]/REG_STOCK[[#This Row],[CUBICACION PPTO.]]</f>
        <v>0</v>
      </c>
      <c r="N228" s="3">
        <f>+REG_STOCK[[#This Row],[SOLICITADO A TF]]/REG_STOCK[[#This Row],[CUBICACION PPTO.]]</f>
        <v>96.710684273709489</v>
      </c>
      <c r="O228" s="3" t="str">
        <f>IF($V$2-REG_STOCK[[#This Row],[ALCANCE FISICO]]&gt;0,"",($V$2-REG_STOCK[[#This Row],[ALCANCE FISICO]]/REG_STOCK[[#This Row],[CUBICACION PPTO.]]))</f>
        <v/>
      </c>
      <c r="P228" s="3">
        <f>+_xlfn.XLOOKUP(REG_STOCK[[#This Row],[CODIGO]],PRODUCTOS[CODIGO],PRODUCTOS[PRECIO COMPRA UNITARIO],"",0)</f>
        <v>16231.199726402188</v>
      </c>
      <c r="Q228" s="3" t="str">
        <f>IFERROR(REG_STOCK[[#This Row],[VALOR UNITARIO]]*REG_STOCK[[#This Row],[PERDIDA O EN PROCESO]],"")</f>
        <v/>
      </c>
      <c r="R228" s="3">
        <f>+REG_STOCK[[#This Row],[VALOR UNITARIO]]*REG_STOCK[[#This Row],[STOCK FISICO]]</f>
        <v>0</v>
      </c>
    </row>
    <row r="229" spans="1:18" hidden="1" x14ac:dyDescent="0.25">
      <c r="A229" s="1">
        <v>46223</v>
      </c>
      <c r="B229">
        <v>701040</v>
      </c>
      <c r="C229" t="s">
        <v>19</v>
      </c>
      <c r="D229" t="s">
        <v>18</v>
      </c>
      <c r="F229">
        <v>0</v>
      </c>
      <c r="H229" t="str">
        <f>+_xlfn.XLOOKUP(REG_STOCK[[#This Row],[CODIGO]],PRODUCTOS[CODIGO],PRODUCTOS[DESC CORTA],"",0)</f>
        <v>VOLCANITA RF</v>
      </c>
      <c r="I229" s="76">
        <f>SUMIFS(DETALLE_GD_1[CANTIDAD RECEPCIONADA],DETALLE_GD_1[CODIGO],REG_STOCK[[#This Row],[CODIGO]],DETALLE_GD_1[FECHA SOLICITUD],"&lt;="&amp;REG_STOCK[[#This Row],[FECHA STOCK ]])+97</f>
        <v>1232</v>
      </c>
      <c r="J229">
        <f>+REG_STOCK[[#This Row],[SOLICITADO A TF]]-REG_STOCK[[#This Row],[STOCK FISICO]]</f>
        <v>1232</v>
      </c>
      <c r="K229" s="40">
        <f>+_xlfn.XLOOKUP(REG_STOCK[[#This Row],[CODIGO]],PRODUCTOS[CODIGO],PRODUCTOS[CANT X MODULO],"",0)</f>
        <v>4.2840000000000007</v>
      </c>
      <c r="L229" s="3">
        <f>+REG_STOCK[[#This Row],[CONSUMO]]/REG_STOCK[[#This Row],[CUBICACION PPTO.]]</f>
        <v>287.58169934640517</v>
      </c>
      <c r="M229" s="3">
        <f>+REG_STOCK[[#This Row],[STOCK FISICO]]/REG_STOCK[[#This Row],[CUBICACION PPTO.]]</f>
        <v>0</v>
      </c>
      <c r="N229" s="3">
        <f>+REG_STOCK[[#This Row],[SOLICITADO A TF]]/REG_STOCK[[#This Row],[CUBICACION PPTO.]]</f>
        <v>287.58169934640517</v>
      </c>
      <c r="O229" s="3">
        <f>IF($V$2-REG_STOCK[[#This Row],[ALCANCE FISICO]]&gt;0,"",($V$2-REG_STOCK[[#This Row],[ALCANCE FISICO]]/REG_STOCK[[#This Row],[CUBICACION PPTO.]]))</f>
        <v>42.870751786553427</v>
      </c>
      <c r="P229" s="3">
        <f>+_xlfn.XLOOKUP(REG_STOCK[[#This Row],[CODIGO]],PRODUCTOS[CODIGO],PRODUCTOS[PRECIO COMPRA UNITARIO],"",0)</f>
        <v>7627.9022026431721</v>
      </c>
      <c r="Q229" s="3">
        <f>IFERROR(REG_STOCK[[#This Row],[VALOR UNITARIO]]*REG_STOCK[[#This Row],[PERDIDA O EN PROCESO]],"")</f>
        <v>327013.90198161959</v>
      </c>
      <c r="R229" s="3">
        <f>+REG_STOCK[[#This Row],[VALOR UNITARIO]]*REG_STOCK[[#This Row],[STOCK FISICO]]</f>
        <v>0</v>
      </c>
    </row>
    <row r="230" spans="1:18" hidden="1" x14ac:dyDescent="0.25">
      <c r="A230" s="1">
        <v>46223</v>
      </c>
      <c r="B230">
        <v>1902003</v>
      </c>
      <c r="C230" t="s">
        <v>155</v>
      </c>
      <c r="D230" t="s">
        <v>47</v>
      </c>
      <c r="F230">
        <v>0</v>
      </c>
      <c r="H230">
        <f>+_xlfn.XLOOKUP(REG_STOCK[[#This Row],[CODIGO]],PRODUCTOS[CODIGO],PRODUCTOS[DESC CORTA],"",0)</f>
        <v>0</v>
      </c>
      <c r="I230" s="76">
        <f>SUMIFS(DETALLE_GD_1[CANTIDAD RECEPCIONADA],DETALLE_GD_1[CODIGO],REG_STOCK[[#This Row],[CODIGO]],DETALLE_GD_1[FECHA SOLICITUD],"&lt;="&amp;REG_STOCK[[#This Row],[FECHA STOCK ]])+97</f>
        <v>206</v>
      </c>
      <c r="J230">
        <f>+REG_STOCK[[#This Row],[SOLICITADO A TF]]-REG_STOCK[[#This Row],[STOCK FISICO]]</f>
        <v>206</v>
      </c>
      <c r="K230" s="40">
        <f>+_xlfn.XLOOKUP(REG_STOCK[[#This Row],[CODIGO]],PRODUCTOS[CODIGO],PRODUCTOS[CANT X MODULO],"",0)</f>
        <v>0.41466600000000009</v>
      </c>
      <c r="L230" s="3">
        <f>+REG_STOCK[[#This Row],[CONSUMO]]/REG_STOCK[[#This Row],[CUBICACION PPTO.]]</f>
        <v>496.7853646066954</v>
      </c>
      <c r="M230" s="3">
        <f>+REG_STOCK[[#This Row],[STOCK FISICO]]/REG_STOCK[[#This Row],[CUBICACION PPTO.]]</f>
        <v>0</v>
      </c>
      <c r="N230" s="3">
        <f>+REG_STOCK[[#This Row],[SOLICITADO A TF]]/REG_STOCK[[#This Row],[CUBICACION PPTO.]]</f>
        <v>496.7853646066954</v>
      </c>
      <c r="O230" s="3">
        <f>IF($V$2-REG_STOCK[[#This Row],[ALCANCE FISICO]]&gt;0,"",($V$2-REG_STOCK[[#This Row],[ALCANCE FISICO]]/REG_STOCK[[#This Row],[CUBICACION PPTO.]]))</f>
        <v>-1088.0373712980936</v>
      </c>
      <c r="P230" s="3">
        <f>+_xlfn.XLOOKUP(REG_STOCK[[#This Row],[CODIGO]],PRODUCTOS[CODIGO],PRODUCTOS[PRECIO COMPRA UNITARIO],"",0)</f>
        <v>150758.376146789</v>
      </c>
      <c r="Q230" s="3">
        <f>IFERROR(REG_STOCK[[#This Row],[VALOR UNITARIO]]*REG_STOCK[[#This Row],[PERDIDA O EN PROCESO]],"")</f>
        <v>-164030747.28392151</v>
      </c>
      <c r="R230" s="3">
        <f>+REG_STOCK[[#This Row],[VALOR UNITARIO]]*REG_STOCK[[#This Row],[STOCK FISICO]]</f>
        <v>0</v>
      </c>
    </row>
    <row r="231" spans="1:18" hidden="1" x14ac:dyDescent="0.25">
      <c r="A231" s="1">
        <v>46223</v>
      </c>
      <c r="B231" t="s">
        <v>21</v>
      </c>
      <c r="C231" t="s">
        <v>785</v>
      </c>
      <c r="D231" t="s">
        <v>20</v>
      </c>
      <c r="F231">
        <v>0</v>
      </c>
      <c r="H231" t="str">
        <f>+_xlfn.XLOOKUP(REG_STOCK[[#This Row],[CODIGO]],PRODUCTOS[CODIGO],PRODUCTOS[DESC CORTA],"",0)</f>
        <v>PINO 3X8X320</v>
      </c>
      <c r="I231" s="76">
        <f>SUMIFS(DETALLE_GD_1[CANTIDAD RECEPCIONADA],DETALLE_GD_1[CODIGO],REG_STOCK[[#This Row],[CODIGO]],DETALLE_GD_1[FECHA SOLICITUD],"&lt;="&amp;REG_STOCK[[#This Row],[FECHA STOCK ]])+97</f>
        <v>985</v>
      </c>
      <c r="J231">
        <f>+REG_STOCK[[#This Row],[SOLICITADO A TF]]-REG_STOCK[[#This Row],[STOCK FISICO]]</f>
        <v>985</v>
      </c>
      <c r="K231" s="40">
        <f>+_xlfn.XLOOKUP(REG_STOCK[[#This Row],[CODIGO]],PRODUCTOS[CODIGO],PRODUCTOS[CANT X MODULO],"",0)</f>
        <v>6.3000000000000007</v>
      </c>
      <c r="L231" s="3">
        <f>+REG_STOCK[[#This Row],[CONSUMO]]/REG_STOCK[[#This Row],[CUBICACION PPTO.]]</f>
        <v>156.34920634920633</v>
      </c>
      <c r="M231" s="3">
        <f>+REG_STOCK[[#This Row],[STOCK FISICO]]/REG_STOCK[[#This Row],[CUBICACION PPTO.]]</f>
        <v>0</v>
      </c>
      <c r="N231" s="3">
        <f>+REG_STOCK[[#This Row],[SOLICITADO A TF]]/REG_STOCK[[#This Row],[CUBICACION PPTO.]]</f>
        <v>156.34920634920633</v>
      </c>
      <c r="O231" s="3">
        <f>IF($V$2-REG_STOCK[[#This Row],[ALCANCE FISICO]]&gt;0,"",($V$2-REG_STOCK[[#This Row],[ALCANCE FISICO]]/REG_STOCK[[#This Row],[CUBICACION PPTO.]]))</f>
        <v>85.182665658856138</v>
      </c>
      <c r="P231" s="3">
        <f>+_xlfn.XLOOKUP(REG_STOCK[[#This Row],[CODIGO]],PRODUCTOS[CODIGO],PRODUCTOS[PRECIO COMPRA UNITARIO],"",0)</f>
        <v>15443.519144144144</v>
      </c>
      <c r="Q231" s="3">
        <f>IFERROR(REG_STOCK[[#This Row],[VALOR UNITARIO]]*REG_STOCK[[#This Row],[PERDIDA O EN PROCESO]],"")</f>
        <v>1315520.1278517747</v>
      </c>
      <c r="R231" s="3">
        <f>+REG_STOCK[[#This Row],[VALOR UNITARIO]]*REG_STOCK[[#This Row],[STOCK FISICO]]</f>
        <v>0</v>
      </c>
    </row>
    <row r="232" spans="1:18" hidden="1" x14ac:dyDescent="0.25">
      <c r="A232" s="1">
        <v>46223</v>
      </c>
      <c r="B232">
        <v>701084</v>
      </c>
      <c r="C232" t="s">
        <v>38</v>
      </c>
      <c r="D232" t="s">
        <v>18</v>
      </c>
      <c r="F232">
        <v>0</v>
      </c>
      <c r="H232" t="str">
        <f>+_xlfn.XLOOKUP(REG_STOCK[[#This Row],[CODIGO]],PRODUCTOS[CODIGO],PRODUCTOS[DESC CORTA],"",0)</f>
        <v>FIBROCEMENTO BALCON</v>
      </c>
      <c r="I232" s="76">
        <f>SUMIFS(DETALLE_GD_1[CANTIDAD RECEPCIONADA],DETALLE_GD_1[CODIGO],REG_STOCK[[#This Row],[CODIGO]],DETALLE_GD_1[FECHA SOLICITUD],"&lt;="&amp;REG_STOCK[[#This Row],[FECHA STOCK ]])+97</f>
        <v>229</v>
      </c>
      <c r="J232">
        <f>+REG_STOCK[[#This Row],[SOLICITADO A TF]]-REG_STOCK[[#This Row],[STOCK FISICO]]</f>
        <v>229</v>
      </c>
      <c r="K232" s="40">
        <f>+_xlfn.XLOOKUP(REG_STOCK[[#This Row],[CODIGO]],PRODUCTOS[CODIGO],PRODUCTOS[CANT X MODULO],"",0)</f>
        <v>0.69825000000000004</v>
      </c>
      <c r="L232" s="3">
        <f>+REG_STOCK[[#This Row],[CONSUMO]]/REG_STOCK[[#This Row],[CUBICACION PPTO.]]</f>
        <v>327.9627640529896</v>
      </c>
      <c r="M232" s="3">
        <f>+REG_STOCK[[#This Row],[STOCK FISICO]]/REG_STOCK[[#This Row],[CUBICACION PPTO.]]</f>
        <v>0</v>
      </c>
      <c r="N232" s="3">
        <f>+REG_STOCK[[#This Row],[SOLICITADO A TF]]/REG_STOCK[[#This Row],[CUBICACION PPTO.]]</f>
        <v>327.9627640529896</v>
      </c>
      <c r="O232" s="3">
        <f>IF($V$2-REG_STOCK[[#This Row],[ALCANCE FISICO]]&gt;0,"",($V$2-REG_STOCK[[#This Row],[ALCANCE FISICO]]/REG_STOCK[[#This Row],[CUBICACION PPTO.]]))</f>
        <v>-359.69246552522674</v>
      </c>
      <c r="P232" s="3">
        <f>+_xlfn.XLOOKUP(REG_STOCK[[#This Row],[CODIGO]],PRODUCTOS[CODIGO],PRODUCTOS[PRECIO COMPRA UNITARIO],"",0)</f>
        <v>39468.96212121212</v>
      </c>
      <c r="Q232" s="3">
        <f>IFERROR(REG_STOCK[[#This Row],[VALOR UNITARIO]]*REG_STOCK[[#This Row],[PERDIDA O EN PROCESO]],"")</f>
        <v>-14196688.29710057</v>
      </c>
      <c r="R232" s="3">
        <f>+REG_STOCK[[#This Row],[VALOR UNITARIO]]*REG_STOCK[[#This Row],[STOCK FISICO]]</f>
        <v>0</v>
      </c>
    </row>
    <row r="233" spans="1:18" hidden="1" x14ac:dyDescent="0.25">
      <c r="A233" s="1">
        <v>46223</v>
      </c>
      <c r="B233">
        <v>5309018</v>
      </c>
      <c r="C233" t="s">
        <v>112</v>
      </c>
      <c r="D233" t="s">
        <v>26</v>
      </c>
      <c r="F233">
        <v>0</v>
      </c>
      <c r="H233">
        <f>+_xlfn.XLOOKUP(REG_STOCK[[#This Row],[CODIGO]],PRODUCTOS[CODIGO],PRODUCTOS[DESC CORTA],"",0)</f>
        <v>0</v>
      </c>
      <c r="I233" s="76">
        <f>SUMIFS(DETALLE_GD_1[CANTIDAD RECEPCIONADA],DETALLE_GD_1[CODIGO],REG_STOCK[[#This Row],[CODIGO]],DETALLE_GD_1[FECHA SOLICITUD],"&lt;="&amp;REG_STOCK[[#This Row],[FECHA STOCK ]])+97</f>
        <v>3797</v>
      </c>
      <c r="J233">
        <f>+REG_STOCK[[#This Row],[SOLICITADO A TF]]-REG_STOCK[[#This Row],[STOCK FISICO]]</f>
        <v>3797</v>
      </c>
      <c r="K233" s="40">
        <f>+_xlfn.XLOOKUP(REG_STOCK[[#This Row],[CODIGO]],PRODUCTOS[CODIGO],PRODUCTOS[CANT X MODULO],"",0)</f>
        <v>34.649999999999991</v>
      </c>
      <c r="L233" s="3">
        <f>+REG_STOCK[[#This Row],[CONSUMO]]/REG_STOCK[[#This Row],[CUBICACION PPTO.]]</f>
        <v>109.58152958152961</v>
      </c>
      <c r="M233" s="3">
        <f>+REG_STOCK[[#This Row],[STOCK FISICO]]/REG_STOCK[[#This Row],[CUBICACION PPTO.]]</f>
        <v>0</v>
      </c>
      <c r="N233" s="3">
        <f>+REG_STOCK[[#This Row],[SOLICITADO A TF]]/REG_STOCK[[#This Row],[CUBICACION PPTO.]]</f>
        <v>109.58152958152961</v>
      </c>
      <c r="O233" s="3" t="str">
        <f>IF($V$2-REG_STOCK[[#This Row],[ALCANCE FISICO]]&gt;0,"",($V$2-REG_STOCK[[#This Row],[ALCANCE FISICO]]/REG_STOCK[[#This Row],[CUBICACION PPTO.]]))</f>
        <v/>
      </c>
      <c r="P233" s="3">
        <f>+_xlfn.XLOOKUP(REG_STOCK[[#This Row],[CODIGO]],PRODUCTOS[CODIGO],PRODUCTOS[PRECIO COMPRA UNITARIO],"",0)</f>
        <v>707.86891891891889</v>
      </c>
      <c r="Q233" s="3" t="str">
        <f>IFERROR(REG_STOCK[[#This Row],[VALOR UNITARIO]]*REG_STOCK[[#This Row],[PERDIDA O EN PROCESO]],"")</f>
        <v/>
      </c>
      <c r="R233" s="3">
        <f>+REG_STOCK[[#This Row],[VALOR UNITARIO]]*REG_STOCK[[#This Row],[STOCK FISICO]]</f>
        <v>0</v>
      </c>
    </row>
    <row r="234" spans="1:18" hidden="1" x14ac:dyDescent="0.25">
      <c r="A234" s="1">
        <v>46223</v>
      </c>
      <c r="B234">
        <v>1902014</v>
      </c>
      <c r="C234" t="s">
        <v>316</v>
      </c>
      <c r="D234" t="s">
        <v>18</v>
      </c>
      <c r="F234">
        <v>0</v>
      </c>
      <c r="H234" t="str">
        <f>+_xlfn.XLOOKUP(REG_STOCK[[#This Row],[CODIGO]],PRODUCTOS[CODIGO],PRODUCTOS[DESC CORTA],"",0)</f>
        <v>VOLCOGLASS</v>
      </c>
      <c r="I234" s="76">
        <f>SUMIFS(DETALLE_GD_1[CANTIDAD RECEPCIONADA],DETALLE_GD_1[CODIGO],REG_STOCK[[#This Row],[CODIGO]],DETALLE_GD_1[FECHA SOLICITUD],"&lt;="&amp;REG_STOCK[[#This Row],[FECHA STOCK ]])+97</f>
        <v>617</v>
      </c>
      <c r="J234">
        <f>+REG_STOCK[[#This Row],[SOLICITADO A TF]]-REG_STOCK[[#This Row],[STOCK FISICO]]</f>
        <v>617</v>
      </c>
      <c r="K234" s="40">
        <f>+_xlfn.XLOOKUP(REG_STOCK[[#This Row],[CODIGO]],PRODUCTOS[CODIGO],PRODUCTOS[CANT X MODULO],"",0)</f>
        <v>5.5125000000000002</v>
      </c>
      <c r="L234" s="3">
        <f>+REG_STOCK[[#This Row],[CONSUMO]]/REG_STOCK[[#This Row],[CUBICACION PPTO.]]</f>
        <v>111.92743764172336</v>
      </c>
      <c r="M234" s="3">
        <f>+REG_STOCK[[#This Row],[STOCK FISICO]]/REG_STOCK[[#This Row],[CUBICACION PPTO.]]</f>
        <v>0</v>
      </c>
      <c r="N234" s="3">
        <f>+REG_STOCK[[#This Row],[SOLICITADO A TF]]/REG_STOCK[[#This Row],[CUBICACION PPTO.]]</f>
        <v>111.92743764172336</v>
      </c>
      <c r="O234" s="3">
        <f>IF($V$2-REG_STOCK[[#This Row],[ALCANCE FISICO]]&gt;0,"",($V$2-REG_STOCK[[#This Row],[ALCANCE FISICO]]/REG_STOCK[[#This Row],[CUBICACION PPTO.]]))</f>
        <v>89.695702922136348</v>
      </c>
      <c r="P234" s="3">
        <f>+_xlfn.XLOOKUP(REG_STOCK[[#This Row],[CODIGO]],PRODUCTOS[CODIGO],PRODUCTOS[PRECIO COMPRA UNITARIO],"",0)</f>
        <v>29799.757692307692</v>
      </c>
      <c r="Q234" s="3">
        <f>IFERROR(REG_STOCK[[#This Row],[VALOR UNITARIO]]*REG_STOCK[[#This Row],[PERDIDA O EN PROCESO]],"")</f>
        <v>2672910.2131208782</v>
      </c>
      <c r="R234" s="3">
        <f>+REG_STOCK[[#This Row],[VALOR UNITARIO]]*REG_STOCK[[#This Row],[STOCK FISICO]]</f>
        <v>0</v>
      </c>
    </row>
    <row r="235" spans="1:18" hidden="1" x14ac:dyDescent="0.25">
      <c r="A235" s="1">
        <v>46223</v>
      </c>
      <c r="B235">
        <v>302054</v>
      </c>
      <c r="C235" t="s">
        <v>356</v>
      </c>
      <c r="D235" t="s">
        <v>20</v>
      </c>
      <c r="H235">
        <f>+_xlfn.XLOOKUP(REG_STOCK[[#This Row],[CODIGO]],PRODUCTOS[CODIGO],PRODUCTOS[DESC CORTA],"",0)</f>
        <v>0</v>
      </c>
      <c r="I235" s="76">
        <f>SUMIFS(DETALLE_GD_1[CANTIDAD RECEPCIONADA],DETALLE_GD_1[CODIGO],REG_STOCK[[#This Row],[CODIGO]],DETALLE_GD_1[FECHA SOLICITUD],"&lt;="&amp;REG_STOCK[[#This Row],[FECHA STOCK ]])+97</f>
        <v>17905</v>
      </c>
      <c r="J235">
        <f>+REG_STOCK[[#This Row],[SOLICITADO A TF]]-REG_STOCK[[#This Row],[STOCK FISICO]]</f>
        <v>17905</v>
      </c>
      <c r="K235" s="40">
        <f>+_xlfn.XLOOKUP(REG_STOCK[[#This Row],[CODIGO]],PRODUCTOS[CODIGO],PRODUCTOS[CANT X MODULO],"",0)</f>
        <v>34.543750000000003</v>
      </c>
      <c r="L235" s="3">
        <f>+REG_STOCK[[#This Row],[CONSUMO]]/REG_STOCK[[#This Row],[CUBICACION PPTO.]]</f>
        <v>518.32820698389719</v>
      </c>
      <c r="M235" s="3">
        <f>+REG_STOCK[[#This Row],[STOCK FISICO]]/REG_STOCK[[#This Row],[CUBICACION PPTO.]]</f>
        <v>0</v>
      </c>
      <c r="N235" s="3">
        <f>+REG_STOCK[[#This Row],[SOLICITADO A TF]]/REG_STOCK[[#This Row],[CUBICACION PPTO.]]</f>
        <v>518.32820698389719</v>
      </c>
      <c r="O235" s="3">
        <f>IF($V$2-REG_STOCK[[#This Row],[ALCANCE FISICO]]&gt;0,"",($V$2-REG_STOCK[[#This Row],[ALCANCE FISICO]]/REG_STOCK[[#This Row],[CUBICACION PPTO.]]))</f>
        <v>94.995022052212136</v>
      </c>
      <c r="P235" s="3">
        <f>+_xlfn.XLOOKUP(REG_STOCK[[#This Row],[CODIGO]],PRODUCTOS[CODIGO],PRODUCTOS[PRECIO COMPRA UNITARIO],"",0)</f>
        <v>4843.5655884995504</v>
      </c>
      <c r="Q235" s="3">
        <f>IFERROR(REG_STOCK[[#This Row],[VALOR UNITARIO]]*REG_STOCK[[#This Row],[PERDIDA O EN PROCESO]],"")</f>
        <v>460114.61989085062</v>
      </c>
      <c r="R235" s="3">
        <f>+REG_STOCK[[#This Row],[VALOR UNITARIO]]*REG_STOCK[[#This Row],[STOCK FISICO]]</f>
        <v>0</v>
      </c>
    </row>
    <row r="236" spans="1:18" hidden="1" x14ac:dyDescent="0.25">
      <c r="A236" s="1">
        <v>46223</v>
      </c>
      <c r="B236">
        <v>302048</v>
      </c>
      <c r="C236" t="s">
        <v>126</v>
      </c>
      <c r="D236" t="s">
        <v>20</v>
      </c>
      <c r="F236">
        <v>0</v>
      </c>
      <c r="H236" t="str">
        <f>+_xlfn.XLOOKUP(REG_STOCK[[#This Row],[CODIGO]],PRODUCTOS[CODIGO],PRODUCTOS[DESC CORTA],"",0)</f>
        <v>PINO 2X8X4</v>
      </c>
      <c r="I236" s="76">
        <f>SUMIFS(DETALLE_GD_1[CANTIDAD RECEPCIONADA],DETALLE_GD_1[CODIGO],REG_STOCK[[#This Row],[CODIGO]],DETALLE_GD_1[FECHA SOLICITUD],"&lt;="&amp;REG_STOCK[[#This Row],[FECHA STOCK ]])+97</f>
        <v>3019</v>
      </c>
      <c r="J236">
        <f>+REG_STOCK[[#This Row],[SOLICITADO A TF]]-REG_STOCK[[#This Row],[STOCK FISICO]]</f>
        <v>3019</v>
      </c>
      <c r="K236" s="40">
        <f>+_xlfn.XLOOKUP(REG_STOCK[[#This Row],[CODIGO]],PRODUCTOS[CODIGO],PRODUCTOS[CANT X MODULO],"",0)</f>
        <v>35.174999999999997</v>
      </c>
      <c r="L236" s="3">
        <f>+REG_STOCK[[#This Row],[CONSUMO]]/REG_STOCK[[#This Row],[CUBICACION PPTO.]]</f>
        <v>85.828002842928228</v>
      </c>
      <c r="M236" s="3">
        <f>+REG_STOCK[[#This Row],[STOCK FISICO]]/REG_STOCK[[#This Row],[CUBICACION PPTO.]]</f>
        <v>0</v>
      </c>
      <c r="N236" s="3">
        <f>+REG_STOCK[[#This Row],[SOLICITADO A TF]]/REG_STOCK[[#This Row],[CUBICACION PPTO.]]</f>
        <v>85.828002842928228</v>
      </c>
      <c r="O236" s="3" t="str">
        <f>IF($V$2-REG_STOCK[[#This Row],[ALCANCE FISICO]]&gt;0,"",($V$2-REG_STOCK[[#This Row],[ALCANCE FISICO]]/REG_STOCK[[#This Row],[CUBICACION PPTO.]]))</f>
        <v/>
      </c>
      <c r="P236" s="3">
        <f>+_xlfn.XLOOKUP(REG_STOCK[[#This Row],[CODIGO]],PRODUCTOS[CODIGO],PRODUCTOS[PRECIO COMPRA UNITARIO],"",0)</f>
        <v>13769.264887063655</v>
      </c>
      <c r="Q236" s="3" t="str">
        <f>IFERROR(REG_STOCK[[#This Row],[VALOR UNITARIO]]*REG_STOCK[[#This Row],[PERDIDA O EN PROCESO]],"")</f>
        <v/>
      </c>
      <c r="R236" s="3">
        <f>+REG_STOCK[[#This Row],[VALOR UNITARIO]]*REG_STOCK[[#This Row],[STOCK FISICO]]</f>
        <v>0</v>
      </c>
    </row>
    <row r="237" spans="1:18" hidden="1" x14ac:dyDescent="0.25">
      <c r="A237" s="1">
        <v>46223</v>
      </c>
      <c r="B237">
        <v>705028</v>
      </c>
      <c r="C237" t="s">
        <v>72</v>
      </c>
      <c r="D237" t="s">
        <v>18</v>
      </c>
      <c r="H237" t="str">
        <f>+_xlfn.XLOOKUP(REG_STOCK[[#This Row],[CODIGO]],PRODUCTOS[CODIGO],PRODUCTOS[DESC CORTA],"",0)</f>
        <v>SIMPLISIMA</v>
      </c>
      <c r="I237" s="76">
        <f>SUMIFS(DETALLE_GD_1[CANTIDAD RECEPCIONADA],DETALLE_GD_1[CODIGO],REG_STOCK[[#This Row],[CODIGO]],DETALLE_GD_1[FECHA SOLICITUD],"&lt;="&amp;REG_STOCK[[#This Row],[FECHA STOCK ]])+97</f>
        <v>546</v>
      </c>
      <c r="J237">
        <f>+REG_STOCK[[#This Row],[SOLICITADO A TF]]-REG_STOCK[[#This Row],[STOCK FISICO]]</f>
        <v>546</v>
      </c>
      <c r="K237" s="40">
        <f>+_xlfn.XLOOKUP(REG_STOCK[[#This Row],[CODIGO]],PRODUCTOS[CODIGO],PRODUCTOS[CANT X MODULO],"",0)</f>
        <v>3.6749999999999998</v>
      </c>
      <c r="L237" s="3">
        <f>+REG_STOCK[[#This Row],[CONSUMO]]/REG_STOCK[[#This Row],[CUBICACION PPTO.]]</f>
        <v>148.57142857142858</v>
      </c>
      <c r="M237" s="3">
        <f>+REG_STOCK[[#This Row],[STOCK FISICO]]/REG_STOCK[[#This Row],[CUBICACION PPTO.]]</f>
        <v>0</v>
      </c>
      <c r="N237" s="3">
        <f>+REG_STOCK[[#This Row],[SOLICITADO A TF]]/REG_STOCK[[#This Row],[CUBICACION PPTO.]]</f>
        <v>148.57142857142858</v>
      </c>
      <c r="O237" s="3">
        <f>IF($V$2-REG_STOCK[[#This Row],[ALCANCE FISICO]]&gt;0,"",($V$2-REG_STOCK[[#This Row],[ALCANCE FISICO]]/REG_STOCK[[#This Row],[CUBICACION PPTO.]]))</f>
        <v>69.572400388726919</v>
      </c>
      <c r="P237" s="3">
        <f>+_xlfn.XLOOKUP(REG_STOCK[[#This Row],[CODIGO]],PRODUCTOS[CODIGO],PRODUCTOS[PRECIO COMPRA UNITARIO],"",0)</f>
        <v>22787.11135857461</v>
      </c>
      <c r="Q237" s="3">
        <f>IFERROR(REG_STOCK[[#This Row],[VALOR UNITARIO]]*REG_STOCK[[#This Row],[PERDIDA O EN PROCESO]],"")</f>
        <v>1585354.0351412597</v>
      </c>
      <c r="R237" s="3">
        <f>+REG_STOCK[[#This Row],[VALOR UNITARIO]]*REG_STOCK[[#This Row],[STOCK FISICO]]</f>
        <v>0</v>
      </c>
    </row>
    <row r="238" spans="1:18" hidden="1" x14ac:dyDescent="0.25">
      <c r="A238" s="1">
        <v>46223</v>
      </c>
      <c r="B238">
        <v>1902013</v>
      </c>
      <c r="C238" t="s">
        <v>338</v>
      </c>
      <c r="D238" t="s">
        <v>47</v>
      </c>
      <c r="F238">
        <v>0</v>
      </c>
      <c r="H238">
        <f>+_xlfn.XLOOKUP(REG_STOCK[[#This Row],[CODIGO]],PRODUCTOS[CODIGO],PRODUCTOS[DESC CORTA],"",0)</f>
        <v>0</v>
      </c>
      <c r="I238" s="76">
        <f>SUMIFS(DETALLE_GD_1[CANTIDAD RECEPCIONADA],DETALLE_GD_1[CODIGO],REG_STOCK[[#This Row],[CODIGO]],DETALLE_GD_1[FECHA SOLICITUD],"&lt;="&amp;REG_STOCK[[#This Row],[FECHA STOCK ]])+97</f>
        <v>470</v>
      </c>
      <c r="J238">
        <f>+REG_STOCK[[#This Row],[SOLICITADO A TF]]-REG_STOCK[[#This Row],[STOCK FISICO]]</f>
        <v>470</v>
      </c>
      <c r="K238" s="40">
        <f>+_xlfn.XLOOKUP(REG_STOCK[[#This Row],[CODIGO]],PRODUCTOS[CODIGO],PRODUCTOS[CANT X MODULO],"",0)</f>
        <v>130.33466250000004</v>
      </c>
      <c r="L238" s="3">
        <f>+REG_STOCK[[#This Row],[CONSUMO]]/REG_STOCK[[#This Row],[CUBICACION PPTO.]]</f>
        <v>3.6061013316392319</v>
      </c>
      <c r="M238" s="3">
        <f>+REG_STOCK[[#This Row],[STOCK FISICO]]/REG_STOCK[[#This Row],[CUBICACION PPTO.]]</f>
        <v>0</v>
      </c>
      <c r="N238" s="3">
        <f>+REG_STOCK[[#This Row],[SOLICITADO A TF]]/REG_STOCK[[#This Row],[CUBICACION PPTO.]]</f>
        <v>3.6061013316392319</v>
      </c>
      <c r="O238" s="3" t="str">
        <f>IF($V$2-REG_STOCK[[#This Row],[ALCANCE FISICO]]&gt;0,"",($V$2-REG_STOCK[[#This Row],[ALCANCE FISICO]]/REG_STOCK[[#This Row],[CUBICACION PPTO.]]))</f>
        <v/>
      </c>
      <c r="P238" s="3">
        <f>+_xlfn.XLOOKUP(REG_STOCK[[#This Row],[CODIGO]],PRODUCTOS[CODIGO],PRODUCTOS[PRECIO COMPRA UNITARIO],"",0)</f>
        <v>40087.627345844507</v>
      </c>
      <c r="Q238" s="3" t="str">
        <f>IFERROR(REG_STOCK[[#This Row],[VALOR UNITARIO]]*REG_STOCK[[#This Row],[PERDIDA O EN PROCESO]],"")</f>
        <v/>
      </c>
      <c r="R238" s="3">
        <f>+REG_STOCK[[#This Row],[VALOR UNITARIO]]*REG_STOCK[[#This Row],[STOCK FISICO]]</f>
        <v>0</v>
      </c>
    </row>
    <row r="239" spans="1:18" hidden="1" x14ac:dyDescent="0.25">
      <c r="A239" s="1">
        <v>46230</v>
      </c>
      <c r="B239">
        <v>304007</v>
      </c>
      <c r="C239" t="s">
        <v>80</v>
      </c>
      <c r="D239" t="s">
        <v>18</v>
      </c>
      <c r="F239">
        <v>0</v>
      </c>
      <c r="H239" t="str">
        <f>+_xlfn.XLOOKUP(REG_STOCK[[#This Row],[CODIGO]],PRODUCTOS[CODIGO],PRODUCTOS[DESC CORTA],"",0)</f>
        <v>OSB 11MM</v>
      </c>
      <c r="I239" s="76">
        <f>SUMIFS(DETALLE_GD_1[CANTIDAD RECEPCIONADA],DETALLE_GD_1[CODIGO],REG_STOCK[[#This Row],[CODIGO]],DETALLE_GD_1[FECHA SOLICITUD],"&lt;="&amp;REG_STOCK[[#This Row],[FECHA STOCK ]])+97</f>
        <v>1385</v>
      </c>
      <c r="J239">
        <f>+REG_STOCK[[#This Row],[SOLICITADO A TF]]-REG_STOCK[[#This Row],[STOCK FISICO]]</f>
        <v>1385</v>
      </c>
      <c r="K239" s="40">
        <f>+_xlfn.XLOOKUP(REG_STOCK[[#This Row],[CODIGO]],PRODUCTOS[CODIGO],PRODUCTOS[CANT X MODULO],"",0)</f>
        <v>8.6625000000000014</v>
      </c>
      <c r="L239" s="3">
        <f>+REG_STOCK[[#This Row],[CONSUMO]]/REG_STOCK[[#This Row],[CUBICACION PPTO.]]</f>
        <v>159.88455988455985</v>
      </c>
      <c r="M239" s="3">
        <f>+REG_STOCK[[#This Row],[STOCK FISICO]]/REG_STOCK[[#This Row],[CUBICACION PPTO.]]</f>
        <v>0</v>
      </c>
      <c r="N239" s="3">
        <f>+REG_STOCK[[#This Row],[SOLICITADO A TF]]/REG_STOCK[[#This Row],[CUBICACION PPTO.]]</f>
        <v>159.88455988455985</v>
      </c>
      <c r="O239" s="3">
        <f>IF($V$2-REG_STOCK[[#This Row],[ALCANCE FISICO]]&gt;0,"",($V$2-REG_STOCK[[#This Row],[ALCANCE FISICO]]/REG_STOCK[[#This Row],[CUBICACION PPTO.]]))</f>
        <v>91.542907949834358</v>
      </c>
      <c r="P239" s="3">
        <f>+_xlfn.XLOOKUP(REG_STOCK[[#This Row],[CODIGO]],PRODUCTOS[CODIGO],PRODUCTOS[PRECIO COMPRA UNITARIO],"",0)</f>
        <v>11497.288819875776</v>
      </c>
      <c r="Q239" s="3">
        <f>IFERROR(REG_STOCK[[#This Row],[VALOR UNITARIO]]*REG_STOCK[[#This Row],[PERDIDA O EN PROCESO]],"")</f>
        <v>1052495.2521105479</v>
      </c>
      <c r="R239" s="3">
        <f>+REG_STOCK[[#This Row],[VALOR UNITARIO]]*REG_STOCK[[#This Row],[STOCK FISICO]]</f>
        <v>0</v>
      </c>
    </row>
    <row r="240" spans="1:18" hidden="1" x14ac:dyDescent="0.25">
      <c r="A240" s="1">
        <v>46230</v>
      </c>
      <c r="B240">
        <v>701043</v>
      </c>
      <c r="C240" t="s">
        <v>197</v>
      </c>
      <c r="D240" t="s">
        <v>696</v>
      </c>
      <c r="F240">
        <v>0</v>
      </c>
      <c r="H240" t="str">
        <f>+_xlfn.XLOOKUP(REG_STOCK[[#This Row],[CODIGO]],PRODUCTOS[CODIGO],PRODUCTOS[DESC CORTA],"",0)</f>
        <v>VOLCANITA EMPAPELADA CIELO</v>
      </c>
      <c r="I240" s="76">
        <f>SUMIFS(DETALLE_GD_1[CANTIDAD RECEPCIONADA],DETALLE_GD_1[CODIGO],REG_STOCK[[#This Row],[CODIGO]],DETALLE_GD_1[FECHA SOLICITUD],"&lt;="&amp;REG_STOCK[[#This Row],[FECHA STOCK ]])+97</f>
        <v>1173</v>
      </c>
      <c r="J240">
        <f>+REG_STOCK[[#This Row],[SOLICITADO A TF]]-REG_STOCK[[#This Row],[STOCK FISICO]]</f>
        <v>1173</v>
      </c>
      <c r="K240" s="40">
        <f>+_xlfn.XLOOKUP(REG_STOCK[[#This Row],[CODIGO]],PRODUCTOS[CODIGO],PRODUCTOS[CANT X MODULO],"",0)</f>
        <v>7.0875000000000012</v>
      </c>
      <c r="L240" s="3">
        <f>+REG_STOCK[[#This Row],[CONSUMO]]/REG_STOCK[[#This Row],[CUBICACION PPTO.]]</f>
        <v>165.50264550264546</v>
      </c>
      <c r="M240" s="3">
        <f>+REG_STOCK[[#This Row],[STOCK FISICO]]/REG_STOCK[[#This Row],[CUBICACION PPTO.]]</f>
        <v>0</v>
      </c>
      <c r="N240" s="3">
        <f>+REG_STOCK[[#This Row],[SOLICITADO A TF]]/REG_STOCK[[#This Row],[CUBICACION PPTO.]]</f>
        <v>165.50264550264546</v>
      </c>
      <c r="O240" s="3">
        <f>IF($V$2-REG_STOCK[[#This Row],[ALCANCE FISICO]]&gt;0,"",($V$2-REG_STOCK[[#This Row],[ALCANCE FISICO]]/REG_STOCK[[#This Row],[CUBICACION PPTO.]]))</f>
        <v>86.648656719203473</v>
      </c>
      <c r="P240" s="3">
        <f>+_xlfn.XLOOKUP(REG_STOCK[[#This Row],[CODIGO]],PRODUCTOS[CODIGO],PRODUCTOS[PRECIO COMPRA UNITARIO],"",0)</f>
        <v>22537.549256505576</v>
      </c>
      <c r="Q240" s="3">
        <f>IFERROR(REG_STOCK[[#This Row],[VALOR UNITARIO]]*REG_STOCK[[#This Row],[PERDIDA O EN PROCESO]],"")</f>
        <v>1952848.368819091</v>
      </c>
      <c r="R240" s="3">
        <f>+REG_STOCK[[#This Row],[VALOR UNITARIO]]*REG_STOCK[[#This Row],[STOCK FISICO]]</f>
        <v>0</v>
      </c>
    </row>
    <row r="241" spans="1:18" hidden="1" x14ac:dyDescent="0.25">
      <c r="A241" s="1">
        <v>46230</v>
      </c>
      <c r="B241">
        <v>302046</v>
      </c>
      <c r="C241" t="s">
        <v>516</v>
      </c>
      <c r="D241" t="s">
        <v>20</v>
      </c>
      <c r="F241">
        <v>0.375</v>
      </c>
      <c r="H241" t="str">
        <f>+_xlfn.XLOOKUP(REG_STOCK[[#This Row],[CODIGO]],PRODUCTOS[CODIGO],PRODUCTOS[DESC CORTA],"",0)</f>
        <v>PINO 2X6X400</v>
      </c>
      <c r="I241" s="76">
        <f>SUMIFS(DETALLE_GD_1[CANTIDAD RECEPCIONADA],DETALLE_GD_1[CODIGO],REG_STOCK[[#This Row],[CODIGO]],DETALLE_GD_1[FECHA SOLICITUD],"&lt;="&amp;REG_STOCK[[#This Row],[FECHA STOCK ]])+97</f>
        <v>4934</v>
      </c>
      <c r="J241">
        <f>+REG_STOCK[[#This Row],[SOLICITADO A TF]]-REG_STOCK[[#This Row],[STOCK FISICO]]</f>
        <v>4934</v>
      </c>
      <c r="K241" s="40">
        <f>+_xlfn.XLOOKUP(REG_STOCK[[#This Row],[CODIGO]],PRODUCTOS[CODIGO],PRODUCTOS[CANT X MODULO],"",0)</f>
        <v>34.65</v>
      </c>
      <c r="L241" s="3">
        <f>+REG_STOCK[[#This Row],[CONSUMO]]/REG_STOCK[[#This Row],[CUBICACION PPTO.]]</f>
        <v>142.3953823953824</v>
      </c>
      <c r="M241" s="3">
        <f>+REG_STOCK[[#This Row],[STOCK FISICO]]/REG_STOCK[[#This Row],[CUBICACION PPTO.]]</f>
        <v>0</v>
      </c>
      <c r="N241" s="3">
        <f>+REG_STOCK[[#This Row],[SOLICITADO A TF]]/REG_STOCK[[#This Row],[CUBICACION PPTO.]]</f>
        <v>142.3953823953824</v>
      </c>
      <c r="O241" s="3">
        <f>IF($V$2-REG_STOCK[[#This Row],[ALCANCE FISICO]]&gt;0,"",($V$2-REG_STOCK[[#This Row],[ALCANCE FISICO]]/REG_STOCK[[#This Row],[CUBICACION PPTO.]]))</f>
        <v>105.89046515453441</v>
      </c>
      <c r="P241" s="3">
        <f>+_xlfn.XLOOKUP(REG_STOCK[[#This Row],[CODIGO]],PRODUCTOS[CODIGO],PRODUCTOS[PRECIO COMPRA UNITARIO],"",0)</f>
        <v>10289.047343394666</v>
      </c>
      <c r="Q241" s="3">
        <f>IFERROR(REG_STOCK[[#This Row],[VALOR UNITARIO]]*REG_STOCK[[#This Row],[PERDIDA O EN PROCESO]],"")</f>
        <v>1089512.0091890877</v>
      </c>
      <c r="R241" s="3">
        <f>+REG_STOCK[[#This Row],[VALOR UNITARIO]]*REG_STOCK[[#This Row],[STOCK FISICO]]</f>
        <v>0</v>
      </c>
    </row>
    <row r="242" spans="1:18" hidden="1" x14ac:dyDescent="0.25">
      <c r="A242" s="1">
        <v>46230</v>
      </c>
      <c r="B242">
        <v>302010</v>
      </c>
      <c r="C242" t="s">
        <v>511</v>
      </c>
      <c r="D242" t="s">
        <v>20</v>
      </c>
      <c r="F242">
        <v>0.375</v>
      </c>
      <c r="H242" t="str">
        <f>+_xlfn.XLOOKUP(REG_STOCK[[#This Row],[CODIGO]],PRODUCTOS[CODIGO],PRODUCTOS[DESC CORTA],"",0)</f>
        <v>PINO 2X6X320</v>
      </c>
      <c r="I242" s="76">
        <f>SUMIFS(DETALLE_GD_1[CANTIDAD RECEPCIONADA],DETALLE_GD_1[CODIGO],REG_STOCK[[#This Row],[CODIGO]],DETALLE_GD_1[FECHA SOLICITUD],"&lt;="&amp;REG_STOCK[[#This Row],[FECHA STOCK ]])+97</f>
        <v>3541</v>
      </c>
      <c r="J242">
        <f>+REG_STOCK[[#This Row],[SOLICITADO A TF]]-REG_STOCK[[#This Row],[STOCK FISICO]]</f>
        <v>3541</v>
      </c>
      <c r="K242" s="40">
        <f>+_xlfn.XLOOKUP(REG_STOCK[[#This Row],[CODIGO]],PRODUCTOS[CODIGO],PRODUCTOS[CANT X MODULO],"",0)</f>
        <v>34.912500000000023</v>
      </c>
      <c r="L242" s="3">
        <f>+REG_STOCK[[#This Row],[CONSUMO]]/REG_STOCK[[#This Row],[CUBICACION PPTO.]]</f>
        <v>101.42499104905113</v>
      </c>
      <c r="M242" s="3">
        <f>+REG_STOCK[[#This Row],[STOCK FISICO]]/REG_STOCK[[#This Row],[CUBICACION PPTO.]]</f>
        <v>0</v>
      </c>
      <c r="N242" s="3">
        <f>+REG_STOCK[[#This Row],[SOLICITADO A TF]]/REG_STOCK[[#This Row],[CUBICACION PPTO.]]</f>
        <v>101.42499104905113</v>
      </c>
      <c r="O242" s="3" t="str">
        <f>IF($V$2-REG_STOCK[[#This Row],[ALCANCE FISICO]]&gt;0,"",($V$2-REG_STOCK[[#This Row],[ALCANCE FISICO]]/REG_STOCK[[#This Row],[CUBICACION PPTO.]]))</f>
        <v/>
      </c>
      <c r="P242" s="3">
        <f>+_xlfn.XLOOKUP(REG_STOCK[[#This Row],[CODIGO]],PRODUCTOS[CODIGO],PRODUCTOS[PRECIO COMPRA UNITARIO],"",0)</f>
        <v>5690.5508432539682</v>
      </c>
      <c r="Q242" s="3" t="str">
        <f>IFERROR(REG_STOCK[[#This Row],[VALOR UNITARIO]]*REG_STOCK[[#This Row],[PERDIDA O EN PROCESO]],"")</f>
        <v/>
      </c>
      <c r="R242" s="3">
        <f>+REG_STOCK[[#This Row],[VALOR UNITARIO]]*REG_STOCK[[#This Row],[STOCK FISICO]]</f>
        <v>0</v>
      </c>
    </row>
    <row r="243" spans="1:18" hidden="1" x14ac:dyDescent="0.25">
      <c r="A243" s="1">
        <v>46230</v>
      </c>
      <c r="B243">
        <v>1901008</v>
      </c>
      <c r="C243" t="s">
        <v>747</v>
      </c>
      <c r="D243" t="s">
        <v>26</v>
      </c>
      <c r="F243">
        <v>0</v>
      </c>
      <c r="H243" t="str">
        <f>+_xlfn.XLOOKUP(REG_STOCK[[#This Row],[CODIGO]],PRODUCTOS[CODIGO],PRODUCTOS[DESC CORTA],"",0)</f>
        <v>AISLAN GLASS 90MM</v>
      </c>
      <c r="I243" s="76">
        <f>SUMIFS(DETALLE_GD_1[CANTIDAD RECEPCIONADA],DETALLE_GD_1[CODIGO],REG_STOCK[[#This Row],[CODIGO]],DETALLE_GD_1[FECHA SOLICITUD],"&lt;="&amp;REG_STOCK[[#This Row],[FECHA STOCK ]])+97</f>
        <v>7114</v>
      </c>
      <c r="J243">
        <f>+REG_STOCK[[#This Row],[SOLICITADO A TF]]-REG_STOCK[[#This Row],[STOCK FISICO]]</f>
        <v>7114</v>
      </c>
      <c r="K243" s="40">
        <f>+_xlfn.XLOOKUP(REG_STOCK[[#This Row],[CODIGO]],PRODUCTOS[CODIGO],PRODUCTOS[CANT X MODULO],"",0)</f>
        <v>62.430325650000007</v>
      </c>
      <c r="L243" s="3">
        <f>+REG_STOCK[[#This Row],[CONSUMO]]/REG_STOCK[[#This Row],[CUBICACION PPTO.]]</f>
        <v>113.95103142474156</v>
      </c>
      <c r="M243" s="3">
        <f>+REG_STOCK[[#This Row],[STOCK FISICO]]/REG_STOCK[[#This Row],[CUBICACION PPTO.]]</f>
        <v>0</v>
      </c>
      <c r="N243" s="3">
        <f>+REG_STOCK[[#This Row],[SOLICITADO A TF]]/REG_STOCK[[#This Row],[CUBICACION PPTO.]]</f>
        <v>113.95103142474156</v>
      </c>
      <c r="O243" s="3">
        <f>IF($V$2-REG_STOCK[[#This Row],[ALCANCE FISICO]]&gt;0,"",($V$2-REG_STOCK[[#This Row],[ALCANCE FISICO]]/REG_STOCK[[#This Row],[CUBICACION PPTO.]]))</f>
        <v>108.17474872606657</v>
      </c>
      <c r="P243" s="3">
        <f>+_xlfn.XLOOKUP(REG_STOCK[[#This Row],[CODIGO]],PRODUCTOS[CODIGO],PRODUCTOS[PRECIO COMPRA UNITARIO],"",0)</f>
        <v>2062.9827561636025</v>
      </c>
      <c r="Q243" s="3">
        <f>IFERROR(REG_STOCK[[#This Row],[VALOR UNITARIO]]*REG_STOCK[[#This Row],[PERDIDA O EN PROCESO]],"")</f>
        <v>223162.64127420596</v>
      </c>
      <c r="R243" s="3">
        <f>+REG_STOCK[[#This Row],[VALOR UNITARIO]]*REG_STOCK[[#This Row],[STOCK FISICO]]</f>
        <v>0</v>
      </c>
    </row>
    <row r="244" spans="1:18" hidden="1" x14ac:dyDescent="0.25">
      <c r="A244" s="1">
        <v>46230</v>
      </c>
      <c r="B244">
        <v>304002</v>
      </c>
      <c r="C244" t="s">
        <v>37</v>
      </c>
      <c r="D244" t="s">
        <v>18</v>
      </c>
      <c r="H244" t="str">
        <f>+_xlfn.XLOOKUP(REG_STOCK[[#This Row],[CODIGO]],PRODUCTOS[CODIGO],PRODUCTOS[DESC CORTA],"",0)</f>
        <v>SMARTPANEL</v>
      </c>
      <c r="I244" s="76">
        <f>SUMIFS(DETALLE_GD_1[CANTIDAD RECEPCIONADA],DETALLE_GD_1[CODIGO],REG_STOCK[[#This Row],[CODIGO]],DETALLE_GD_1[FECHA SOLICITUD],"&lt;="&amp;REG_STOCK[[#This Row],[FECHA STOCK ]])+97</f>
        <v>3600</v>
      </c>
      <c r="J244">
        <f>+REG_STOCK[[#This Row],[SOLICITADO A TF]]-REG_STOCK[[#This Row],[STOCK FISICO]]</f>
        <v>3600</v>
      </c>
      <c r="K244" s="40">
        <f>+_xlfn.XLOOKUP(REG_STOCK[[#This Row],[CODIGO]],PRODUCTOS[CODIGO],PRODUCTOS[CANT X MODULO],"",0)</f>
        <v>23.296874999999996</v>
      </c>
      <c r="L244" s="3">
        <f>+REG_STOCK[[#This Row],[CONSUMO]]/REG_STOCK[[#This Row],[CUBICACION PPTO.]]</f>
        <v>154.52716297786722</v>
      </c>
      <c r="M244" s="3">
        <f>+REG_STOCK[[#This Row],[STOCK FISICO]]/REG_STOCK[[#This Row],[CUBICACION PPTO.]]</f>
        <v>0</v>
      </c>
      <c r="N244" s="3">
        <f>+REG_STOCK[[#This Row],[SOLICITADO A TF]]/REG_STOCK[[#This Row],[CUBICACION PPTO.]]</f>
        <v>154.52716297786722</v>
      </c>
      <c r="O244" s="3">
        <f>IF($V$2-REG_STOCK[[#This Row],[ALCANCE FISICO]]&gt;0,"",($V$2-REG_STOCK[[#This Row],[ALCANCE FISICO]]/REG_STOCK[[#This Row],[CUBICACION PPTO.]]))</f>
        <v>103.36704330611435</v>
      </c>
      <c r="P244" s="3">
        <f>+_xlfn.XLOOKUP(REG_STOCK[[#This Row],[CODIGO]],PRODUCTOS[CODIGO],PRODUCTOS[PRECIO COMPRA UNITARIO],"",0)</f>
        <v>21604.880388238653</v>
      </c>
      <c r="Q244" s="3">
        <f>IFERROR(REG_STOCK[[#This Row],[VALOR UNITARIO]]*REG_STOCK[[#This Row],[PERDIDA O EN PROCESO]],"")</f>
        <v>2233232.6067144857</v>
      </c>
      <c r="R244" s="3">
        <f>+REG_STOCK[[#This Row],[VALOR UNITARIO]]*REG_STOCK[[#This Row],[STOCK FISICO]]</f>
        <v>0</v>
      </c>
    </row>
    <row r="245" spans="1:18" hidden="1" x14ac:dyDescent="0.25">
      <c r="A245" s="1">
        <v>46230</v>
      </c>
      <c r="B245">
        <v>304101</v>
      </c>
      <c r="C245" t="s">
        <v>695</v>
      </c>
      <c r="D245" t="s">
        <v>18</v>
      </c>
      <c r="F245">
        <v>0</v>
      </c>
      <c r="H245" t="str">
        <f>+_xlfn.XLOOKUP(REG_STOCK[[#This Row],[CODIGO]],PRODUCTOS[CODIGO],PRODUCTOS[DESC CORTA],"",0)</f>
        <v>OSB 9.5</v>
      </c>
      <c r="I245" s="76">
        <f>SUMIFS(DETALLE_GD_1[CANTIDAD RECEPCIONADA],DETALLE_GD_1[CODIGO],REG_STOCK[[#This Row],[CODIGO]],DETALLE_GD_1[FECHA SOLICITUD],"&lt;="&amp;REG_STOCK[[#This Row],[FECHA STOCK ]])+97</f>
        <v>5318</v>
      </c>
      <c r="J245">
        <f>+REG_STOCK[[#This Row],[SOLICITADO A TF]]-REG_STOCK[[#This Row],[STOCK FISICO]]</f>
        <v>5318</v>
      </c>
      <c r="K245" s="40">
        <f>+_xlfn.XLOOKUP(REG_STOCK[[#This Row],[CODIGO]],PRODUCTOS[CODIGO],PRODUCTOS[CANT X MODULO],"",0)</f>
        <v>47.643749999999976</v>
      </c>
      <c r="L245" s="3">
        <f>+REG_STOCK[[#This Row],[CONSUMO]]/REG_STOCK[[#This Row],[CUBICACION PPTO.]]</f>
        <v>111.62009707464259</v>
      </c>
      <c r="M245" s="3">
        <f>+REG_STOCK[[#This Row],[STOCK FISICO]]/REG_STOCK[[#This Row],[CUBICACION PPTO.]]</f>
        <v>0</v>
      </c>
      <c r="N245" s="3">
        <f>+REG_STOCK[[#This Row],[SOLICITADO A TF]]/REG_STOCK[[#This Row],[CUBICACION PPTO.]]</f>
        <v>111.62009707464259</v>
      </c>
      <c r="O245" s="3">
        <f>IF($V$2-REG_STOCK[[#This Row],[ALCANCE FISICO]]&gt;0,"",($V$2-REG_STOCK[[#This Row],[ALCANCE FISICO]]/REG_STOCK[[#This Row],[CUBICACION PPTO.]]))</f>
        <v>107.65719329241206</v>
      </c>
      <c r="P245" s="3">
        <f>+_xlfn.XLOOKUP(REG_STOCK[[#This Row],[CODIGO]],PRODUCTOS[CODIGO],PRODUCTOS[PRECIO COMPRA UNITARIO],"",0)</f>
        <v>9649.1185596629002</v>
      </c>
      <c r="Q245" s="3">
        <f>IFERROR(REG_STOCK[[#This Row],[VALOR UNITARIO]]*REG_STOCK[[#This Row],[PERDIDA O EN PROCESO]],"")</f>
        <v>1038797.0218790295</v>
      </c>
      <c r="R245" s="3">
        <f>+REG_STOCK[[#This Row],[VALOR UNITARIO]]*REG_STOCK[[#This Row],[STOCK FISICO]]</f>
        <v>0</v>
      </c>
    </row>
    <row r="246" spans="1:18" hidden="1" x14ac:dyDescent="0.25">
      <c r="A246" s="1">
        <v>46230</v>
      </c>
      <c r="B246">
        <v>302028</v>
      </c>
      <c r="C246" t="s">
        <v>512</v>
      </c>
      <c r="D246" t="s">
        <v>20</v>
      </c>
      <c r="F246">
        <v>0</v>
      </c>
      <c r="H246" t="str">
        <f>+_xlfn.XLOOKUP(REG_STOCK[[#This Row],[CODIGO]],PRODUCTOS[CODIGO],PRODUCTOS[DESC CORTA],"",0)</f>
        <v>PINO 2X4X320</v>
      </c>
      <c r="I246" s="76">
        <f>SUMIFS(DETALLE_GD_1[CANTIDAD RECEPCIONADA],DETALLE_GD_1[CODIGO],REG_STOCK[[#This Row],[CODIGO]],DETALLE_GD_1[FECHA SOLICITUD],"&lt;="&amp;REG_STOCK[[#This Row],[FECHA STOCK ]])+97</f>
        <v>10658</v>
      </c>
      <c r="J246">
        <f>+REG_STOCK[[#This Row],[SOLICITADO A TF]]-REG_STOCK[[#This Row],[STOCK FISICO]]</f>
        <v>10658</v>
      </c>
      <c r="K246" s="40">
        <f>+_xlfn.XLOOKUP(REG_STOCK[[#This Row],[CODIGO]],PRODUCTOS[CODIGO],PRODUCTOS[CANT X MODULO],"",0)</f>
        <v>172.72499999999994</v>
      </c>
      <c r="L246" s="3">
        <f>+REG_STOCK[[#This Row],[CONSUMO]]/REG_STOCK[[#This Row],[CUBICACION PPTO.]]</f>
        <v>61.705022434505743</v>
      </c>
      <c r="M246" s="3">
        <f>+REG_STOCK[[#This Row],[STOCK FISICO]]/REG_STOCK[[#This Row],[CUBICACION PPTO.]]</f>
        <v>0</v>
      </c>
      <c r="N246" s="3">
        <f>+REG_STOCK[[#This Row],[SOLICITADO A TF]]/REG_STOCK[[#This Row],[CUBICACION PPTO.]]</f>
        <v>61.705022434505743</v>
      </c>
      <c r="O246" s="3" t="str">
        <f>IF($V$2-REG_STOCK[[#This Row],[ALCANCE FISICO]]&gt;0,"",($V$2-REG_STOCK[[#This Row],[ALCANCE FISICO]]/REG_STOCK[[#This Row],[CUBICACION PPTO.]]))</f>
        <v/>
      </c>
      <c r="P246" s="3">
        <f>+_xlfn.XLOOKUP(REG_STOCK[[#This Row],[CODIGO]],PRODUCTOS[CODIGO],PRODUCTOS[PRECIO COMPRA UNITARIO],"",0)</f>
        <v>4769.5117820983787</v>
      </c>
      <c r="Q246" s="3" t="str">
        <f>IFERROR(REG_STOCK[[#This Row],[VALOR UNITARIO]]*REG_STOCK[[#This Row],[PERDIDA O EN PROCESO]],"")</f>
        <v/>
      </c>
      <c r="R246" s="3">
        <f>+REG_STOCK[[#This Row],[VALOR UNITARIO]]*REG_STOCK[[#This Row],[STOCK FISICO]]</f>
        <v>0</v>
      </c>
    </row>
    <row r="247" spans="1:18" hidden="1" x14ac:dyDescent="0.25">
      <c r="A247" s="1">
        <v>46230</v>
      </c>
      <c r="B247">
        <v>304049</v>
      </c>
      <c r="C247" t="s">
        <v>318</v>
      </c>
      <c r="D247" t="s">
        <v>18</v>
      </c>
      <c r="F247">
        <v>0</v>
      </c>
      <c r="H247" t="str">
        <f>+_xlfn.XLOOKUP(REG_STOCK[[#This Row],[CODIGO]],PRODUCTOS[CODIGO],PRODUCTOS[DESC CORTA],"",0)</f>
        <v>TERCIADO FENOLICO</v>
      </c>
      <c r="I247" s="76">
        <f>SUMIFS(DETALLE_GD_1[CANTIDAD RECEPCIONADA],DETALLE_GD_1[CODIGO],REG_STOCK[[#This Row],[CODIGO]],DETALLE_GD_1[FECHA SOLICITUD],"&lt;="&amp;REG_STOCK[[#This Row],[FECHA STOCK ]])+97</f>
        <v>2737</v>
      </c>
      <c r="J247">
        <f>+REG_STOCK[[#This Row],[SOLICITADO A TF]]-REG_STOCK[[#This Row],[STOCK FISICO]]</f>
        <v>2737</v>
      </c>
      <c r="K247" s="40">
        <f>+_xlfn.XLOOKUP(REG_STOCK[[#This Row],[CODIGO]],PRODUCTOS[CODIGO],PRODUCTOS[CANT X MODULO],"",0)</f>
        <v>23.273250000000008</v>
      </c>
      <c r="L247" s="3">
        <f>+REG_STOCK[[#This Row],[CONSUMO]]/REG_STOCK[[#This Row],[CUBICACION PPTO.]]</f>
        <v>117.6028272802466</v>
      </c>
      <c r="M247" s="3">
        <f>+REG_STOCK[[#This Row],[STOCK FISICO]]/REG_STOCK[[#This Row],[CUBICACION PPTO.]]</f>
        <v>0</v>
      </c>
      <c r="N247" s="3">
        <f>+REG_STOCK[[#This Row],[SOLICITADO A TF]]/REG_STOCK[[#This Row],[CUBICACION PPTO.]]</f>
        <v>117.6028272802466</v>
      </c>
      <c r="O247" s="3">
        <f>IF($V$2-REG_STOCK[[#This Row],[ALCANCE FISICO]]&gt;0,"",($V$2-REG_STOCK[[#This Row],[ALCANCE FISICO]]/REG_STOCK[[#This Row],[CUBICACION PPTO.]]))</f>
        <v>104.94686701340609</v>
      </c>
      <c r="P247" s="3">
        <f>+_xlfn.XLOOKUP(REG_STOCK[[#This Row],[CODIGO]],PRODUCTOS[CODIGO],PRODUCTOS[PRECIO COMPRA UNITARIO],"",0)</f>
        <v>15095.117424242424</v>
      </c>
      <c r="Q247" s="3">
        <f>IFERROR(REG_STOCK[[#This Row],[VALOR UNITARIO]]*REG_STOCK[[#This Row],[PERDIDA O EN PROCESO]],"")</f>
        <v>1584185.2808737187</v>
      </c>
      <c r="R247" s="3">
        <f>+REG_STOCK[[#This Row],[VALOR UNITARIO]]*REG_STOCK[[#This Row],[STOCK FISICO]]</f>
        <v>0</v>
      </c>
    </row>
    <row r="248" spans="1:18" hidden="1" x14ac:dyDescent="0.25">
      <c r="A248" s="1">
        <v>46230</v>
      </c>
      <c r="B248">
        <v>701096</v>
      </c>
      <c r="C248" t="s">
        <v>204</v>
      </c>
      <c r="D248" t="s">
        <v>18</v>
      </c>
      <c r="F248">
        <v>0</v>
      </c>
      <c r="H248" t="str">
        <f>+_xlfn.XLOOKUP(REG_STOCK[[#This Row],[CODIGO]],PRODUCTOS[CODIGO],PRODUCTOS[DESC CORTA],"",0)</f>
        <v>VOCANITA EMPAPELADA MURO</v>
      </c>
      <c r="I248" s="76">
        <f>SUMIFS(DETALLE_GD_1[CANTIDAD RECEPCIONADA],DETALLE_GD_1[CODIGO],REG_STOCK[[#This Row],[CODIGO]],DETALLE_GD_1[FECHA SOLICITUD],"&lt;="&amp;REG_STOCK[[#This Row],[FECHA STOCK ]])+97</f>
        <v>3021</v>
      </c>
      <c r="J248">
        <f>+REG_STOCK[[#This Row],[SOLICITADO A TF]]-REG_STOCK[[#This Row],[STOCK FISICO]]</f>
        <v>3021</v>
      </c>
      <c r="K248" s="40">
        <f>+_xlfn.XLOOKUP(REG_STOCK[[#This Row],[CODIGO]],PRODUCTOS[CODIGO],PRODUCTOS[CANT X MODULO],"",0)</f>
        <v>31.237499999999997</v>
      </c>
      <c r="L248" s="3">
        <f>+REG_STOCK[[#This Row],[CONSUMO]]/REG_STOCK[[#This Row],[CUBICACION PPTO.]]</f>
        <v>96.710684273709489</v>
      </c>
      <c r="M248" s="3">
        <f>+REG_STOCK[[#This Row],[STOCK FISICO]]/REG_STOCK[[#This Row],[CUBICACION PPTO.]]</f>
        <v>0</v>
      </c>
      <c r="N248" s="3">
        <f>+REG_STOCK[[#This Row],[SOLICITADO A TF]]/REG_STOCK[[#This Row],[CUBICACION PPTO.]]</f>
        <v>96.710684273709489</v>
      </c>
      <c r="O248" s="3" t="str">
        <f>IF($V$2-REG_STOCK[[#This Row],[ALCANCE FISICO]]&gt;0,"",($V$2-REG_STOCK[[#This Row],[ALCANCE FISICO]]/REG_STOCK[[#This Row],[CUBICACION PPTO.]]))</f>
        <v/>
      </c>
      <c r="P248" s="3">
        <f>+_xlfn.XLOOKUP(REG_STOCK[[#This Row],[CODIGO]],PRODUCTOS[CODIGO],PRODUCTOS[PRECIO COMPRA UNITARIO],"",0)</f>
        <v>16231.199726402188</v>
      </c>
      <c r="Q248" s="3" t="str">
        <f>IFERROR(REG_STOCK[[#This Row],[VALOR UNITARIO]]*REG_STOCK[[#This Row],[PERDIDA O EN PROCESO]],"")</f>
        <v/>
      </c>
      <c r="R248" s="3">
        <f>+REG_STOCK[[#This Row],[VALOR UNITARIO]]*REG_STOCK[[#This Row],[STOCK FISICO]]</f>
        <v>0</v>
      </c>
    </row>
    <row r="249" spans="1:18" hidden="1" x14ac:dyDescent="0.25">
      <c r="A249" s="1">
        <v>46230</v>
      </c>
      <c r="B249">
        <v>701040</v>
      </c>
      <c r="C249" t="s">
        <v>19</v>
      </c>
      <c r="D249" t="s">
        <v>18</v>
      </c>
      <c r="F249">
        <v>0</v>
      </c>
      <c r="H249" t="str">
        <f>+_xlfn.XLOOKUP(REG_STOCK[[#This Row],[CODIGO]],PRODUCTOS[CODIGO],PRODUCTOS[DESC CORTA],"",0)</f>
        <v>VOLCANITA RF</v>
      </c>
      <c r="I249" s="76">
        <f>SUMIFS(DETALLE_GD_1[CANTIDAD RECEPCIONADA],DETALLE_GD_1[CODIGO],REG_STOCK[[#This Row],[CODIGO]],DETALLE_GD_1[FECHA SOLICITUD],"&lt;="&amp;REG_STOCK[[#This Row],[FECHA STOCK ]])+97</f>
        <v>1232</v>
      </c>
      <c r="J249">
        <f>+REG_STOCK[[#This Row],[SOLICITADO A TF]]-REG_STOCK[[#This Row],[STOCK FISICO]]</f>
        <v>1232</v>
      </c>
      <c r="K249" s="40">
        <f>+_xlfn.XLOOKUP(REG_STOCK[[#This Row],[CODIGO]],PRODUCTOS[CODIGO],PRODUCTOS[CANT X MODULO],"",0)</f>
        <v>4.2840000000000007</v>
      </c>
      <c r="L249" s="3">
        <f>+REG_STOCK[[#This Row],[CONSUMO]]/REG_STOCK[[#This Row],[CUBICACION PPTO.]]</f>
        <v>287.58169934640517</v>
      </c>
      <c r="M249" s="3">
        <f>+REG_STOCK[[#This Row],[STOCK FISICO]]/REG_STOCK[[#This Row],[CUBICACION PPTO.]]</f>
        <v>0</v>
      </c>
      <c r="N249" s="3">
        <f>+REG_STOCK[[#This Row],[SOLICITADO A TF]]/REG_STOCK[[#This Row],[CUBICACION PPTO.]]</f>
        <v>287.58169934640517</v>
      </c>
      <c r="O249" s="3">
        <f>IF($V$2-REG_STOCK[[#This Row],[ALCANCE FISICO]]&gt;0,"",($V$2-REG_STOCK[[#This Row],[ALCANCE FISICO]]/REG_STOCK[[#This Row],[CUBICACION PPTO.]]))</f>
        <v>42.870751786553427</v>
      </c>
      <c r="P249" s="3">
        <f>+_xlfn.XLOOKUP(REG_STOCK[[#This Row],[CODIGO]],PRODUCTOS[CODIGO],PRODUCTOS[PRECIO COMPRA UNITARIO],"",0)</f>
        <v>7627.9022026431721</v>
      </c>
      <c r="Q249" s="3">
        <f>IFERROR(REG_STOCK[[#This Row],[VALOR UNITARIO]]*REG_STOCK[[#This Row],[PERDIDA O EN PROCESO]],"")</f>
        <v>327013.90198161959</v>
      </c>
      <c r="R249" s="3">
        <f>+REG_STOCK[[#This Row],[VALOR UNITARIO]]*REG_STOCK[[#This Row],[STOCK FISICO]]</f>
        <v>0</v>
      </c>
    </row>
    <row r="250" spans="1:18" hidden="1" x14ac:dyDescent="0.25">
      <c r="A250" s="1">
        <v>46230</v>
      </c>
      <c r="B250">
        <v>1902003</v>
      </c>
      <c r="C250" t="s">
        <v>155</v>
      </c>
      <c r="D250" t="s">
        <v>47</v>
      </c>
      <c r="F250">
        <v>0</v>
      </c>
      <c r="H250">
        <f>+_xlfn.XLOOKUP(REG_STOCK[[#This Row],[CODIGO]],PRODUCTOS[CODIGO],PRODUCTOS[DESC CORTA],"",0)</f>
        <v>0</v>
      </c>
      <c r="I250" s="76">
        <f>SUMIFS(DETALLE_GD_1[CANTIDAD RECEPCIONADA],DETALLE_GD_1[CODIGO],REG_STOCK[[#This Row],[CODIGO]],DETALLE_GD_1[FECHA SOLICITUD],"&lt;="&amp;REG_STOCK[[#This Row],[FECHA STOCK ]])+97</f>
        <v>206</v>
      </c>
      <c r="J250">
        <f>+REG_STOCK[[#This Row],[SOLICITADO A TF]]-REG_STOCK[[#This Row],[STOCK FISICO]]</f>
        <v>206</v>
      </c>
      <c r="K250" s="40">
        <f>+_xlfn.XLOOKUP(REG_STOCK[[#This Row],[CODIGO]],PRODUCTOS[CODIGO],PRODUCTOS[CANT X MODULO],"",0)</f>
        <v>0.41466600000000009</v>
      </c>
      <c r="L250" s="3">
        <f>+REG_STOCK[[#This Row],[CONSUMO]]/REG_STOCK[[#This Row],[CUBICACION PPTO.]]</f>
        <v>496.7853646066954</v>
      </c>
      <c r="M250" s="3">
        <f>+REG_STOCK[[#This Row],[STOCK FISICO]]/REG_STOCK[[#This Row],[CUBICACION PPTO.]]</f>
        <v>0</v>
      </c>
      <c r="N250" s="3">
        <f>+REG_STOCK[[#This Row],[SOLICITADO A TF]]/REG_STOCK[[#This Row],[CUBICACION PPTO.]]</f>
        <v>496.7853646066954</v>
      </c>
      <c r="O250" s="3">
        <f>IF($V$2-REG_STOCK[[#This Row],[ALCANCE FISICO]]&gt;0,"",($V$2-REG_STOCK[[#This Row],[ALCANCE FISICO]]/REG_STOCK[[#This Row],[CUBICACION PPTO.]]))</f>
        <v>-1088.0373712980936</v>
      </c>
      <c r="P250" s="3">
        <f>+_xlfn.XLOOKUP(REG_STOCK[[#This Row],[CODIGO]],PRODUCTOS[CODIGO],PRODUCTOS[PRECIO COMPRA UNITARIO],"",0)</f>
        <v>150758.376146789</v>
      </c>
      <c r="Q250" s="3">
        <f>IFERROR(REG_STOCK[[#This Row],[VALOR UNITARIO]]*REG_STOCK[[#This Row],[PERDIDA O EN PROCESO]],"")</f>
        <v>-164030747.28392151</v>
      </c>
      <c r="R250" s="3">
        <f>+REG_STOCK[[#This Row],[VALOR UNITARIO]]*REG_STOCK[[#This Row],[STOCK FISICO]]</f>
        <v>0</v>
      </c>
    </row>
    <row r="251" spans="1:18" hidden="1" x14ac:dyDescent="0.25">
      <c r="A251" s="1">
        <v>46230</v>
      </c>
      <c r="B251" t="s">
        <v>21</v>
      </c>
      <c r="C251" t="s">
        <v>785</v>
      </c>
      <c r="D251" t="s">
        <v>20</v>
      </c>
      <c r="F251">
        <v>0</v>
      </c>
      <c r="H251" t="str">
        <f>+_xlfn.XLOOKUP(REG_STOCK[[#This Row],[CODIGO]],PRODUCTOS[CODIGO],PRODUCTOS[DESC CORTA],"",0)</f>
        <v>PINO 3X8X320</v>
      </c>
      <c r="I251" s="76">
        <f>SUMIFS(DETALLE_GD_1[CANTIDAD RECEPCIONADA],DETALLE_GD_1[CODIGO],REG_STOCK[[#This Row],[CODIGO]],DETALLE_GD_1[FECHA SOLICITUD],"&lt;="&amp;REG_STOCK[[#This Row],[FECHA STOCK ]])+97</f>
        <v>985</v>
      </c>
      <c r="J251">
        <f>+REG_STOCK[[#This Row],[SOLICITADO A TF]]-REG_STOCK[[#This Row],[STOCK FISICO]]</f>
        <v>985</v>
      </c>
      <c r="K251" s="40">
        <f>+_xlfn.XLOOKUP(REG_STOCK[[#This Row],[CODIGO]],PRODUCTOS[CODIGO],PRODUCTOS[CANT X MODULO],"",0)</f>
        <v>6.3000000000000007</v>
      </c>
      <c r="L251" s="3">
        <f>+REG_STOCK[[#This Row],[CONSUMO]]/REG_STOCK[[#This Row],[CUBICACION PPTO.]]</f>
        <v>156.34920634920633</v>
      </c>
      <c r="M251" s="3">
        <f>+REG_STOCK[[#This Row],[STOCK FISICO]]/REG_STOCK[[#This Row],[CUBICACION PPTO.]]</f>
        <v>0</v>
      </c>
      <c r="N251" s="3">
        <f>+REG_STOCK[[#This Row],[SOLICITADO A TF]]/REG_STOCK[[#This Row],[CUBICACION PPTO.]]</f>
        <v>156.34920634920633</v>
      </c>
      <c r="O251" s="3">
        <f>IF($V$2-REG_STOCK[[#This Row],[ALCANCE FISICO]]&gt;0,"",($V$2-REG_STOCK[[#This Row],[ALCANCE FISICO]]/REG_STOCK[[#This Row],[CUBICACION PPTO.]]))</f>
        <v>85.182665658856138</v>
      </c>
      <c r="P251" s="3">
        <f>+_xlfn.XLOOKUP(REG_STOCK[[#This Row],[CODIGO]],PRODUCTOS[CODIGO],PRODUCTOS[PRECIO COMPRA UNITARIO],"",0)</f>
        <v>15443.519144144144</v>
      </c>
      <c r="Q251" s="3">
        <f>IFERROR(REG_STOCK[[#This Row],[VALOR UNITARIO]]*REG_STOCK[[#This Row],[PERDIDA O EN PROCESO]],"")</f>
        <v>1315520.1278517747</v>
      </c>
      <c r="R251" s="3">
        <f>+REG_STOCK[[#This Row],[VALOR UNITARIO]]*REG_STOCK[[#This Row],[STOCK FISICO]]</f>
        <v>0</v>
      </c>
    </row>
    <row r="252" spans="1:18" hidden="1" x14ac:dyDescent="0.25">
      <c r="A252" s="1">
        <v>46230</v>
      </c>
      <c r="B252">
        <v>701084</v>
      </c>
      <c r="C252" t="s">
        <v>38</v>
      </c>
      <c r="D252" t="s">
        <v>18</v>
      </c>
      <c r="F252">
        <v>0</v>
      </c>
      <c r="H252" t="str">
        <f>+_xlfn.XLOOKUP(REG_STOCK[[#This Row],[CODIGO]],PRODUCTOS[CODIGO],PRODUCTOS[DESC CORTA],"",0)</f>
        <v>FIBROCEMENTO BALCON</v>
      </c>
      <c r="I252" s="76">
        <f>SUMIFS(DETALLE_GD_1[CANTIDAD RECEPCIONADA],DETALLE_GD_1[CODIGO],REG_STOCK[[#This Row],[CODIGO]],DETALLE_GD_1[FECHA SOLICITUD],"&lt;="&amp;REG_STOCK[[#This Row],[FECHA STOCK ]])+97</f>
        <v>229</v>
      </c>
      <c r="J252">
        <f>+REG_STOCK[[#This Row],[SOLICITADO A TF]]-REG_STOCK[[#This Row],[STOCK FISICO]]</f>
        <v>229</v>
      </c>
      <c r="K252" s="40">
        <f>+_xlfn.XLOOKUP(REG_STOCK[[#This Row],[CODIGO]],PRODUCTOS[CODIGO],PRODUCTOS[CANT X MODULO],"",0)</f>
        <v>0.69825000000000004</v>
      </c>
      <c r="L252" s="3">
        <f>+REG_STOCK[[#This Row],[CONSUMO]]/REG_STOCK[[#This Row],[CUBICACION PPTO.]]</f>
        <v>327.9627640529896</v>
      </c>
      <c r="M252" s="3">
        <f>+REG_STOCK[[#This Row],[STOCK FISICO]]/REG_STOCK[[#This Row],[CUBICACION PPTO.]]</f>
        <v>0</v>
      </c>
      <c r="N252" s="3">
        <f>+REG_STOCK[[#This Row],[SOLICITADO A TF]]/REG_STOCK[[#This Row],[CUBICACION PPTO.]]</f>
        <v>327.9627640529896</v>
      </c>
      <c r="O252" s="3">
        <f>IF($V$2-REG_STOCK[[#This Row],[ALCANCE FISICO]]&gt;0,"",($V$2-REG_STOCK[[#This Row],[ALCANCE FISICO]]/REG_STOCK[[#This Row],[CUBICACION PPTO.]]))</f>
        <v>-359.69246552522674</v>
      </c>
      <c r="P252" s="3">
        <f>+_xlfn.XLOOKUP(REG_STOCK[[#This Row],[CODIGO]],PRODUCTOS[CODIGO],PRODUCTOS[PRECIO COMPRA UNITARIO],"",0)</f>
        <v>39468.96212121212</v>
      </c>
      <c r="Q252" s="3">
        <f>IFERROR(REG_STOCK[[#This Row],[VALOR UNITARIO]]*REG_STOCK[[#This Row],[PERDIDA O EN PROCESO]],"")</f>
        <v>-14196688.29710057</v>
      </c>
      <c r="R252" s="3">
        <f>+REG_STOCK[[#This Row],[VALOR UNITARIO]]*REG_STOCK[[#This Row],[STOCK FISICO]]</f>
        <v>0</v>
      </c>
    </row>
    <row r="253" spans="1:18" hidden="1" x14ac:dyDescent="0.25">
      <c r="A253" s="1">
        <v>46230</v>
      </c>
      <c r="B253">
        <v>5309018</v>
      </c>
      <c r="C253" t="s">
        <v>112</v>
      </c>
      <c r="D253" t="s">
        <v>26</v>
      </c>
      <c r="F253">
        <v>0</v>
      </c>
      <c r="H253">
        <f>+_xlfn.XLOOKUP(REG_STOCK[[#This Row],[CODIGO]],PRODUCTOS[CODIGO],PRODUCTOS[DESC CORTA],"",0)</f>
        <v>0</v>
      </c>
      <c r="I253" s="76">
        <f>SUMIFS(DETALLE_GD_1[CANTIDAD RECEPCIONADA],DETALLE_GD_1[CODIGO],REG_STOCK[[#This Row],[CODIGO]],DETALLE_GD_1[FECHA SOLICITUD],"&lt;="&amp;REG_STOCK[[#This Row],[FECHA STOCK ]])+97</f>
        <v>3797</v>
      </c>
      <c r="J253">
        <f>+REG_STOCK[[#This Row],[SOLICITADO A TF]]-REG_STOCK[[#This Row],[STOCK FISICO]]</f>
        <v>3797</v>
      </c>
      <c r="K253" s="40">
        <f>+_xlfn.XLOOKUP(REG_STOCK[[#This Row],[CODIGO]],PRODUCTOS[CODIGO],PRODUCTOS[CANT X MODULO],"",0)</f>
        <v>34.649999999999991</v>
      </c>
      <c r="L253" s="3">
        <f>+REG_STOCK[[#This Row],[CONSUMO]]/REG_STOCK[[#This Row],[CUBICACION PPTO.]]</f>
        <v>109.58152958152961</v>
      </c>
      <c r="M253" s="3">
        <f>+REG_STOCK[[#This Row],[STOCK FISICO]]/REG_STOCK[[#This Row],[CUBICACION PPTO.]]</f>
        <v>0</v>
      </c>
      <c r="N253" s="3">
        <f>+REG_STOCK[[#This Row],[SOLICITADO A TF]]/REG_STOCK[[#This Row],[CUBICACION PPTO.]]</f>
        <v>109.58152958152961</v>
      </c>
      <c r="O253" s="3" t="str">
        <f>IF($V$2-REG_STOCK[[#This Row],[ALCANCE FISICO]]&gt;0,"",($V$2-REG_STOCK[[#This Row],[ALCANCE FISICO]]/REG_STOCK[[#This Row],[CUBICACION PPTO.]]))</f>
        <v/>
      </c>
      <c r="P253" s="3">
        <f>+_xlfn.XLOOKUP(REG_STOCK[[#This Row],[CODIGO]],PRODUCTOS[CODIGO],PRODUCTOS[PRECIO COMPRA UNITARIO],"",0)</f>
        <v>707.86891891891889</v>
      </c>
      <c r="Q253" s="3" t="str">
        <f>IFERROR(REG_STOCK[[#This Row],[VALOR UNITARIO]]*REG_STOCK[[#This Row],[PERDIDA O EN PROCESO]],"")</f>
        <v/>
      </c>
      <c r="R253" s="3">
        <f>+REG_STOCK[[#This Row],[VALOR UNITARIO]]*REG_STOCK[[#This Row],[STOCK FISICO]]</f>
        <v>0</v>
      </c>
    </row>
    <row r="254" spans="1:18" hidden="1" x14ac:dyDescent="0.25">
      <c r="A254" s="1">
        <v>46230</v>
      </c>
      <c r="B254">
        <v>1902014</v>
      </c>
      <c r="C254" t="s">
        <v>316</v>
      </c>
      <c r="D254" t="s">
        <v>18</v>
      </c>
      <c r="F254">
        <v>0</v>
      </c>
      <c r="H254" t="str">
        <f>+_xlfn.XLOOKUP(REG_STOCK[[#This Row],[CODIGO]],PRODUCTOS[CODIGO],PRODUCTOS[DESC CORTA],"",0)</f>
        <v>VOLCOGLASS</v>
      </c>
      <c r="I254" s="76">
        <f>SUMIFS(DETALLE_GD_1[CANTIDAD RECEPCIONADA],DETALLE_GD_1[CODIGO],REG_STOCK[[#This Row],[CODIGO]],DETALLE_GD_1[FECHA SOLICITUD],"&lt;="&amp;REG_STOCK[[#This Row],[FECHA STOCK ]])+97</f>
        <v>617</v>
      </c>
      <c r="J254">
        <f>+REG_STOCK[[#This Row],[SOLICITADO A TF]]-REG_STOCK[[#This Row],[STOCK FISICO]]</f>
        <v>617</v>
      </c>
      <c r="K254" s="40">
        <f>+_xlfn.XLOOKUP(REG_STOCK[[#This Row],[CODIGO]],PRODUCTOS[CODIGO],PRODUCTOS[CANT X MODULO],"",0)</f>
        <v>5.5125000000000002</v>
      </c>
      <c r="L254" s="3">
        <f>+REG_STOCK[[#This Row],[CONSUMO]]/REG_STOCK[[#This Row],[CUBICACION PPTO.]]</f>
        <v>111.92743764172336</v>
      </c>
      <c r="M254" s="3">
        <f>+REG_STOCK[[#This Row],[STOCK FISICO]]/REG_STOCK[[#This Row],[CUBICACION PPTO.]]</f>
        <v>0</v>
      </c>
      <c r="N254" s="3">
        <f>+REG_STOCK[[#This Row],[SOLICITADO A TF]]/REG_STOCK[[#This Row],[CUBICACION PPTO.]]</f>
        <v>111.92743764172336</v>
      </c>
      <c r="O254" s="3">
        <f>IF($V$2-REG_STOCK[[#This Row],[ALCANCE FISICO]]&gt;0,"",($V$2-REG_STOCK[[#This Row],[ALCANCE FISICO]]/REG_STOCK[[#This Row],[CUBICACION PPTO.]]))</f>
        <v>89.695702922136348</v>
      </c>
      <c r="P254" s="3">
        <f>+_xlfn.XLOOKUP(REG_STOCK[[#This Row],[CODIGO]],PRODUCTOS[CODIGO],PRODUCTOS[PRECIO COMPRA UNITARIO],"",0)</f>
        <v>29799.757692307692</v>
      </c>
      <c r="Q254" s="3">
        <f>IFERROR(REG_STOCK[[#This Row],[VALOR UNITARIO]]*REG_STOCK[[#This Row],[PERDIDA O EN PROCESO]],"")</f>
        <v>2672910.2131208782</v>
      </c>
      <c r="R254" s="3">
        <f>+REG_STOCK[[#This Row],[VALOR UNITARIO]]*REG_STOCK[[#This Row],[STOCK FISICO]]</f>
        <v>0</v>
      </c>
    </row>
    <row r="255" spans="1:18" hidden="1" x14ac:dyDescent="0.25">
      <c r="A255" s="1">
        <v>46230</v>
      </c>
      <c r="B255">
        <v>302054</v>
      </c>
      <c r="C255" t="s">
        <v>356</v>
      </c>
      <c r="D255" t="s">
        <v>20</v>
      </c>
      <c r="H255">
        <f>+_xlfn.XLOOKUP(REG_STOCK[[#This Row],[CODIGO]],PRODUCTOS[CODIGO],PRODUCTOS[DESC CORTA],"",0)</f>
        <v>0</v>
      </c>
      <c r="I255" s="76">
        <f>SUMIFS(DETALLE_GD_1[CANTIDAD RECEPCIONADA],DETALLE_GD_1[CODIGO],REG_STOCK[[#This Row],[CODIGO]],DETALLE_GD_1[FECHA SOLICITUD],"&lt;="&amp;REG_STOCK[[#This Row],[FECHA STOCK ]])+97</f>
        <v>17905</v>
      </c>
      <c r="J255">
        <f>+REG_STOCK[[#This Row],[SOLICITADO A TF]]-REG_STOCK[[#This Row],[STOCK FISICO]]</f>
        <v>17905</v>
      </c>
      <c r="K255" s="40">
        <f>+_xlfn.XLOOKUP(REG_STOCK[[#This Row],[CODIGO]],PRODUCTOS[CODIGO],PRODUCTOS[CANT X MODULO],"",0)</f>
        <v>34.543750000000003</v>
      </c>
      <c r="L255" s="3">
        <f>+REG_STOCK[[#This Row],[CONSUMO]]/REG_STOCK[[#This Row],[CUBICACION PPTO.]]</f>
        <v>518.32820698389719</v>
      </c>
      <c r="M255" s="3">
        <f>+REG_STOCK[[#This Row],[STOCK FISICO]]/REG_STOCK[[#This Row],[CUBICACION PPTO.]]</f>
        <v>0</v>
      </c>
      <c r="N255" s="3">
        <f>+REG_STOCK[[#This Row],[SOLICITADO A TF]]/REG_STOCK[[#This Row],[CUBICACION PPTO.]]</f>
        <v>518.32820698389719</v>
      </c>
      <c r="O255" s="3">
        <f>IF($V$2-REG_STOCK[[#This Row],[ALCANCE FISICO]]&gt;0,"",($V$2-REG_STOCK[[#This Row],[ALCANCE FISICO]]/REG_STOCK[[#This Row],[CUBICACION PPTO.]]))</f>
        <v>94.995022052212136</v>
      </c>
      <c r="P255" s="3">
        <f>+_xlfn.XLOOKUP(REG_STOCK[[#This Row],[CODIGO]],PRODUCTOS[CODIGO],PRODUCTOS[PRECIO COMPRA UNITARIO],"",0)</f>
        <v>4843.5655884995504</v>
      </c>
      <c r="Q255" s="3">
        <f>IFERROR(REG_STOCK[[#This Row],[VALOR UNITARIO]]*REG_STOCK[[#This Row],[PERDIDA O EN PROCESO]],"")</f>
        <v>460114.61989085062</v>
      </c>
      <c r="R255" s="3">
        <f>+REG_STOCK[[#This Row],[VALOR UNITARIO]]*REG_STOCK[[#This Row],[STOCK FISICO]]</f>
        <v>0</v>
      </c>
    </row>
    <row r="256" spans="1:18" hidden="1" x14ac:dyDescent="0.25">
      <c r="A256" s="1">
        <v>46230</v>
      </c>
      <c r="B256">
        <v>302048</v>
      </c>
      <c r="C256" t="s">
        <v>126</v>
      </c>
      <c r="D256" t="s">
        <v>20</v>
      </c>
      <c r="F256">
        <v>0</v>
      </c>
      <c r="H256" t="str">
        <f>+_xlfn.XLOOKUP(REG_STOCK[[#This Row],[CODIGO]],PRODUCTOS[CODIGO],PRODUCTOS[DESC CORTA],"",0)</f>
        <v>PINO 2X8X4</v>
      </c>
      <c r="I256" s="76">
        <f>SUMIFS(DETALLE_GD_1[CANTIDAD RECEPCIONADA],DETALLE_GD_1[CODIGO],REG_STOCK[[#This Row],[CODIGO]],DETALLE_GD_1[FECHA SOLICITUD],"&lt;="&amp;REG_STOCK[[#This Row],[FECHA STOCK ]])+97</f>
        <v>3019</v>
      </c>
      <c r="J256">
        <f>+REG_STOCK[[#This Row],[SOLICITADO A TF]]-REG_STOCK[[#This Row],[STOCK FISICO]]</f>
        <v>3019</v>
      </c>
      <c r="K256" s="40">
        <f>+_xlfn.XLOOKUP(REG_STOCK[[#This Row],[CODIGO]],PRODUCTOS[CODIGO],PRODUCTOS[CANT X MODULO],"",0)</f>
        <v>35.174999999999997</v>
      </c>
      <c r="L256" s="3">
        <f>+REG_STOCK[[#This Row],[CONSUMO]]/REG_STOCK[[#This Row],[CUBICACION PPTO.]]</f>
        <v>85.828002842928228</v>
      </c>
      <c r="M256" s="3">
        <f>+REG_STOCK[[#This Row],[STOCK FISICO]]/REG_STOCK[[#This Row],[CUBICACION PPTO.]]</f>
        <v>0</v>
      </c>
      <c r="N256" s="3">
        <f>+REG_STOCK[[#This Row],[SOLICITADO A TF]]/REG_STOCK[[#This Row],[CUBICACION PPTO.]]</f>
        <v>85.828002842928228</v>
      </c>
      <c r="O256" s="3" t="str">
        <f>IF($V$2-REG_STOCK[[#This Row],[ALCANCE FISICO]]&gt;0,"",($V$2-REG_STOCK[[#This Row],[ALCANCE FISICO]]/REG_STOCK[[#This Row],[CUBICACION PPTO.]]))</f>
        <v/>
      </c>
      <c r="P256" s="3">
        <f>+_xlfn.XLOOKUP(REG_STOCK[[#This Row],[CODIGO]],PRODUCTOS[CODIGO],PRODUCTOS[PRECIO COMPRA UNITARIO],"",0)</f>
        <v>13769.264887063655</v>
      </c>
      <c r="Q256" s="3" t="str">
        <f>IFERROR(REG_STOCK[[#This Row],[VALOR UNITARIO]]*REG_STOCK[[#This Row],[PERDIDA O EN PROCESO]],"")</f>
        <v/>
      </c>
      <c r="R256" s="3">
        <f>+REG_STOCK[[#This Row],[VALOR UNITARIO]]*REG_STOCK[[#This Row],[STOCK FISICO]]</f>
        <v>0</v>
      </c>
    </row>
    <row r="257" spans="1:18" hidden="1" x14ac:dyDescent="0.25">
      <c r="A257" s="1">
        <v>46230</v>
      </c>
      <c r="B257">
        <v>705028</v>
      </c>
      <c r="C257" t="s">
        <v>72</v>
      </c>
      <c r="D257" t="s">
        <v>18</v>
      </c>
      <c r="H257" t="str">
        <f>+_xlfn.XLOOKUP(REG_STOCK[[#This Row],[CODIGO]],PRODUCTOS[CODIGO],PRODUCTOS[DESC CORTA],"",0)</f>
        <v>SIMPLISIMA</v>
      </c>
      <c r="I257" s="76">
        <f>SUMIFS(DETALLE_GD_1[CANTIDAD RECEPCIONADA],DETALLE_GD_1[CODIGO],REG_STOCK[[#This Row],[CODIGO]],DETALLE_GD_1[FECHA SOLICITUD],"&lt;="&amp;REG_STOCK[[#This Row],[FECHA STOCK ]])+97</f>
        <v>546</v>
      </c>
      <c r="J257">
        <f>+REG_STOCK[[#This Row],[SOLICITADO A TF]]-REG_STOCK[[#This Row],[STOCK FISICO]]</f>
        <v>546</v>
      </c>
      <c r="K257" s="40">
        <f>+_xlfn.XLOOKUP(REG_STOCK[[#This Row],[CODIGO]],PRODUCTOS[CODIGO],PRODUCTOS[CANT X MODULO],"",0)</f>
        <v>3.6749999999999998</v>
      </c>
      <c r="L257" s="3">
        <f>+REG_STOCK[[#This Row],[CONSUMO]]/REG_STOCK[[#This Row],[CUBICACION PPTO.]]</f>
        <v>148.57142857142858</v>
      </c>
      <c r="M257" s="3">
        <f>+REG_STOCK[[#This Row],[STOCK FISICO]]/REG_STOCK[[#This Row],[CUBICACION PPTO.]]</f>
        <v>0</v>
      </c>
      <c r="N257" s="3">
        <f>+REG_STOCK[[#This Row],[SOLICITADO A TF]]/REG_STOCK[[#This Row],[CUBICACION PPTO.]]</f>
        <v>148.57142857142858</v>
      </c>
      <c r="O257" s="3">
        <f>IF($V$2-REG_STOCK[[#This Row],[ALCANCE FISICO]]&gt;0,"",($V$2-REG_STOCK[[#This Row],[ALCANCE FISICO]]/REG_STOCK[[#This Row],[CUBICACION PPTO.]]))</f>
        <v>69.572400388726919</v>
      </c>
      <c r="P257" s="3">
        <f>+_xlfn.XLOOKUP(REG_STOCK[[#This Row],[CODIGO]],PRODUCTOS[CODIGO],PRODUCTOS[PRECIO COMPRA UNITARIO],"",0)</f>
        <v>22787.11135857461</v>
      </c>
      <c r="Q257" s="3">
        <f>IFERROR(REG_STOCK[[#This Row],[VALOR UNITARIO]]*REG_STOCK[[#This Row],[PERDIDA O EN PROCESO]],"")</f>
        <v>1585354.0351412597</v>
      </c>
      <c r="R257" s="3">
        <f>+REG_STOCK[[#This Row],[VALOR UNITARIO]]*REG_STOCK[[#This Row],[STOCK FISICO]]</f>
        <v>0</v>
      </c>
    </row>
    <row r="258" spans="1:18" hidden="1" x14ac:dyDescent="0.25">
      <c r="A258" s="1">
        <v>46230</v>
      </c>
      <c r="B258">
        <v>1902013</v>
      </c>
      <c r="C258" t="s">
        <v>338</v>
      </c>
      <c r="D258" t="s">
        <v>47</v>
      </c>
      <c r="F258">
        <v>0</v>
      </c>
      <c r="H258">
        <f>+_xlfn.XLOOKUP(REG_STOCK[[#This Row],[CODIGO]],PRODUCTOS[CODIGO],PRODUCTOS[DESC CORTA],"",0)</f>
        <v>0</v>
      </c>
      <c r="I258" s="76">
        <f>SUMIFS(DETALLE_GD_1[CANTIDAD RECEPCIONADA],DETALLE_GD_1[CODIGO],REG_STOCK[[#This Row],[CODIGO]],DETALLE_GD_1[FECHA SOLICITUD],"&lt;="&amp;REG_STOCK[[#This Row],[FECHA STOCK ]])+97</f>
        <v>470</v>
      </c>
      <c r="J258">
        <f>+REG_STOCK[[#This Row],[SOLICITADO A TF]]-REG_STOCK[[#This Row],[STOCK FISICO]]</f>
        <v>470</v>
      </c>
      <c r="K258" s="40">
        <f>+_xlfn.XLOOKUP(REG_STOCK[[#This Row],[CODIGO]],PRODUCTOS[CODIGO],PRODUCTOS[CANT X MODULO],"",0)</f>
        <v>130.33466250000004</v>
      </c>
      <c r="L258" s="3">
        <f>+REG_STOCK[[#This Row],[CONSUMO]]/REG_STOCK[[#This Row],[CUBICACION PPTO.]]</f>
        <v>3.6061013316392319</v>
      </c>
      <c r="M258" s="3">
        <f>+REG_STOCK[[#This Row],[STOCK FISICO]]/REG_STOCK[[#This Row],[CUBICACION PPTO.]]</f>
        <v>0</v>
      </c>
      <c r="N258" s="3">
        <f>+REG_STOCK[[#This Row],[SOLICITADO A TF]]/REG_STOCK[[#This Row],[CUBICACION PPTO.]]</f>
        <v>3.6061013316392319</v>
      </c>
      <c r="O258" s="3" t="str">
        <f>IF($V$2-REG_STOCK[[#This Row],[ALCANCE FISICO]]&gt;0,"",($V$2-REG_STOCK[[#This Row],[ALCANCE FISICO]]/REG_STOCK[[#This Row],[CUBICACION PPTO.]]))</f>
        <v/>
      </c>
      <c r="P258" s="3">
        <f>+_xlfn.XLOOKUP(REG_STOCK[[#This Row],[CODIGO]],PRODUCTOS[CODIGO],PRODUCTOS[PRECIO COMPRA UNITARIO],"",0)</f>
        <v>40087.627345844507</v>
      </c>
      <c r="Q258" s="3" t="str">
        <f>IFERROR(REG_STOCK[[#This Row],[VALOR UNITARIO]]*REG_STOCK[[#This Row],[PERDIDA O EN PROCESO]],"")</f>
        <v/>
      </c>
      <c r="R258" s="3">
        <f>+REG_STOCK[[#This Row],[VALOR UNITARIO]]*REG_STOCK[[#This Row],[STOCK FISICO]]</f>
        <v>0</v>
      </c>
    </row>
    <row r="259" spans="1:18" x14ac:dyDescent="0.25">
      <c r="A259" s="1"/>
      <c r="K259" s="3"/>
      <c r="O259" s="3"/>
      <c r="P259" s="3"/>
      <c r="Q259" s="3"/>
      <c r="R259" s="3"/>
    </row>
    <row r="260" spans="1:18" x14ac:dyDescent="0.25">
      <c r="A260" s="1"/>
      <c r="K260" s="3"/>
      <c r="O260" s="3"/>
      <c r="P260" s="3"/>
      <c r="Q260" s="3"/>
      <c r="R260" s="3"/>
    </row>
    <row r="261" spans="1:18" x14ac:dyDescent="0.25">
      <c r="A261" s="1"/>
      <c r="K261" s="3"/>
      <c r="O261" s="3"/>
      <c r="P261" s="3"/>
      <c r="Q261" s="3"/>
      <c r="R261" s="3"/>
    </row>
    <row r="262" spans="1:18" x14ac:dyDescent="0.25">
      <c r="A262" s="1"/>
      <c r="K262" s="3"/>
      <c r="O262" s="3"/>
      <c r="P262" s="3"/>
      <c r="Q262" s="3"/>
      <c r="R262" s="3"/>
    </row>
    <row r="263" spans="1:18" x14ac:dyDescent="0.25">
      <c r="A263" s="1"/>
      <c r="K263" s="3">
        <f>+I30/K30</f>
        <v>75.209235209235217</v>
      </c>
      <c r="O263" s="3"/>
      <c r="P263" s="3"/>
      <c r="Q263" s="3"/>
      <c r="R263" s="3"/>
    </row>
    <row r="264" spans="1:18" x14ac:dyDescent="0.25">
      <c r="A264" s="1"/>
      <c r="K264" s="3"/>
      <c r="O264" s="3"/>
      <c r="P264" s="3"/>
      <c r="Q264" s="3"/>
      <c r="R264" s="3"/>
    </row>
    <row r="265" spans="1:18" x14ac:dyDescent="0.25">
      <c r="A265" s="1"/>
      <c r="K265" s="3"/>
      <c r="O265" s="3"/>
      <c r="P265" s="3"/>
      <c r="Q265" s="3"/>
      <c r="R265" s="3"/>
    </row>
    <row r="266" spans="1:18" x14ac:dyDescent="0.25">
      <c r="A266" s="1"/>
      <c r="K266" s="3"/>
      <c r="O266" s="3"/>
      <c r="P266" s="3"/>
      <c r="Q266" s="3"/>
      <c r="R266" s="3"/>
    </row>
    <row r="268" spans="1:18" x14ac:dyDescent="0.25">
      <c r="K268">
        <v>684</v>
      </c>
      <c r="L268" s="3">
        <v>252</v>
      </c>
      <c r="Q268" s="14"/>
      <c r="R268" s="14"/>
    </row>
    <row r="269" spans="1:18" x14ac:dyDescent="0.25">
      <c r="L269" s="3">
        <v>16</v>
      </c>
    </row>
    <row r="270" spans="1:18" x14ac:dyDescent="0.25">
      <c r="L270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486"/>
  <sheetViews>
    <sheetView topLeftCell="G2373" workbookViewId="0">
      <selection activeCell="R2401" sqref="R2401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bestFit="1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3.42578125" bestFit="1" customWidth="1"/>
    <col min="23" max="23" width="6.140625" bestFit="1" customWidth="1"/>
    <col min="24" max="24" width="16.42578125" style="38" bestFit="1" customWidth="1"/>
    <col min="25" max="25" width="21" style="38" bestFit="1" customWidth="1"/>
    <col min="26" max="26" width="13" style="38" bestFit="1" customWidth="1"/>
    <col min="27" max="27" width="24.42578125" bestFit="1" customWidth="1"/>
    <col min="28" max="28" width="33.85546875" bestFit="1" customWidth="1"/>
    <col min="29" max="29" width="19.85546875" bestFit="1" customWidth="1"/>
    <col min="30" max="30" width="23.710937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776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752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2007</v>
      </c>
      <c r="V1" t="s">
        <v>13</v>
      </c>
      <c r="W1" t="s">
        <v>14</v>
      </c>
      <c r="X1" t="s">
        <v>415</v>
      </c>
      <c r="Y1" t="s">
        <v>751</v>
      </c>
      <c r="Z1" s="38" t="s">
        <v>755</v>
      </c>
      <c r="AA1" s="4" t="s">
        <v>397</v>
      </c>
      <c r="AB1" t="s">
        <v>413</v>
      </c>
      <c r="AC1" t="s">
        <v>416</v>
      </c>
      <c r="AD1" s="3" t="s">
        <v>698</v>
      </c>
      <c r="AE1" t="s">
        <v>713</v>
      </c>
      <c r="AF1"/>
      <c r="AI1"/>
    </row>
    <row r="2" spans="1:35" hidden="1" x14ac:dyDescent="0.25">
      <c r="A2" s="1">
        <v>45944</v>
      </c>
      <c r="B2" s="1">
        <v>45944</v>
      </c>
      <c r="C2" t="s">
        <v>15</v>
      </c>
      <c r="D2" s="38">
        <v>10</v>
      </c>
      <c r="E2" t="s">
        <v>16</v>
      </c>
      <c r="F2">
        <v>304101</v>
      </c>
      <c r="G2" t="s">
        <v>17</v>
      </c>
      <c r="H2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4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hidden="1" x14ac:dyDescent="0.25">
      <c r="A3" s="1">
        <v>45944</v>
      </c>
      <c r="B3" s="1">
        <v>45944</v>
      </c>
      <c r="C3" t="s">
        <v>15</v>
      </c>
      <c r="D3" s="38">
        <v>10</v>
      </c>
      <c r="E3" t="s">
        <v>16</v>
      </c>
      <c r="F3">
        <v>701040</v>
      </c>
      <c r="G3" t="s">
        <v>19</v>
      </c>
      <c r="H3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4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hidden="1" x14ac:dyDescent="0.25">
      <c r="A4" s="1">
        <v>45944</v>
      </c>
      <c r="B4" s="1">
        <v>45944</v>
      </c>
      <c r="C4" t="s">
        <v>15</v>
      </c>
      <c r="D4" s="38">
        <v>10</v>
      </c>
      <c r="E4" t="s">
        <v>16</v>
      </c>
      <c r="F4">
        <v>302044</v>
      </c>
      <c r="G4" t="s">
        <v>247</v>
      </c>
      <c r="H4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4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hidden="1" x14ac:dyDescent="0.25">
      <c r="A5" s="1">
        <v>45944</v>
      </c>
      <c r="B5" s="1">
        <v>45944</v>
      </c>
      <c r="C5" t="s">
        <v>15</v>
      </c>
      <c r="D5" s="38">
        <v>10</v>
      </c>
      <c r="E5" t="s">
        <v>16</v>
      </c>
      <c r="F5" t="s">
        <v>21</v>
      </c>
      <c r="G5" t="s">
        <v>22</v>
      </c>
      <c r="H5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4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hidden="1" x14ac:dyDescent="0.25">
      <c r="A6" s="1">
        <v>45944</v>
      </c>
      <c r="B6" s="1">
        <v>45944</v>
      </c>
      <c r="C6" t="s">
        <v>15</v>
      </c>
      <c r="D6" s="38">
        <v>10</v>
      </c>
      <c r="E6" t="s">
        <v>16</v>
      </c>
      <c r="F6">
        <v>304014</v>
      </c>
      <c r="G6" t="s">
        <v>23</v>
      </c>
      <c r="H6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4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hidden="1" x14ac:dyDescent="0.25">
      <c r="A7" s="1">
        <v>45944</v>
      </c>
      <c r="B7" s="1">
        <v>45944</v>
      </c>
      <c r="C7" t="s">
        <v>15</v>
      </c>
      <c r="D7" s="38">
        <v>10</v>
      </c>
      <c r="E7" t="s">
        <v>16</v>
      </c>
      <c r="F7">
        <v>2302098</v>
      </c>
      <c r="G7" t="s">
        <v>24</v>
      </c>
      <c r="H7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4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hidden="1" x14ac:dyDescent="0.25">
      <c r="A8" s="1">
        <v>45944</v>
      </c>
      <c r="B8" s="1">
        <v>45944</v>
      </c>
      <c r="C8" t="s">
        <v>15</v>
      </c>
      <c r="D8" s="38">
        <v>10</v>
      </c>
      <c r="E8" t="s">
        <v>16</v>
      </c>
      <c r="F8">
        <v>1901008</v>
      </c>
      <c r="G8" t="s">
        <v>278</v>
      </c>
      <c r="H8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4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hidden="1" x14ac:dyDescent="0.25">
      <c r="A9" s="1">
        <v>45944</v>
      </c>
      <c r="B9" s="1">
        <v>45944</v>
      </c>
      <c r="C9" t="s">
        <v>15</v>
      </c>
      <c r="D9" s="38">
        <v>10</v>
      </c>
      <c r="E9" t="s">
        <v>16</v>
      </c>
      <c r="F9">
        <v>1901505</v>
      </c>
      <c r="G9" t="s">
        <v>27</v>
      </c>
      <c r="H9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4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hidden="1" x14ac:dyDescent="0.25">
      <c r="A10" s="1">
        <v>45944</v>
      </c>
      <c r="B10" s="1">
        <v>45944</v>
      </c>
      <c r="C10" t="s">
        <v>15</v>
      </c>
      <c r="D10" s="38">
        <v>10</v>
      </c>
      <c r="E10" t="s">
        <v>29</v>
      </c>
      <c r="F10">
        <v>407011</v>
      </c>
      <c r="G10" t="s">
        <v>30</v>
      </c>
      <c r="H10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4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hidden="1" x14ac:dyDescent="0.25">
      <c r="A11" s="1">
        <v>45944</v>
      </c>
      <c r="B11" s="1">
        <v>45944</v>
      </c>
      <c r="C11" t="s">
        <v>15</v>
      </c>
      <c r="D11" s="38">
        <v>10</v>
      </c>
      <c r="E11" t="s">
        <v>29</v>
      </c>
      <c r="F11">
        <v>407117</v>
      </c>
      <c r="G11" t="s">
        <v>32</v>
      </c>
      <c r="H1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4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hidden="1" x14ac:dyDescent="0.25">
      <c r="A12" s="1">
        <v>45944</v>
      </c>
      <c r="B12" s="1">
        <v>45944</v>
      </c>
      <c r="C12" t="s">
        <v>15</v>
      </c>
      <c r="D12" s="38">
        <v>10</v>
      </c>
      <c r="E12" t="s">
        <v>29</v>
      </c>
      <c r="F12">
        <v>412249</v>
      </c>
      <c r="G12" t="s">
        <v>33</v>
      </c>
      <c r="H12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4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hidden="1" x14ac:dyDescent="0.25">
      <c r="A13" s="1">
        <v>45944</v>
      </c>
      <c r="B13" s="1">
        <v>45944</v>
      </c>
      <c r="C13" t="s">
        <v>15</v>
      </c>
      <c r="D13" s="38">
        <v>10</v>
      </c>
      <c r="E13" t="s">
        <v>29</v>
      </c>
      <c r="F13" t="s">
        <v>34</v>
      </c>
      <c r="G13" t="s">
        <v>35</v>
      </c>
      <c r="H13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4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hidden="1" x14ac:dyDescent="0.25">
      <c r="A14" s="1">
        <v>45965</v>
      </c>
      <c r="B14" s="1">
        <v>45965</v>
      </c>
      <c r="C14" t="s">
        <v>15</v>
      </c>
      <c r="D14" s="38">
        <v>11</v>
      </c>
      <c r="E14" t="s">
        <v>16</v>
      </c>
      <c r="F14">
        <v>304002</v>
      </c>
      <c r="G14" t="s">
        <v>37</v>
      </c>
      <c r="H14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4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hidden="1" x14ac:dyDescent="0.25">
      <c r="A15" s="1">
        <v>45965</v>
      </c>
      <c r="B15" s="1">
        <v>45965</v>
      </c>
      <c r="C15" t="s">
        <v>15</v>
      </c>
      <c r="D15" s="38">
        <v>11</v>
      </c>
      <c r="E15" t="s">
        <v>16</v>
      </c>
      <c r="F15">
        <v>701084</v>
      </c>
      <c r="G15" t="s">
        <v>38</v>
      </c>
      <c r="H15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4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hidden="1" x14ac:dyDescent="0.25">
      <c r="A16" s="1">
        <v>45965</v>
      </c>
      <c r="B16" s="1">
        <v>45965</v>
      </c>
      <c r="C16" t="s">
        <v>15</v>
      </c>
      <c r="D16" s="38">
        <v>11</v>
      </c>
      <c r="E16" t="s">
        <v>16</v>
      </c>
      <c r="F16">
        <v>1901008</v>
      </c>
      <c r="G16" t="s">
        <v>278</v>
      </c>
      <c r="H16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4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hidden="1" x14ac:dyDescent="0.25">
      <c r="A17" s="1">
        <v>45965</v>
      </c>
      <c r="B17" s="1">
        <v>45965</v>
      </c>
      <c r="C17" t="s">
        <v>15</v>
      </c>
      <c r="D17" s="38">
        <v>11</v>
      </c>
      <c r="E17" t="s">
        <v>16</v>
      </c>
      <c r="F17">
        <v>1901038</v>
      </c>
      <c r="G17" t="s">
        <v>39</v>
      </c>
      <c r="H17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4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hidden="1" x14ac:dyDescent="0.25">
      <c r="A18" s="1">
        <v>45965</v>
      </c>
      <c r="B18" s="1">
        <v>45965</v>
      </c>
      <c r="C18" t="s">
        <v>15</v>
      </c>
      <c r="D18" s="38">
        <v>11</v>
      </c>
      <c r="E18" t="s">
        <v>16</v>
      </c>
      <c r="F18">
        <v>701040</v>
      </c>
      <c r="G18" t="s">
        <v>19</v>
      </c>
      <c r="H18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4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hidden="1" x14ac:dyDescent="0.25">
      <c r="A19" s="1">
        <v>45965</v>
      </c>
      <c r="B19" s="1">
        <v>45965</v>
      </c>
      <c r="C19" t="s">
        <v>15</v>
      </c>
      <c r="D19" s="38">
        <v>11</v>
      </c>
      <c r="E19" t="s">
        <v>16</v>
      </c>
      <c r="F19">
        <v>412280</v>
      </c>
      <c r="G19" t="s">
        <v>40</v>
      </c>
      <c r="H19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4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hidden="1" x14ac:dyDescent="0.25">
      <c r="A20" s="1">
        <v>45965</v>
      </c>
      <c r="B20" s="1">
        <v>45965</v>
      </c>
      <c r="C20" t="s">
        <v>15</v>
      </c>
      <c r="D20" s="38">
        <v>11</v>
      </c>
      <c r="E20" t="s">
        <v>16</v>
      </c>
      <c r="F20">
        <v>412260</v>
      </c>
      <c r="G20" t="s">
        <v>41</v>
      </c>
      <c r="H20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4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hidden="1" x14ac:dyDescent="0.25">
      <c r="A21" s="1">
        <v>45980</v>
      </c>
      <c r="B21" s="1">
        <v>45980</v>
      </c>
      <c r="C21" t="s">
        <v>15</v>
      </c>
      <c r="D21" s="38">
        <v>11</v>
      </c>
      <c r="E21" t="s">
        <v>42</v>
      </c>
      <c r="F21">
        <v>407011</v>
      </c>
      <c r="G21" t="s">
        <v>30</v>
      </c>
      <c r="H2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4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hidden="1" x14ac:dyDescent="0.25">
      <c r="A22" s="1">
        <v>45975</v>
      </c>
      <c r="B22" s="1">
        <v>45975</v>
      </c>
      <c r="C22" t="s">
        <v>15</v>
      </c>
      <c r="D22" s="38">
        <v>11</v>
      </c>
      <c r="E22" t="s">
        <v>16</v>
      </c>
      <c r="F22">
        <v>407185</v>
      </c>
      <c r="G22" t="s">
        <v>43</v>
      </c>
      <c r="H22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4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hidden="1" x14ac:dyDescent="0.25">
      <c r="A23" s="1">
        <v>45975</v>
      </c>
      <c r="B23" s="1">
        <v>45975</v>
      </c>
      <c r="C23" t="s">
        <v>15</v>
      </c>
      <c r="D23" s="38">
        <v>11</v>
      </c>
      <c r="E23" t="s">
        <v>16</v>
      </c>
      <c r="F23">
        <v>804070</v>
      </c>
      <c r="G23" t="s">
        <v>44</v>
      </c>
      <c r="H23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4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hidden="1" x14ac:dyDescent="0.25">
      <c r="A24" s="1">
        <v>45975</v>
      </c>
      <c r="B24" s="1">
        <v>45975</v>
      </c>
      <c r="C24" t="s">
        <v>15</v>
      </c>
      <c r="D24" s="38">
        <v>11</v>
      </c>
      <c r="E24" t="s">
        <v>16</v>
      </c>
      <c r="F24" t="s">
        <v>45</v>
      </c>
      <c r="G24" t="s">
        <v>360</v>
      </c>
      <c r="H24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4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hidden="1" x14ac:dyDescent="0.25">
      <c r="A25" s="1">
        <v>45979</v>
      </c>
      <c r="B25" s="1">
        <v>45979</v>
      </c>
      <c r="C25" t="s">
        <v>15</v>
      </c>
      <c r="D25" s="38">
        <v>11</v>
      </c>
      <c r="E25" t="s">
        <v>378</v>
      </c>
      <c r="F25">
        <v>1703006</v>
      </c>
      <c r="G25" t="s">
        <v>48</v>
      </c>
      <c r="H25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4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hidden="1" x14ac:dyDescent="0.25">
      <c r="A26" s="1">
        <v>45979</v>
      </c>
      <c r="B26" s="1">
        <v>45979</v>
      </c>
      <c r="C26" t="s">
        <v>15</v>
      </c>
      <c r="D26" s="38">
        <v>11</v>
      </c>
      <c r="E26" t="s">
        <v>378</v>
      </c>
      <c r="F26">
        <v>1703046</v>
      </c>
      <c r="G26" t="s">
        <v>49</v>
      </c>
      <c r="H26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4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hidden="1" x14ac:dyDescent="0.25">
      <c r="A27" s="1">
        <v>45979</v>
      </c>
      <c r="B27" s="1">
        <v>45979</v>
      </c>
      <c r="C27" t="s">
        <v>15</v>
      </c>
      <c r="D27" s="38">
        <v>11</v>
      </c>
      <c r="E27" t="s">
        <v>378</v>
      </c>
      <c r="F27">
        <v>1801035</v>
      </c>
      <c r="G27" t="s">
        <v>50</v>
      </c>
      <c r="H27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4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hidden="1" x14ac:dyDescent="0.25">
      <c r="A28" s="1">
        <v>45979</v>
      </c>
      <c r="B28" s="1">
        <v>45979</v>
      </c>
      <c r="C28" t="s">
        <v>15</v>
      </c>
      <c r="D28" s="38">
        <v>11</v>
      </c>
      <c r="E28" t="s">
        <v>378</v>
      </c>
      <c r="F28">
        <v>1801229</v>
      </c>
      <c r="G28" t="s">
        <v>259</v>
      </c>
      <c r="H28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4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hidden="1" x14ac:dyDescent="0.25">
      <c r="A29" s="1">
        <v>45979</v>
      </c>
      <c r="B29" s="1">
        <v>45979</v>
      </c>
      <c r="C29" t="s">
        <v>15</v>
      </c>
      <c r="D29" s="38">
        <v>11</v>
      </c>
      <c r="E29" t="s">
        <v>378</v>
      </c>
      <c r="F29">
        <v>1801230</v>
      </c>
      <c r="G29" t="s">
        <v>51</v>
      </c>
      <c r="H29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4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hidden="1" x14ac:dyDescent="0.25">
      <c r="A30" s="1">
        <v>45979</v>
      </c>
      <c r="B30" s="1">
        <v>45979</v>
      </c>
      <c r="C30" t="s">
        <v>15</v>
      </c>
      <c r="D30" s="38">
        <v>11</v>
      </c>
      <c r="E30" t="s">
        <v>378</v>
      </c>
      <c r="F30">
        <v>1808149</v>
      </c>
      <c r="G30" t="s">
        <v>52</v>
      </c>
      <c r="H30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4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hidden="1" x14ac:dyDescent="0.25">
      <c r="A31" s="1">
        <v>45979</v>
      </c>
      <c r="B31" s="1">
        <v>45979</v>
      </c>
      <c r="C31" t="s">
        <v>15</v>
      </c>
      <c r="D31" s="38">
        <v>11</v>
      </c>
      <c r="E31" t="s">
        <v>378</v>
      </c>
      <c r="F31">
        <v>1801020</v>
      </c>
      <c r="G31" t="s">
        <v>53</v>
      </c>
      <c r="H3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4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hidden="1" x14ac:dyDescent="0.25">
      <c r="A32" s="1">
        <v>45979</v>
      </c>
      <c r="B32" s="1">
        <v>45979</v>
      </c>
      <c r="C32" t="s">
        <v>15</v>
      </c>
      <c r="D32" s="38">
        <v>11</v>
      </c>
      <c r="E32" t="s">
        <v>378</v>
      </c>
      <c r="F32">
        <v>4212234</v>
      </c>
      <c r="G32" t="s">
        <v>54</v>
      </c>
      <c r="H32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4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hidden="1" x14ac:dyDescent="0.25">
      <c r="A33" s="1">
        <v>45979</v>
      </c>
      <c r="B33" s="1">
        <v>45979</v>
      </c>
      <c r="C33" t="s">
        <v>15</v>
      </c>
      <c r="D33" s="38">
        <v>11</v>
      </c>
      <c r="E33" t="s">
        <v>378</v>
      </c>
      <c r="F33">
        <v>5316507</v>
      </c>
      <c r="G33" t="s">
        <v>55</v>
      </c>
      <c r="H33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4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hidden="1" x14ac:dyDescent="0.25">
      <c r="A34" s="1">
        <v>45979</v>
      </c>
      <c r="B34" s="1">
        <v>45979</v>
      </c>
      <c r="C34" t="s">
        <v>15</v>
      </c>
      <c r="D34" s="38">
        <v>11</v>
      </c>
      <c r="E34" t="s">
        <v>378</v>
      </c>
      <c r="F34">
        <v>5316509</v>
      </c>
      <c r="G34" t="s">
        <v>56</v>
      </c>
      <c r="H34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4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hidden="1" x14ac:dyDescent="0.25">
      <c r="A35" s="1">
        <v>45979</v>
      </c>
      <c r="B35" s="1">
        <v>45979</v>
      </c>
      <c r="C35" t="s">
        <v>15</v>
      </c>
      <c r="D35" s="38">
        <v>11</v>
      </c>
      <c r="E35" t="s">
        <v>378</v>
      </c>
      <c r="F35">
        <v>609008</v>
      </c>
      <c r="G35" t="s">
        <v>57</v>
      </c>
      <c r="H35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4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hidden="1" x14ac:dyDescent="0.25">
      <c r="A36" s="1">
        <v>45979</v>
      </c>
      <c r="B36" s="1">
        <v>45979</v>
      </c>
      <c r="C36" t="s">
        <v>15</v>
      </c>
      <c r="D36" s="38">
        <v>11</v>
      </c>
      <c r="E36" t="s">
        <v>378</v>
      </c>
      <c r="F36">
        <v>1610023</v>
      </c>
      <c r="G36" t="s">
        <v>351</v>
      </c>
      <c r="H36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4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hidden="1" x14ac:dyDescent="0.25">
      <c r="A37" s="1">
        <v>45979</v>
      </c>
      <c r="B37" s="1">
        <v>45979</v>
      </c>
      <c r="C37" t="s">
        <v>15</v>
      </c>
      <c r="D37" s="38">
        <v>11</v>
      </c>
      <c r="E37" t="s">
        <v>378</v>
      </c>
      <c r="F37">
        <v>5316481</v>
      </c>
      <c r="G37" t="s">
        <v>60</v>
      </c>
      <c r="H37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4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hidden="1" x14ac:dyDescent="0.25">
      <c r="A38" s="1">
        <v>45979</v>
      </c>
      <c r="B38" s="1">
        <v>45979</v>
      </c>
      <c r="C38" t="s">
        <v>15</v>
      </c>
      <c r="D38" s="38">
        <v>11</v>
      </c>
      <c r="E38" t="s">
        <v>378</v>
      </c>
      <c r="F38">
        <v>5316479</v>
      </c>
      <c r="G38" t="s">
        <v>61</v>
      </c>
      <c r="H38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4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hidden="1" x14ac:dyDescent="0.25">
      <c r="A39" s="1">
        <v>45979</v>
      </c>
      <c r="B39" s="1">
        <v>45979</v>
      </c>
      <c r="C39" t="s">
        <v>15</v>
      </c>
      <c r="D39" s="38">
        <v>11</v>
      </c>
      <c r="E39" t="s">
        <v>378</v>
      </c>
      <c r="F39">
        <v>5316482</v>
      </c>
      <c r="G39" t="s">
        <v>62</v>
      </c>
      <c r="H39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4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hidden="1" x14ac:dyDescent="0.25">
      <c r="A40" s="1">
        <v>45979</v>
      </c>
      <c r="B40" s="1">
        <v>45979</v>
      </c>
      <c r="C40" t="s">
        <v>15</v>
      </c>
      <c r="D40" s="38">
        <v>11</v>
      </c>
      <c r="E40" t="s">
        <v>63</v>
      </c>
      <c r="F40">
        <v>307030</v>
      </c>
      <c r="G40" t="s">
        <v>64</v>
      </c>
      <c r="H40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4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hidden="1" x14ac:dyDescent="0.25">
      <c r="A41" s="1">
        <v>45979</v>
      </c>
      <c r="B41" s="1">
        <v>45979</v>
      </c>
      <c r="C41" t="s">
        <v>15</v>
      </c>
      <c r="D41" s="38">
        <v>11</v>
      </c>
      <c r="E41" t="s">
        <v>63</v>
      </c>
      <c r="F41">
        <v>307031</v>
      </c>
      <c r="G41" t="s">
        <v>65</v>
      </c>
      <c r="H4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4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hidden="1" x14ac:dyDescent="0.25">
      <c r="A42" s="1">
        <v>45979</v>
      </c>
      <c r="B42" s="1">
        <v>45979</v>
      </c>
      <c r="C42" t="s">
        <v>15</v>
      </c>
      <c r="D42" s="38">
        <v>11</v>
      </c>
      <c r="E42" t="s">
        <v>63</v>
      </c>
      <c r="F42">
        <v>404184</v>
      </c>
      <c r="G42" t="s">
        <v>66</v>
      </c>
      <c r="H42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4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hidden="1" x14ac:dyDescent="0.25">
      <c r="A43" s="1">
        <v>45979</v>
      </c>
      <c r="B43" s="1">
        <v>45979</v>
      </c>
      <c r="C43" t="s">
        <v>15</v>
      </c>
      <c r="D43" s="38">
        <v>11</v>
      </c>
      <c r="E43" t="s">
        <v>63</v>
      </c>
      <c r="F43">
        <v>601121</v>
      </c>
      <c r="G43" t="s">
        <v>67</v>
      </c>
      <c r="H43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4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hidden="1" x14ac:dyDescent="0.25">
      <c r="A44" s="1">
        <v>45979</v>
      </c>
      <c r="B44" s="1">
        <v>45979</v>
      </c>
      <c r="C44" t="s">
        <v>15</v>
      </c>
      <c r="D44" s="38">
        <v>11</v>
      </c>
      <c r="E44" t="s">
        <v>63</v>
      </c>
      <c r="F44">
        <v>601122</v>
      </c>
      <c r="G44" t="s">
        <v>69</v>
      </c>
      <c r="H44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4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hidden="1" x14ac:dyDescent="0.25">
      <c r="A45" s="1">
        <v>45979</v>
      </c>
      <c r="B45" s="1">
        <v>45979</v>
      </c>
      <c r="C45" t="s">
        <v>15</v>
      </c>
      <c r="D45" s="38">
        <v>11</v>
      </c>
      <c r="E45" t="s">
        <v>63</v>
      </c>
      <c r="F45">
        <v>601123</v>
      </c>
      <c r="G45" t="s">
        <v>70</v>
      </c>
      <c r="H45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4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hidden="1" x14ac:dyDescent="0.25">
      <c r="A46" s="1">
        <v>45979</v>
      </c>
      <c r="B46" s="1">
        <v>45979</v>
      </c>
      <c r="C46" t="s">
        <v>15</v>
      </c>
      <c r="D46" s="38">
        <v>11</v>
      </c>
      <c r="E46" t="s">
        <v>63</v>
      </c>
      <c r="F46">
        <v>602060</v>
      </c>
      <c r="G46" t="s">
        <v>71</v>
      </c>
      <c r="H46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4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hidden="1" x14ac:dyDescent="0.25">
      <c r="A47" s="1">
        <v>45979</v>
      </c>
      <c r="B47" s="1">
        <v>45979</v>
      </c>
      <c r="C47" t="s">
        <v>15</v>
      </c>
      <c r="D47" s="38">
        <v>11</v>
      </c>
      <c r="E47" t="s">
        <v>63</v>
      </c>
      <c r="F47">
        <v>705028</v>
      </c>
      <c r="G47" t="s">
        <v>72</v>
      </c>
      <c r="H47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4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hidden="1" x14ac:dyDescent="0.25">
      <c r="A48" s="1">
        <v>45979</v>
      </c>
      <c r="B48" s="1">
        <v>45979</v>
      </c>
      <c r="C48" t="s">
        <v>15</v>
      </c>
      <c r="D48" s="38">
        <v>11</v>
      </c>
      <c r="E48" t="s">
        <v>63</v>
      </c>
      <c r="F48">
        <v>1801735</v>
      </c>
      <c r="G48" t="s">
        <v>73</v>
      </c>
      <c r="H48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4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hidden="1" x14ac:dyDescent="0.25">
      <c r="A49" s="1">
        <v>45979</v>
      </c>
      <c r="B49" s="1">
        <v>45979</v>
      </c>
      <c r="C49" t="s">
        <v>15</v>
      </c>
      <c r="D49" s="38">
        <v>11</v>
      </c>
      <c r="E49" t="s">
        <v>63</v>
      </c>
      <c r="F49">
        <v>2302119</v>
      </c>
      <c r="G49" t="s">
        <v>74</v>
      </c>
      <c r="H49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4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hidden="1" x14ac:dyDescent="0.25">
      <c r="A50" s="1">
        <v>45986</v>
      </c>
      <c r="B50" s="1">
        <v>45986</v>
      </c>
      <c r="C50" t="s">
        <v>75</v>
      </c>
      <c r="D50" s="38">
        <v>11</v>
      </c>
      <c r="E50" t="s">
        <v>379</v>
      </c>
      <c r="F50">
        <v>701022</v>
      </c>
      <c r="G50" t="s">
        <v>76</v>
      </c>
      <c r="H50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4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hidden="1" x14ac:dyDescent="0.25">
      <c r="A51" s="1">
        <v>45986</v>
      </c>
      <c r="B51" s="1">
        <v>45986</v>
      </c>
      <c r="C51" t="s">
        <v>75</v>
      </c>
      <c r="D51" s="38">
        <v>11</v>
      </c>
      <c r="E51" t="s">
        <v>379</v>
      </c>
      <c r="F51">
        <v>701015</v>
      </c>
      <c r="G51" t="s">
        <v>254</v>
      </c>
      <c r="H5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4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hidden="1" x14ac:dyDescent="0.25">
      <c r="A52" s="1">
        <v>45960</v>
      </c>
      <c r="B52" s="1">
        <v>45960</v>
      </c>
      <c r="C52" t="s">
        <v>15</v>
      </c>
      <c r="D52" s="38">
        <v>10</v>
      </c>
      <c r="E52" t="s">
        <v>379</v>
      </c>
      <c r="F52">
        <v>2502036</v>
      </c>
      <c r="G52" t="s">
        <v>77</v>
      </c>
      <c r="H52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4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hidden="1" x14ac:dyDescent="0.25">
      <c r="A53" s="1">
        <v>45954</v>
      </c>
      <c r="B53" s="1">
        <v>45954</v>
      </c>
      <c r="C53" t="s">
        <v>15</v>
      </c>
      <c r="D53" s="38">
        <v>10</v>
      </c>
      <c r="E53" t="s">
        <v>379</v>
      </c>
      <c r="F53">
        <v>302019</v>
      </c>
      <c r="G53" t="s">
        <v>78</v>
      </c>
      <c r="H53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4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hidden="1" x14ac:dyDescent="0.25">
      <c r="A54" s="1">
        <v>45952</v>
      </c>
      <c r="B54" s="1">
        <v>45952</v>
      </c>
      <c r="C54" t="s">
        <v>15</v>
      </c>
      <c r="D54" s="38">
        <v>10</v>
      </c>
      <c r="E54" t="s">
        <v>79</v>
      </c>
      <c r="F54">
        <v>304007</v>
      </c>
      <c r="G54" t="s">
        <v>80</v>
      </c>
      <c r="H54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4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hidden="1" x14ac:dyDescent="0.25">
      <c r="A55" s="1">
        <v>45951</v>
      </c>
      <c r="B55" s="1">
        <v>45951</v>
      </c>
      <c r="C55" t="s">
        <v>15</v>
      </c>
      <c r="D55" s="38">
        <v>10</v>
      </c>
      <c r="E55" t="s">
        <v>379</v>
      </c>
      <c r="F55">
        <v>5112589</v>
      </c>
      <c r="G55" t="s">
        <v>81</v>
      </c>
      <c r="H55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4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hidden="1" x14ac:dyDescent="0.25">
      <c r="A56" s="1">
        <v>45950</v>
      </c>
      <c r="B56" s="1">
        <v>45950</v>
      </c>
      <c r="C56" t="s">
        <v>15</v>
      </c>
      <c r="D56" s="38">
        <v>10</v>
      </c>
      <c r="E56" t="s">
        <v>379</v>
      </c>
      <c r="F56" t="s">
        <v>82</v>
      </c>
      <c r="G56" t="s">
        <v>83</v>
      </c>
      <c r="H56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4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hidden="1" x14ac:dyDescent="0.25">
      <c r="A57" s="1">
        <v>45945</v>
      </c>
      <c r="B57" s="1">
        <v>45945</v>
      </c>
      <c r="C57" t="s">
        <v>15</v>
      </c>
      <c r="D57" s="38">
        <v>10</v>
      </c>
      <c r="E57" t="s">
        <v>16</v>
      </c>
      <c r="F57">
        <v>302044</v>
      </c>
      <c r="G57" t="s">
        <v>247</v>
      </c>
      <c r="H57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4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hidden="1" x14ac:dyDescent="0.25">
      <c r="A58" s="1">
        <v>45945</v>
      </c>
      <c r="B58" s="1">
        <v>45945</v>
      </c>
      <c r="C58" t="s">
        <v>15</v>
      </c>
      <c r="D58" s="38">
        <v>10</v>
      </c>
      <c r="E58" t="s">
        <v>16</v>
      </c>
      <c r="F58">
        <v>302039</v>
      </c>
      <c r="G58" t="s">
        <v>84</v>
      </c>
      <c r="H58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4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hidden="1" x14ac:dyDescent="0.25">
      <c r="A59" s="1">
        <v>45945</v>
      </c>
      <c r="B59" s="1">
        <v>45945</v>
      </c>
      <c r="C59" t="s">
        <v>15</v>
      </c>
      <c r="D59" s="38">
        <v>10</v>
      </c>
      <c r="E59" t="s">
        <v>16</v>
      </c>
      <c r="F59" t="s">
        <v>21</v>
      </c>
      <c r="G59" t="s">
        <v>22</v>
      </c>
      <c r="H59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4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hidden="1" x14ac:dyDescent="0.25">
      <c r="A60" s="1">
        <v>45945</v>
      </c>
      <c r="B60" s="1">
        <v>45945</v>
      </c>
      <c r="C60" t="s">
        <v>15</v>
      </c>
      <c r="D60" s="38">
        <v>10</v>
      </c>
      <c r="E60" t="s">
        <v>16</v>
      </c>
      <c r="F60">
        <v>307275</v>
      </c>
      <c r="G60" t="s">
        <v>85</v>
      </c>
      <c r="H60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4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hidden="1" x14ac:dyDescent="0.25">
      <c r="A61" s="1">
        <v>45940</v>
      </c>
      <c r="B61" s="1">
        <v>45940</v>
      </c>
      <c r="C61" t="s">
        <v>15</v>
      </c>
      <c r="D61" s="38">
        <v>10</v>
      </c>
      <c r="E61" t="s">
        <v>16</v>
      </c>
      <c r="F61">
        <v>307252</v>
      </c>
      <c r="G61" t="s">
        <v>86</v>
      </c>
      <c r="H6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4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hidden="1" x14ac:dyDescent="0.25">
      <c r="A62" s="1">
        <v>45940</v>
      </c>
      <c r="B62" s="1">
        <v>45940</v>
      </c>
      <c r="C62" t="s">
        <v>15</v>
      </c>
      <c r="D62" s="38">
        <v>10</v>
      </c>
      <c r="E62" t="s">
        <v>16</v>
      </c>
      <c r="F62">
        <v>2502036</v>
      </c>
      <c r="G62" t="s">
        <v>77</v>
      </c>
      <c r="H62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4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hidden="1" x14ac:dyDescent="0.25">
      <c r="A63" s="1">
        <v>45940</v>
      </c>
      <c r="B63" s="1">
        <v>45940</v>
      </c>
      <c r="C63" t="s">
        <v>15</v>
      </c>
      <c r="D63" s="38">
        <v>10</v>
      </c>
      <c r="E63" t="s">
        <v>16</v>
      </c>
      <c r="F63">
        <v>302044</v>
      </c>
      <c r="G63" t="s">
        <v>247</v>
      </c>
      <c r="H63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4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hidden="1" x14ac:dyDescent="0.25">
      <c r="A64" s="1">
        <v>45939</v>
      </c>
      <c r="B64" s="1">
        <v>45939</v>
      </c>
      <c r="C64" t="s">
        <v>15</v>
      </c>
      <c r="D64" s="38">
        <v>10</v>
      </c>
      <c r="E64" t="s">
        <v>16</v>
      </c>
      <c r="F64">
        <v>307252</v>
      </c>
      <c r="G64" t="s">
        <v>86</v>
      </c>
      <c r="H64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4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hidden="1" x14ac:dyDescent="0.25">
      <c r="A65" s="1">
        <v>45974</v>
      </c>
      <c r="B65" s="1">
        <v>45974</v>
      </c>
      <c r="C65" t="s">
        <v>15</v>
      </c>
      <c r="D65" s="38">
        <v>11</v>
      </c>
      <c r="E65" t="s">
        <v>16</v>
      </c>
      <c r="F65" t="s">
        <v>87</v>
      </c>
      <c r="G65" t="s">
        <v>88</v>
      </c>
      <c r="H65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4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hidden="1" x14ac:dyDescent="0.25">
      <c r="A66" s="1">
        <v>45985</v>
      </c>
      <c r="B66" s="1">
        <v>45985</v>
      </c>
      <c r="C66" t="s">
        <v>15</v>
      </c>
      <c r="D66" s="38">
        <v>11</v>
      </c>
      <c r="E66" t="s">
        <v>16</v>
      </c>
      <c r="F66">
        <v>1405027</v>
      </c>
      <c r="G66" t="s">
        <v>89</v>
      </c>
      <c r="H66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4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hidden="1" x14ac:dyDescent="0.25">
      <c r="A67" s="1">
        <v>45985</v>
      </c>
      <c r="B67" s="1">
        <v>45985</v>
      </c>
      <c r="C67" t="s">
        <v>15</v>
      </c>
      <c r="D67" s="38">
        <v>11</v>
      </c>
      <c r="E67" t="s">
        <v>16</v>
      </c>
      <c r="F67">
        <v>1405026</v>
      </c>
      <c r="G67" t="s">
        <v>91</v>
      </c>
      <c r="H67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4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hidden="1" x14ac:dyDescent="0.25">
      <c r="A68" s="1">
        <v>45985</v>
      </c>
      <c r="B68" s="1">
        <v>45985</v>
      </c>
      <c r="C68" t="s">
        <v>15</v>
      </c>
      <c r="D68" s="38">
        <v>11</v>
      </c>
      <c r="E68" t="s">
        <v>16</v>
      </c>
      <c r="F68" t="s">
        <v>92</v>
      </c>
      <c r="G68" t="s">
        <v>93</v>
      </c>
      <c r="H68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4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hidden="1" x14ac:dyDescent="0.25">
      <c r="A69" s="1">
        <v>45985</v>
      </c>
      <c r="B69" s="1">
        <v>45985</v>
      </c>
      <c r="C69" t="s">
        <v>15</v>
      </c>
      <c r="D69" s="38">
        <v>11</v>
      </c>
      <c r="E69" t="s">
        <v>16</v>
      </c>
      <c r="F69" t="s">
        <v>94</v>
      </c>
      <c r="G69" t="s">
        <v>95</v>
      </c>
      <c r="H69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4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hidden="1" x14ac:dyDescent="0.25">
      <c r="A70" s="1">
        <v>45985</v>
      </c>
      <c r="B70" s="1">
        <v>45985</v>
      </c>
      <c r="C70" t="s">
        <v>15</v>
      </c>
      <c r="D70" s="38">
        <v>11</v>
      </c>
      <c r="E70" t="s">
        <v>16</v>
      </c>
      <c r="F70">
        <v>5316484</v>
      </c>
      <c r="G70" t="s">
        <v>96</v>
      </c>
      <c r="H70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4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hidden="1" x14ac:dyDescent="0.25">
      <c r="A71" s="1">
        <v>45985</v>
      </c>
      <c r="B71" s="1">
        <v>45985</v>
      </c>
      <c r="C71" t="s">
        <v>15</v>
      </c>
      <c r="D71" s="38">
        <v>11</v>
      </c>
      <c r="E71" t="s">
        <v>16</v>
      </c>
      <c r="F71">
        <v>5316483</v>
      </c>
      <c r="G71" t="s">
        <v>97</v>
      </c>
      <c r="H7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4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hidden="1" x14ac:dyDescent="0.25">
      <c r="A72" s="1">
        <v>45985</v>
      </c>
      <c r="B72" s="1">
        <v>45985</v>
      </c>
      <c r="C72" t="s">
        <v>15</v>
      </c>
      <c r="D72" s="38">
        <v>11</v>
      </c>
      <c r="E72" t="s">
        <v>16</v>
      </c>
      <c r="F72">
        <v>1801155</v>
      </c>
      <c r="G72" t="s">
        <v>98</v>
      </c>
      <c r="H72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4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hidden="1" x14ac:dyDescent="0.25">
      <c r="A73" s="1">
        <v>45985</v>
      </c>
      <c r="B73" s="1">
        <v>45985</v>
      </c>
      <c r="C73" t="s">
        <v>15</v>
      </c>
      <c r="D73" s="38">
        <v>11</v>
      </c>
      <c r="E73" t="s">
        <v>16</v>
      </c>
      <c r="F73">
        <v>1801154</v>
      </c>
      <c r="G73" t="s">
        <v>99</v>
      </c>
      <c r="H73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4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hidden="1" x14ac:dyDescent="0.25">
      <c r="A74" s="1">
        <v>45985</v>
      </c>
      <c r="B74" s="1">
        <v>45985</v>
      </c>
      <c r="C74" t="s">
        <v>15</v>
      </c>
      <c r="D74" s="38">
        <v>11</v>
      </c>
      <c r="E74" t="s">
        <v>16</v>
      </c>
      <c r="F74">
        <v>1101971</v>
      </c>
      <c r="G74" t="s">
        <v>100</v>
      </c>
      <c r="H74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4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hidden="1" x14ac:dyDescent="0.25">
      <c r="A75" s="1">
        <v>45985</v>
      </c>
      <c r="B75" s="1">
        <v>45985</v>
      </c>
      <c r="C75" t="s">
        <v>15</v>
      </c>
      <c r="D75" s="38">
        <v>11</v>
      </c>
      <c r="E75" t="s">
        <v>16</v>
      </c>
      <c r="F75">
        <v>1802005</v>
      </c>
      <c r="G75" t="s">
        <v>101</v>
      </c>
      <c r="H75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4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hidden="1" x14ac:dyDescent="0.25">
      <c r="A76" s="1">
        <v>45985</v>
      </c>
      <c r="B76" s="1">
        <v>45985</v>
      </c>
      <c r="C76" t="s">
        <v>15</v>
      </c>
      <c r="D76" s="38">
        <v>11</v>
      </c>
      <c r="E76" t="s">
        <v>16</v>
      </c>
      <c r="F76">
        <v>1808043</v>
      </c>
      <c r="G76" t="s">
        <v>102</v>
      </c>
      <c r="H76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4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hidden="1" x14ac:dyDescent="0.25">
      <c r="A77" s="1">
        <v>45985</v>
      </c>
      <c r="B77" s="1">
        <v>45985</v>
      </c>
      <c r="C77" t="s">
        <v>15</v>
      </c>
      <c r="D77" s="38">
        <v>11</v>
      </c>
      <c r="E77" t="s">
        <v>16</v>
      </c>
      <c r="F77">
        <v>1801236</v>
      </c>
      <c r="G77" t="s">
        <v>103</v>
      </c>
      <c r="H77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4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hidden="1" x14ac:dyDescent="0.25">
      <c r="A78" s="1">
        <v>45985</v>
      </c>
      <c r="B78" s="1">
        <v>45985</v>
      </c>
      <c r="C78" t="s">
        <v>15</v>
      </c>
      <c r="D78" s="38">
        <v>11</v>
      </c>
      <c r="E78" t="s">
        <v>16</v>
      </c>
      <c r="F78">
        <v>1801238</v>
      </c>
      <c r="G78" t="s">
        <v>104</v>
      </c>
      <c r="H78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4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hidden="1" x14ac:dyDescent="0.25">
      <c r="A79" s="1">
        <v>45985</v>
      </c>
      <c r="B79" s="1">
        <v>45985</v>
      </c>
      <c r="C79" t="s">
        <v>15</v>
      </c>
      <c r="D79" s="38">
        <v>11</v>
      </c>
      <c r="E79" t="s">
        <v>16</v>
      </c>
      <c r="F79">
        <v>1801011</v>
      </c>
      <c r="G79" t="s">
        <v>105</v>
      </c>
      <c r="H79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4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hidden="1" x14ac:dyDescent="0.25">
      <c r="A80" s="1">
        <v>45938</v>
      </c>
      <c r="B80" s="1">
        <v>45938</v>
      </c>
      <c r="C80" t="s">
        <v>15</v>
      </c>
      <c r="D80" s="38">
        <v>10</v>
      </c>
      <c r="E80" t="s">
        <v>16</v>
      </c>
      <c r="F80">
        <v>407423</v>
      </c>
      <c r="G80" t="s">
        <v>106</v>
      </c>
      <c r="H80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4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hidden="1" x14ac:dyDescent="0.25">
      <c r="A81" s="1">
        <v>45938</v>
      </c>
      <c r="B81" s="1">
        <v>45938</v>
      </c>
      <c r="C81" t="s">
        <v>15</v>
      </c>
      <c r="D81" s="38">
        <v>10</v>
      </c>
      <c r="E81" t="s">
        <v>16</v>
      </c>
      <c r="F81">
        <v>407170</v>
      </c>
      <c r="G81" t="s">
        <v>107</v>
      </c>
      <c r="H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4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hidden="1" x14ac:dyDescent="0.25">
      <c r="A82" s="1">
        <v>45938</v>
      </c>
      <c r="B82" s="1">
        <v>45938</v>
      </c>
      <c r="C82" t="s">
        <v>15</v>
      </c>
      <c r="D82" s="38">
        <v>10</v>
      </c>
      <c r="E82" t="s">
        <v>16</v>
      </c>
      <c r="F82">
        <v>304014</v>
      </c>
      <c r="G82" t="s">
        <v>23</v>
      </c>
      <c r="H82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4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hidden="1" x14ac:dyDescent="0.25">
      <c r="A83" s="1">
        <v>45938</v>
      </c>
      <c r="B83" s="1">
        <v>45938</v>
      </c>
      <c r="C83" t="s">
        <v>15</v>
      </c>
      <c r="D83" s="38">
        <v>10</v>
      </c>
      <c r="E83" t="s">
        <v>16</v>
      </c>
      <c r="F83">
        <v>1901505</v>
      </c>
      <c r="G83" t="s">
        <v>27</v>
      </c>
      <c r="H83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4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hidden="1" x14ac:dyDescent="0.25">
      <c r="A84" s="1">
        <v>45938</v>
      </c>
      <c r="B84" s="1">
        <v>45938</v>
      </c>
      <c r="C84" t="s">
        <v>15</v>
      </c>
      <c r="D84" s="38">
        <v>10</v>
      </c>
      <c r="E84" t="s">
        <v>16</v>
      </c>
      <c r="F84">
        <v>701040</v>
      </c>
      <c r="G84" t="s">
        <v>19</v>
      </c>
      <c r="H84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4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hidden="1" x14ac:dyDescent="0.25">
      <c r="A85" s="1">
        <v>45938</v>
      </c>
      <c r="B85" s="1">
        <v>45938</v>
      </c>
      <c r="C85" t="s">
        <v>15</v>
      </c>
      <c r="D85" s="38">
        <v>10</v>
      </c>
      <c r="E85" t="s">
        <v>16</v>
      </c>
      <c r="F85">
        <v>304007</v>
      </c>
      <c r="G85" t="s">
        <v>80</v>
      </c>
      <c r="H85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4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hidden="1" x14ac:dyDescent="0.25">
      <c r="A86" s="1">
        <v>45938</v>
      </c>
      <c r="B86" s="1">
        <v>45938</v>
      </c>
      <c r="C86" t="s">
        <v>15</v>
      </c>
      <c r="D86" s="38">
        <v>10</v>
      </c>
      <c r="E86" t="s">
        <v>16</v>
      </c>
      <c r="F86">
        <v>304101</v>
      </c>
      <c r="G86" t="s">
        <v>17</v>
      </c>
      <c r="H86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4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hidden="1" x14ac:dyDescent="0.25">
      <c r="A87" s="1">
        <v>45938</v>
      </c>
      <c r="B87" s="1">
        <v>45938</v>
      </c>
      <c r="C87" t="s">
        <v>15</v>
      </c>
      <c r="D87" s="38">
        <v>10</v>
      </c>
      <c r="E87" t="s">
        <v>16</v>
      </c>
      <c r="F87" t="s">
        <v>21</v>
      </c>
      <c r="G87" t="s">
        <v>22</v>
      </c>
      <c r="H87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4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hidden="1" x14ac:dyDescent="0.25">
      <c r="A88" s="1">
        <v>45938</v>
      </c>
      <c r="B88" s="1">
        <v>45938</v>
      </c>
      <c r="C88" t="s">
        <v>15</v>
      </c>
      <c r="D88" s="38">
        <v>10</v>
      </c>
      <c r="E88" t="s">
        <v>16</v>
      </c>
      <c r="F88">
        <v>302019</v>
      </c>
      <c r="G88" t="s">
        <v>78</v>
      </c>
      <c r="H88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4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hidden="1" x14ac:dyDescent="0.25">
      <c r="A89" s="1">
        <v>45938</v>
      </c>
      <c r="B89" s="1">
        <v>45938</v>
      </c>
      <c r="C89" t="s">
        <v>15</v>
      </c>
      <c r="D89" s="38">
        <v>10</v>
      </c>
      <c r="E89" t="s">
        <v>16</v>
      </c>
      <c r="F89">
        <v>302039</v>
      </c>
      <c r="G89" t="s">
        <v>84</v>
      </c>
      <c r="H89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4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hidden="1" x14ac:dyDescent="0.25">
      <c r="A90" s="1">
        <v>45938</v>
      </c>
      <c r="B90" s="1">
        <v>45938</v>
      </c>
      <c r="C90" t="s">
        <v>15</v>
      </c>
      <c r="D90" s="38">
        <v>10</v>
      </c>
      <c r="E90" t="s">
        <v>16</v>
      </c>
      <c r="F90">
        <v>302028</v>
      </c>
      <c r="G90" t="s">
        <v>246</v>
      </c>
      <c r="H90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4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hidden="1" x14ac:dyDescent="0.25">
      <c r="A91" s="1">
        <v>45938</v>
      </c>
      <c r="B91" s="1">
        <v>45938</v>
      </c>
      <c r="C91" t="s">
        <v>15</v>
      </c>
      <c r="D91" s="38">
        <v>10</v>
      </c>
      <c r="E91" t="s">
        <v>16</v>
      </c>
      <c r="F91">
        <v>302044</v>
      </c>
      <c r="G91" t="s">
        <v>247</v>
      </c>
      <c r="H9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4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hidden="1" x14ac:dyDescent="0.25">
      <c r="A92" s="1">
        <v>45938</v>
      </c>
      <c r="B92" s="1">
        <v>45938</v>
      </c>
      <c r="C92" t="s">
        <v>15</v>
      </c>
      <c r="D92" s="38">
        <v>10</v>
      </c>
      <c r="E92" t="s">
        <v>16</v>
      </c>
      <c r="F92">
        <v>408014</v>
      </c>
      <c r="G92" t="s">
        <v>108</v>
      </c>
      <c r="H92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4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hidden="1" x14ac:dyDescent="0.25">
      <c r="A93" s="1">
        <v>45938</v>
      </c>
      <c r="B93" s="1">
        <v>45938</v>
      </c>
      <c r="C93" t="s">
        <v>15</v>
      </c>
      <c r="D93" s="38">
        <v>10</v>
      </c>
      <c r="E93" t="s">
        <v>16</v>
      </c>
      <c r="F93">
        <v>408088</v>
      </c>
      <c r="G93" t="s">
        <v>109</v>
      </c>
      <c r="H93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4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hidden="1" x14ac:dyDescent="0.25">
      <c r="A94" s="1">
        <v>45938</v>
      </c>
      <c r="B94" s="1">
        <v>45938</v>
      </c>
      <c r="C94" t="s">
        <v>15</v>
      </c>
      <c r="D94" s="38">
        <v>10</v>
      </c>
      <c r="E94" t="s">
        <v>16</v>
      </c>
      <c r="F94">
        <v>410045</v>
      </c>
      <c r="G94" t="s">
        <v>110</v>
      </c>
      <c r="H94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4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hidden="1" x14ac:dyDescent="0.25">
      <c r="A95" s="1">
        <v>45938</v>
      </c>
      <c r="B95" s="1">
        <v>45938</v>
      </c>
      <c r="C95" t="s">
        <v>15</v>
      </c>
      <c r="D95" s="38">
        <v>10</v>
      </c>
      <c r="E95" t="s">
        <v>16</v>
      </c>
      <c r="F95">
        <v>2302098</v>
      </c>
      <c r="G95" t="s">
        <v>24</v>
      </c>
      <c r="H95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4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hidden="1" x14ac:dyDescent="0.25">
      <c r="A96" s="1">
        <v>45938</v>
      </c>
      <c r="B96" s="1">
        <v>45938</v>
      </c>
      <c r="C96" t="s">
        <v>15</v>
      </c>
      <c r="D96" s="38">
        <v>10</v>
      </c>
      <c r="E96" t="s">
        <v>16</v>
      </c>
      <c r="F96">
        <v>408071</v>
      </c>
      <c r="G96" t="s">
        <v>111</v>
      </c>
      <c r="H96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4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hidden="1" x14ac:dyDescent="0.25">
      <c r="A97" s="1">
        <v>45938</v>
      </c>
      <c r="B97" s="1">
        <v>45938</v>
      </c>
      <c r="C97" t="s">
        <v>15</v>
      </c>
      <c r="D97" s="38">
        <v>10</v>
      </c>
      <c r="E97" t="s">
        <v>16</v>
      </c>
      <c r="F97">
        <v>5309018</v>
      </c>
      <c r="G97" t="s">
        <v>112</v>
      </c>
      <c r="H97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4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hidden="1" x14ac:dyDescent="0.25">
      <c r="A98" s="1">
        <v>45944</v>
      </c>
      <c r="B98" s="1">
        <v>45944</v>
      </c>
      <c r="C98" t="s">
        <v>114</v>
      </c>
      <c r="D98" s="38">
        <v>10</v>
      </c>
      <c r="E98" t="s">
        <v>380</v>
      </c>
      <c r="F98">
        <v>408071</v>
      </c>
      <c r="G98" t="s">
        <v>111</v>
      </c>
      <c r="H98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4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hidden="1" x14ac:dyDescent="0.25">
      <c r="A99" s="1">
        <v>45944</v>
      </c>
      <c r="B99" s="1">
        <v>45944</v>
      </c>
      <c r="C99" t="s">
        <v>114</v>
      </c>
      <c r="D99" s="38">
        <v>10</v>
      </c>
      <c r="E99" t="s">
        <v>380</v>
      </c>
      <c r="F99">
        <v>302028</v>
      </c>
      <c r="G99" t="s">
        <v>246</v>
      </c>
      <c r="H99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4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hidden="1" x14ac:dyDescent="0.25">
      <c r="A100" s="1">
        <v>45944</v>
      </c>
      <c r="B100" s="1">
        <v>45944</v>
      </c>
      <c r="C100" t="s">
        <v>114</v>
      </c>
      <c r="D100" s="38">
        <v>10</v>
      </c>
      <c r="E100" t="s">
        <v>380</v>
      </c>
      <c r="F100">
        <v>302046</v>
      </c>
      <c r="G100" t="s">
        <v>115</v>
      </c>
      <c r="H100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4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hidden="1" x14ac:dyDescent="0.25">
      <c r="A101" s="1">
        <v>45944</v>
      </c>
      <c r="B101" s="1">
        <v>45944</v>
      </c>
      <c r="C101" t="s">
        <v>114</v>
      </c>
      <c r="D101" s="38">
        <v>10</v>
      </c>
      <c r="E101" t="s">
        <v>380</v>
      </c>
      <c r="F101">
        <v>302039</v>
      </c>
      <c r="G101" t="s">
        <v>84</v>
      </c>
      <c r="H10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4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hidden="1" x14ac:dyDescent="0.25">
      <c r="A102" s="1">
        <v>45944</v>
      </c>
      <c r="B102" s="1">
        <v>45944</v>
      </c>
      <c r="C102" t="s">
        <v>114</v>
      </c>
      <c r="D102" s="38">
        <v>10</v>
      </c>
      <c r="E102" t="s">
        <v>380</v>
      </c>
      <c r="F102">
        <v>304101</v>
      </c>
      <c r="G102" t="s">
        <v>17</v>
      </c>
      <c r="H102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4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hidden="1" x14ac:dyDescent="0.25">
      <c r="A103" s="1">
        <v>45944</v>
      </c>
      <c r="B103" s="1">
        <v>45944</v>
      </c>
      <c r="C103" t="s">
        <v>114</v>
      </c>
      <c r="D103" s="38">
        <v>10</v>
      </c>
      <c r="E103" t="s">
        <v>380</v>
      </c>
      <c r="F103">
        <v>304007</v>
      </c>
      <c r="G103" t="s">
        <v>80</v>
      </c>
      <c r="H103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4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hidden="1" x14ac:dyDescent="0.25">
      <c r="A104" s="1">
        <v>45944</v>
      </c>
      <c r="B104" s="1">
        <v>45944</v>
      </c>
      <c r="C104" t="s">
        <v>114</v>
      </c>
      <c r="D104" s="38">
        <v>10</v>
      </c>
      <c r="E104" t="s">
        <v>380</v>
      </c>
      <c r="F104">
        <v>701040</v>
      </c>
      <c r="G104" t="s">
        <v>19</v>
      </c>
      <c r="H104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4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hidden="1" x14ac:dyDescent="0.25">
      <c r="A105" s="1">
        <v>45944</v>
      </c>
      <c r="B105" s="1">
        <v>45944</v>
      </c>
      <c r="C105" t="s">
        <v>114</v>
      </c>
      <c r="D105" s="38">
        <v>10</v>
      </c>
      <c r="E105" t="s">
        <v>380</v>
      </c>
      <c r="F105">
        <v>701022</v>
      </c>
      <c r="G105" t="s">
        <v>76</v>
      </c>
      <c r="H105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4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hidden="1" x14ac:dyDescent="0.25">
      <c r="A106" s="1">
        <v>45944</v>
      </c>
      <c r="B106" s="1">
        <v>45944</v>
      </c>
      <c r="C106" t="s">
        <v>114</v>
      </c>
      <c r="D106" s="38">
        <v>10</v>
      </c>
      <c r="E106" t="s">
        <v>380</v>
      </c>
      <c r="F106">
        <v>1901505</v>
      </c>
      <c r="G106" t="s">
        <v>27</v>
      </c>
      <c r="H106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4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hidden="1" x14ac:dyDescent="0.25">
      <c r="A107" s="1">
        <v>45944</v>
      </c>
      <c r="B107" s="1">
        <v>45944</v>
      </c>
      <c r="C107" t="s">
        <v>114</v>
      </c>
      <c r="D107" s="38">
        <v>10</v>
      </c>
      <c r="E107" t="s">
        <v>380</v>
      </c>
      <c r="F107">
        <v>407170</v>
      </c>
      <c r="G107" t="s">
        <v>107</v>
      </c>
      <c r="H107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4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hidden="1" x14ac:dyDescent="0.25">
      <c r="A108" s="1">
        <v>45944</v>
      </c>
      <c r="B108" s="1">
        <v>45944</v>
      </c>
      <c r="C108" t="s">
        <v>114</v>
      </c>
      <c r="D108" s="38">
        <v>10</v>
      </c>
      <c r="E108" t="s">
        <v>380</v>
      </c>
      <c r="F108">
        <v>407423</v>
      </c>
      <c r="G108" t="s">
        <v>106</v>
      </c>
      <c r="H108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4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hidden="1" x14ac:dyDescent="0.25">
      <c r="A109" s="1">
        <v>45944</v>
      </c>
      <c r="B109" s="1">
        <v>45944</v>
      </c>
      <c r="C109" t="s">
        <v>114</v>
      </c>
      <c r="D109" s="38">
        <v>10</v>
      </c>
      <c r="E109" t="s">
        <v>380</v>
      </c>
      <c r="F109">
        <v>701015</v>
      </c>
      <c r="G109" t="s">
        <v>254</v>
      </c>
      <c r="H109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4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hidden="1" x14ac:dyDescent="0.25">
      <c r="A110" s="1">
        <v>45986</v>
      </c>
      <c r="B110" s="1">
        <v>45986</v>
      </c>
      <c r="C110" t="s">
        <v>15</v>
      </c>
      <c r="D110" s="38">
        <v>11</v>
      </c>
      <c r="E110" t="s">
        <v>16</v>
      </c>
      <c r="F110">
        <v>704092</v>
      </c>
      <c r="G110" t="s">
        <v>116</v>
      </c>
      <c r="H110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4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hidden="1" x14ac:dyDescent="0.25">
      <c r="A111" s="1">
        <v>45986</v>
      </c>
      <c r="B111" s="1">
        <v>45986</v>
      </c>
      <c r="C111" t="s">
        <v>15</v>
      </c>
      <c r="D111" s="38">
        <v>11</v>
      </c>
      <c r="E111" t="s">
        <v>16</v>
      </c>
      <c r="F111">
        <v>1101946</v>
      </c>
      <c r="G111" t="s">
        <v>117</v>
      </c>
      <c r="H11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4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hidden="1" x14ac:dyDescent="0.25">
      <c r="A112" s="1">
        <v>45986</v>
      </c>
      <c r="B112" s="1">
        <v>45986</v>
      </c>
      <c r="C112" t="s">
        <v>15</v>
      </c>
      <c r="D112" s="38">
        <v>11</v>
      </c>
      <c r="E112" t="s">
        <v>16</v>
      </c>
      <c r="F112">
        <v>1401065</v>
      </c>
      <c r="G112" t="s">
        <v>118</v>
      </c>
      <c r="H112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4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hidden="1" x14ac:dyDescent="0.25">
      <c r="A113" s="1">
        <v>45986</v>
      </c>
      <c r="B113" s="1">
        <v>45986</v>
      </c>
      <c r="C113" t="s">
        <v>15</v>
      </c>
      <c r="D113" s="38">
        <v>11</v>
      </c>
      <c r="E113" t="s">
        <v>16</v>
      </c>
      <c r="F113">
        <v>1105121</v>
      </c>
      <c r="G113" t="s">
        <v>119</v>
      </c>
      <c r="H113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4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hidden="1" x14ac:dyDescent="0.25">
      <c r="A114" s="1">
        <v>45986</v>
      </c>
      <c r="B114" s="1">
        <v>45986</v>
      </c>
      <c r="C114" t="s">
        <v>15</v>
      </c>
      <c r="D114" s="38">
        <v>11</v>
      </c>
      <c r="E114" t="s">
        <v>16</v>
      </c>
      <c r="F114">
        <v>1105122</v>
      </c>
      <c r="G114" t="s">
        <v>120</v>
      </c>
      <c r="H114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4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hidden="1" x14ac:dyDescent="0.25">
      <c r="A115" s="1">
        <v>45986</v>
      </c>
      <c r="B115" s="1">
        <v>45986</v>
      </c>
      <c r="C115" t="s">
        <v>15</v>
      </c>
      <c r="D115" s="38">
        <v>11</v>
      </c>
      <c r="E115" t="s">
        <v>121</v>
      </c>
      <c r="F115">
        <v>1801700</v>
      </c>
      <c r="G115" t="s">
        <v>122</v>
      </c>
      <c r="H115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4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hidden="1" x14ac:dyDescent="0.25">
      <c r="A116" s="1">
        <v>45985</v>
      </c>
      <c r="B116" s="1">
        <v>45985</v>
      </c>
      <c r="C116" t="s">
        <v>123</v>
      </c>
      <c r="D116" s="38">
        <v>11</v>
      </c>
      <c r="E116" t="s">
        <v>124</v>
      </c>
      <c r="F116">
        <v>1901229</v>
      </c>
      <c r="G116" t="s">
        <v>125</v>
      </c>
      <c r="H116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4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hidden="1" x14ac:dyDescent="0.25">
      <c r="A117" s="1">
        <v>45985</v>
      </c>
      <c r="B117" s="1">
        <v>45985</v>
      </c>
      <c r="C117" t="s">
        <v>123</v>
      </c>
      <c r="D117" s="38">
        <v>11</v>
      </c>
      <c r="E117" t="s">
        <v>124</v>
      </c>
      <c r="F117">
        <v>304014</v>
      </c>
      <c r="G117" t="s">
        <v>23</v>
      </c>
      <c r="H117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4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hidden="1" x14ac:dyDescent="0.25">
      <c r="A118" s="1">
        <v>45985</v>
      </c>
      <c r="B118" s="1">
        <v>45985</v>
      </c>
      <c r="C118" t="s">
        <v>123</v>
      </c>
      <c r="D118" s="38">
        <v>11</v>
      </c>
      <c r="E118" t="s">
        <v>124</v>
      </c>
      <c r="F118">
        <v>302048</v>
      </c>
      <c r="G118" t="s">
        <v>126</v>
      </c>
      <c r="H118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4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hidden="1" x14ac:dyDescent="0.25">
      <c r="A119" s="1">
        <v>45985</v>
      </c>
      <c r="B119" s="1">
        <v>45985</v>
      </c>
      <c r="C119" t="s">
        <v>123</v>
      </c>
      <c r="D119" s="38">
        <v>11</v>
      </c>
      <c r="E119" t="s">
        <v>124</v>
      </c>
      <c r="F119">
        <v>302044</v>
      </c>
      <c r="G119" t="s">
        <v>247</v>
      </c>
      <c r="H119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4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hidden="1" x14ac:dyDescent="0.25">
      <c r="A120" s="1">
        <v>45985</v>
      </c>
      <c r="B120" s="1">
        <v>45985</v>
      </c>
      <c r="C120" t="s">
        <v>123</v>
      </c>
      <c r="D120" s="38">
        <v>11</v>
      </c>
      <c r="E120" t="s">
        <v>124</v>
      </c>
      <c r="F120">
        <v>307256</v>
      </c>
      <c r="G120" t="s">
        <v>127</v>
      </c>
      <c r="H120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4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hidden="1" x14ac:dyDescent="0.25">
      <c r="A121" s="1">
        <v>45985</v>
      </c>
      <c r="B121" s="1">
        <v>45985</v>
      </c>
      <c r="C121" t="s">
        <v>123</v>
      </c>
      <c r="D121" s="38">
        <v>11</v>
      </c>
      <c r="E121" t="s">
        <v>124</v>
      </c>
      <c r="F121" t="s">
        <v>21</v>
      </c>
      <c r="G121" t="s">
        <v>22</v>
      </c>
      <c r="H12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4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hidden="1" x14ac:dyDescent="0.25">
      <c r="A122" s="1">
        <v>45985</v>
      </c>
      <c r="B122" s="1">
        <v>45985</v>
      </c>
      <c r="C122" t="s">
        <v>15</v>
      </c>
      <c r="D122" s="38">
        <v>11</v>
      </c>
      <c r="E122" t="s">
        <v>16</v>
      </c>
      <c r="F122">
        <v>408013</v>
      </c>
      <c r="G122" t="s">
        <v>128</v>
      </c>
      <c r="H122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4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hidden="1" x14ac:dyDescent="0.25">
      <c r="A123" s="1">
        <v>45985</v>
      </c>
      <c r="B123" s="1">
        <v>45985</v>
      </c>
      <c r="C123" t="s">
        <v>15</v>
      </c>
      <c r="D123" s="38">
        <v>11</v>
      </c>
      <c r="E123" t="s">
        <v>16</v>
      </c>
      <c r="F123">
        <v>601047</v>
      </c>
      <c r="G123" t="s">
        <v>129</v>
      </c>
      <c r="H123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4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hidden="1" x14ac:dyDescent="0.25">
      <c r="A124" s="1">
        <v>45985</v>
      </c>
      <c r="B124" s="1">
        <v>45985</v>
      </c>
      <c r="C124" t="s">
        <v>15</v>
      </c>
      <c r="D124" s="38">
        <v>11</v>
      </c>
      <c r="E124" t="s">
        <v>16</v>
      </c>
      <c r="F124">
        <v>704091</v>
      </c>
      <c r="G124" t="s">
        <v>130</v>
      </c>
      <c r="H124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4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hidden="1" x14ac:dyDescent="0.25">
      <c r="A125" s="1">
        <v>45985</v>
      </c>
      <c r="B125" s="1">
        <v>45985</v>
      </c>
      <c r="C125" t="s">
        <v>15</v>
      </c>
      <c r="D125" s="38">
        <v>11</v>
      </c>
      <c r="E125" t="s">
        <v>16</v>
      </c>
      <c r="F125">
        <v>704107</v>
      </c>
      <c r="G125" t="s">
        <v>131</v>
      </c>
      <c r="H125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4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hidden="1" x14ac:dyDescent="0.25">
      <c r="A126" s="1">
        <v>45985</v>
      </c>
      <c r="B126" s="1">
        <v>45985</v>
      </c>
      <c r="C126" t="s">
        <v>15</v>
      </c>
      <c r="D126" s="38">
        <v>11</v>
      </c>
      <c r="E126" t="s">
        <v>16</v>
      </c>
      <c r="F126">
        <v>2304003</v>
      </c>
      <c r="G126" t="s">
        <v>132</v>
      </c>
      <c r="H126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4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hidden="1" x14ac:dyDescent="0.25">
      <c r="A127" s="1">
        <v>45985</v>
      </c>
      <c r="B127" s="1">
        <v>45985</v>
      </c>
      <c r="C127" t="s">
        <v>15</v>
      </c>
      <c r="D127" s="38">
        <v>11</v>
      </c>
      <c r="E127" t="s">
        <v>16</v>
      </c>
      <c r="F127">
        <v>617016</v>
      </c>
      <c r="G127" t="s">
        <v>133</v>
      </c>
      <c r="H127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4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hidden="1" x14ac:dyDescent="0.25">
      <c r="A128" s="1">
        <v>45985</v>
      </c>
      <c r="B128" s="1">
        <v>45985</v>
      </c>
      <c r="C128" t="s">
        <v>15</v>
      </c>
      <c r="D128" s="38">
        <v>11</v>
      </c>
      <c r="E128" t="s">
        <v>16</v>
      </c>
      <c r="F128">
        <v>617057</v>
      </c>
      <c r="G128" t="s">
        <v>134</v>
      </c>
      <c r="H128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4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hidden="1" x14ac:dyDescent="0.25">
      <c r="A129" s="1">
        <v>45985</v>
      </c>
      <c r="B129" s="1">
        <v>45985</v>
      </c>
      <c r="C129" t="s">
        <v>15</v>
      </c>
      <c r="D129" s="38">
        <v>11</v>
      </c>
      <c r="E129" t="s">
        <v>16</v>
      </c>
      <c r="F129">
        <v>2302119</v>
      </c>
      <c r="G129" t="s">
        <v>74</v>
      </c>
      <c r="H129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4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hidden="1" x14ac:dyDescent="0.25">
      <c r="A130" s="1">
        <v>45981</v>
      </c>
      <c r="B130" s="1">
        <v>45981</v>
      </c>
      <c r="C130" t="s">
        <v>15</v>
      </c>
      <c r="D130" s="38">
        <v>11</v>
      </c>
      <c r="E130" t="s">
        <v>16</v>
      </c>
      <c r="F130">
        <v>609008</v>
      </c>
      <c r="G130" t="s">
        <v>57</v>
      </c>
      <c r="H130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4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hidden="1" x14ac:dyDescent="0.25">
      <c r="A131" s="1">
        <v>45981</v>
      </c>
      <c r="B131" s="1">
        <v>45981</v>
      </c>
      <c r="C131" t="s">
        <v>15</v>
      </c>
      <c r="D131" s="38">
        <v>11</v>
      </c>
      <c r="E131" t="s">
        <v>16</v>
      </c>
      <c r="F131">
        <v>617016</v>
      </c>
      <c r="G131" t="s">
        <v>133</v>
      </c>
      <c r="H13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4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hidden="1" x14ac:dyDescent="0.25">
      <c r="A132" s="1">
        <v>45981</v>
      </c>
      <c r="B132" s="1">
        <v>45981</v>
      </c>
      <c r="C132" t="s">
        <v>15</v>
      </c>
      <c r="D132" s="38">
        <v>11</v>
      </c>
      <c r="E132" t="s">
        <v>16</v>
      </c>
      <c r="F132">
        <v>617056</v>
      </c>
      <c r="G132" t="s">
        <v>135</v>
      </c>
      <c r="H132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4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hidden="1" x14ac:dyDescent="0.25">
      <c r="A133" s="1">
        <v>45981</v>
      </c>
      <c r="B133" s="1">
        <v>45981</v>
      </c>
      <c r="C133" t="s">
        <v>15</v>
      </c>
      <c r="D133" s="38">
        <v>11</v>
      </c>
      <c r="E133" t="s">
        <v>16</v>
      </c>
      <c r="F133">
        <v>617057</v>
      </c>
      <c r="G133" t="s">
        <v>134</v>
      </c>
      <c r="H133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4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hidden="1" x14ac:dyDescent="0.25">
      <c r="A134" s="1">
        <v>45981</v>
      </c>
      <c r="B134" s="1">
        <v>45981</v>
      </c>
      <c r="C134" t="s">
        <v>15</v>
      </c>
      <c r="D134" s="38">
        <v>11</v>
      </c>
      <c r="E134" t="s">
        <v>16</v>
      </c>
      <c r="F134">
        <v>701084</v>
      </c>
      <c r="G134" t="s">
        <v>38</v>
      </c>
      <c r="H134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4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hidden="1" x14ac:dyDescent="0.25">
      <c r="A135" s="1">
        <v>45981</v>
      </c>
      <c r="B135" s="1">
        <v>45981</v>
      </c>
      <c r="C135" t="s">
        <v>15</v>
      </c>
      <c r="D135" s="38">
        <v>11</v>
      </c>
      <c r="E135" t="s">
        <v>16</v>
      </c>
      <c r="F135">
        <v>701183</v>
      </c>
      <c r="G135" t="s">
        <v>136</v>
      </c>
      <c r="H135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4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hidden="1" x14ac:dyDescent="0.25">
      <c r="A136" s="1">
        <v>45981</v>
      </c>
      <c r="B136" s="1">
        <v>45981</v>
      </c>
      <c r="C136" t="s">
        <v>15</v>
      </c>
      <c r="D136" s="38">
        <v>11</v>
      </c>
      <c r="E136" t="s">
        <v>16</v>
      </c>
      <c r="F136" t="s">
        <v>138</v>
      </c>
      <c r="G136" t="s">
        <v>139</v>
      </c>
      <c r="H136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4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hidden="1" x14ac:dyDescent="0.25">
      <c r="A137" s="1">
        <v>45981</v>
      </c>
      <c r="B137" s="1">
        <v>45981</v>
      </c>
      <c r="C137" t="s">
        <v>15</v>
      </c>
      <c r="D137" s="38">
        <v>11</v>
      </c>
      <c r="E137" t="s">
        <v>16</v>
      </c>
      <c r="F137">
        <v>1802517</v>
      </c>
      <c r="G137" t="s">
        <v>141</v>
      </c>
      <c r="H137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4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hidden="1" x14ac:dyDescent="0.25">
      <c r="A138" s="1">
        <v>45981</v>
      </c>
      <c r="B138" s="1">
        <v>45981</v>
      </c>
      <c r="C138" t="s">
        <v>15</v>
      </c>
      <c r="D138" s="38">
        <v>11</v>
      </c>
      <c r="E138" t="s">
        <v>16</v>
      </c>
      <c r="F138">
        <v>2505058</v>
      </c>
      <c r="G138" t="s">
        <v>142</v>
      </c>
      <c r="H138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4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hidden="1" x14ac:dyDescent="0.25">
      <c r="A139" s="1">
        <v>45981</v>
      </c>
      <c r="B139" s="1">
        <v>45981</v>
      </c>
      <c r="C139" t="s">
        <v>15</v>
      </c>
      <c r="D139" s="38">
        <v>11</v>
      </c>
      <c r="E139" t="s">
        <v>16</v>
      </c>
      <c r="F139">
        <v>2505059</v>
      </c>
      <c r="G139" t="s">
        <v>143</v>
      </c>
      <c r="H139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4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hidden="1" x14ac:dyDescent="0.25">
      <c r="A140" s="1">
        <v>45966</v>
      </c>
      <c r="B140" s="1">
        <v>45966</v>
      </c>
      <c r="C140" t="s">
        <v>15</v>
      </c>
      <c r="D140" s="38">
        <v>11</v>
      </c>
      <c r="E140" t="s">
        <v>16</v>
      </c>
      <c r="F140">
        <v>408042</v>
      </c>
      <c r="G140" t="s">
        <v>144</v>
      </c>
      <c r="H140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4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hidden="1" x14ac:dyDescent="0.25">
      <c r="A141" s="1">
        <v>45979</v>
      </c>
      <c r="B141" s="1">
        <v>45979</v>
      </c>
      <c r="C141" t="s">
        <v>75</v>
      </c>
      <c r="D141" s="38">
        <v>11</v>
      </c>
      <c r="E141" t="s">
        <v>145</v>
      </c>
      <c r="F141">
        <v>410045</v>
      </c>
      <c r="G141" t="s">
        <v>110</v>
      </c>
      <c r="H14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4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hidden="1" x14ac:dyDescent="0.25">
      <c r="A142" s="1">
        <v>45979</v>
      </c>
      <c r="B142" s="1">
        <v>45979</v>
      </c>
      <c r="C142" t="s">
        <v>75</v>
      </c>
      <c r="D142" s="38">
        <v>11</v>
      </c>
      <c r="E142" t="s">
        <v>145</v>
      </c>
      <c r="F142">
        <v>302028</v>
      </c>
      <c r="G142" t="s">
        <v>246</v>
      </c>
      <c r="H142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4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hidden="1" x14ac:dyDescent="0.25">
      <c r="A143" s="1">
        <v>45979</v>
      </c>
      <c r="B143" s="1">
        <v>45979</v>
      </c>
      <c r="C143" t="s">
        <v>75</v>
      </c>
      <c r="D143" s="38">
        <v>11</v>
      </c>
      <c r="E143" t="s">
        <v>145</v>
      </c>
      <c r="F143">
        <v>302046</v>
      </c>
      <c r="G143" t="s">
        <v>115</v>
      </c>
      <c r="H143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4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hidden="1" x14ac:dyDescent="0.25">
      <c r="A144" s="1">
        <v>45979</v>
      </c>
      <c r="B144" s="1">
        <v>45979</v>
      </c>
      <c r="C144" t="s">
        <v>75</v>
      </c>
      <c r="D144" s="38">
        <v>11</v>
      </c>
      <c r="E144" t="s">
        <v>145</v>
      </c>
      <c r="F144">
        <v>304101</v>
      </c>
      <c r="G144" t="s">
        <v>17</v>
      </c>
      <c r="H144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4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hidden="1" x14ac:dyDescent="0.25">
      <c r="A145" s="1">
        <v>45979</v>
      </c>
      <c r="B145" s="1">
        <v>45979</v>
      </c>
      <c r="C145" t="s">
        <v>75</v>
      </c>
      <c r="D145" s="38">
        <v>11</v>
      </c>
      <c r="E145" t="s">
        <v>145</v>
      </c>
      <c r="F145">
        <v>304007</v>
      </c>
      <c r="G145" t="s">
        <v>80</v>
      </c>
      <c r="H145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4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hidden="1" x14ac:dyDescent="0.25">
      <c r="A146" s="1">
        <v>45979</v>
      </c>
      <c r="B146" s="1">
        <v>45979</v>
      </c>
      <c r="C146" t="s">
        <v>75</v>
      </c>
      <c r="D146" s="38">
        <v>11</v>
      </c>
      <c r="E146" t="s">
        <v>145</v>
      </c>
      <c r="F146">
        <v>304002</v>
      </c>
      <c r="G146" t="s">
        <v>37</v>
      </c>
      <c r="H146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4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hidden="1" x14ac:dyDescent="0.25">
      <c r="A147" s="1">
        <v>45979</v>
      </c>
      <c r="B147" s="1">
        <v>45979</v>
      </c>
      <c r="C147" t="s">
        <v>75</v>
      </c>
      <c r="D147" s="38">
        <v>11</v>
      </c>
      <c r="E147" t="s">
        <v>145</v>
      </c>
      <c r="F147">
        <v>701040</v>
      </c>
      <c r="G147" t="s">
        <v>19</v>
      </c>
      <c r="H147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4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hidden="1" x14ac:dyDescent="0.25">
      <c r="A148" s="1">
        <v>45979</v>
      </c>
      <c r="B148" s="1">
        <v>45979</v>
      </c>
      <c r="C148" t="s">
        <v>75</v>
      </c>
      <c r="D148" s="38">
        <v>11</v>
      </c>
      <c r="E148" t="s">
        <v>145</v>
      </c>
      <c r="F148">
        <v>1901505</v>
      </c>
      <c r="G148" t="s">
        <v>27</v>
      </c>
      <c r="H148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4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hidden="1" x14ac:dyDescent="0.25">
      <c r="A149" s="1">
        <v>45979</v>
      </c>
      <c r="B149" s="1">
        <v>45979</v>
      </c>
      <c r="C149" t="s">
        <v>75</v>
      </c>
      <c r="D149" s="38">
        <v>11</v>
      </c>
      <c r="E149" t="s">
        <v>145</v>
      </c>
      <c r="F149">
        <v>407170</v>
      </c>
      <c r="G149" t="s">
        <v>107</v>
      </c>
      <c r="H149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4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hidden="1" x14ac:dyDescent="0.25">
      <c r="A150" s="1">
        <v>45979</v>
      </c>
      <c r="B150" s="1">
        <v>45979</v>
      </c>
      <c r="C150" t="s">
        <v>75</v>
      </c>
      <c r="D150" s="38">
        <v>11</v>
      </c>
      <c r="E150" t="s">
        <v>145</v>
      </c>
      <c r="F150">
        <v>407423</v>
      </c>
      <c r="G150" t="s">
        <v>106</v>
      </c>
      <c r="H150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4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hidden="1" x14ac:dyDescent="0.25">
      <c r="A151" s="1">
        <v>45979</v>
      </c>
      <c r="B151" s="1">
        <v>45979</v>
      </c>
      <c r="C151" t="s">
        <v>75</v>
      </c>
      <c r="D151" s="38">
        <v>11</v>
      </c>
      <c r="E151" t="s">
        <v>145</v>
      </c>
      <c r="F151">
        <v>304014</v>
      </c>
      <c r="G151" t="s">
        <v>23</v>
      </c>
      <c r="H15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4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hidden="1" x14ac:dyDescent="0.25">
      <c r="A152" s="1">
        <v>45979</v>
      </c>
      <c r="B152" s="1">
        <v>45979</v>
      </c>
      <c r="C152" t="s">
        <v>75</v>
      </c>
      <c r="D152" s="38">
        <v>11</v>
      </c>
      <c r="E152" t="s">
        <v>145</v>
      </c>
      <c r="F152">
        <v>1901008</v>
      </c>
      <c r="G152" t="s">
        <v>278</v>
      </c>
      <c r="H152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4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hidden="1" x14ac:dyDescent="0.25">
      <c r="A153" s="1">
        <v>45979</v>
      </c>
      <c r="B153" s="1">
        <v>45979</v>
      </c>
      <c r="C153" t="s">
        <v>146</v>
      </c>
      <c r="D153" s="38">
        <v>11</v>
      </c>
      <c r="E153" t="s">
        <v>147</v>
      </c>
      <c r="F153">
        <v>302019</v>
      </c>
      <c r="G153" t="s">
        <v>78</v>
      </c>
      <c r="H153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4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hidden="1" x14ac:dyDescent="0.25">
      <c r="A154" s="1">
        <v>45979</v>
      </c>
      <c r="B154" s="1">
        <v>45979</v>
      </c>
      <c r="C154" t="s">
        <v>15</v>
      </c>
      <c r="D154" s="38">
        <v>11</v>
      </c>
      <c r="E154" t="s">
        <v>16</v>
      </c>
      <c r="F154">
        <v>307256</v>
      </c>
      <c r="G154" t="s">
        <v>127</v>
      </c>
      <c r="H154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4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hidden="1" x14ac:dyDescent="0.25">
      <c r="A155" s="1">
        <v>45975</v>
      </c>
      <c r="B155" s="1">
        <v>45975</v>
      </c>
      <c r="C155" t="s">
        <v>375</v>
      </c>
      <c r="D155" s="38">
        <v>11</v>
      </c>
      <c r="E155" t="s">
        <v>148</v>
      </c>
      <c r="F155">
        <v>1003500</v>
      </c>
      <c r="G155" t="s">
        <v>149</v>
      </c>
      <c r="H155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4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hidden="1" x14ac:dyDescent="0.25">
      <c r="A156" s="1">
        <v>45974</v>
      </c>
      <c r="B156" s="1">
        <v>45974</v>
      </c>
      <c r="C156" t="s">
        <v>15</v>
      </c>
      <c r="D156" s="38">
        <v>11</v>
      </c>
      <c r="E156" t="s">
        <v>16</v>
      </c>
      <c r="F156" t="s">
        <v>87</v>
      </c>
      <c r="G156" t="s">
        <v>88</v>
      </c>
      <c r="H156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4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hidden="1" x14ac:dyDescent="0.25">
      <c r="A157" s="1">
        <v>45973</v>
      </c>
      <c r="B157" s="1">
        <v>45973</v>
      </c>
      <c r="C157" t="s">
        <v>15</v>
      </c>
      <c r="D157" s="38">
        <v>11</v>
      </c>
      <c r="E157" t="s">
        <v>151</v>
      </c>
      <c r="F157">
        <v>409027</v>
      </c>
      <c r="G157" t="s">
        <v>152</v>
      </c>
      <c r="H157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4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hidden="1" x14ac:dyDescent="0.25">
      <c r="A158" s="1">
        <v>45973</v>
      </c>
      <c r="B158" s="1">
        <v>45973</v>
      </c>
      <c r="C158" t="s">
        <v>15</v>
      </c>
      <c r="D158" s="38">
        <v>11</v>
      </c>
      <c r="E158" t="s">
        <v>151</v>
      </c>
      <c r="F158" t="s">
        <v>153</v>
      </c>
      <c r="G158" t="s">
        <v>154</v>
      </c>
      <c r="H158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4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hidden="1" x14ac:dyDescent="0.25">
      <c r="A159" s="1">
        <v>45973</v>
      </c>
      <c r="B159" s="1">
        <v>45973</v>
      </c>
      <c r="C159" t="s">
        <v>15</v>
      </c>
      <c r="D159" s="38">
        <v>11</v>
      </c>
      <c r="E159" t="s">
        <v>151</v>
      </c>
      <c r="F159">
        <v>1902003</v>
      </c>
      <c r="G159" t="s">
        <v>155</v>
      </c>
      <c r="H159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4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hidden="1" x14ac:dyDescent="0.25">
      <c r="A160" s="1">
        <v>45973</v>
      </c>
      <c r="B160" s="1">
        <v>45973</v>
      </c>
      <c r="C160" t="s">
        <v>15</v>
      </c>
      <c r="D160" s="38">
        <v>11</v>
      </c>
      <c r="E160" t="s">
        <v>151</v>
      </c>
      <c r="F160">
        <v>1901038</v>
      </c>
      <c r="G160" t="s">
        <v>39</v>
      </c>
      <c r="H160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4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hidden="1" x14ac:dyDescent="0.25">
      <c r="A161" s="1">
        <v>45973</v>
      </c>
      <c r="B161" s="1">
        <v>45973</v>
      </c>
      <c r="C161" t="s">
        <v>15</v>
      </c>
      <c r="D161" s="38">
        <v>11</v>
      </c>
      <c r="E161" t="s">
        <v>151</v>
      </c>
      <c r="F161">
        <v>304002</v>
      </c>
      <c r="G161" t="s">
        <v>37</v>
      </c>
      <c r="H16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4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hidden="1" x14ac:dyDescent="0.25">
      <c r="A162" s="1">
        <v>45973</v>
      </c>
      <c r="B162" s="1">
        <v>45973</v>
      </c>
      <c r="C162" t="s">
        <v>15</v>
      </c>
      <c r="D162" s="38">
        <v>11</v>
      </c>
      <c r="E162" t="s">
        <v>151</v>
      </c>
      <c r="F162">
        <v>2302017</v>
      </c>
      <c r="G162" t="s">
        <v>156</v>
      </c>
      <c r="H162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4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hidden="1" x14ac:dyDescent="0.25">
      <c r="A163" s="1">
        <v>45973</v>
      </c>
      <c r="B163" s="1">
        <v>45973</v>
      </c>
      <c r="C163" t="s">
        <v>15</v>
      </c>
      <c r="D163" s="38">
        <v>11</v>
      </c>
      <c r="E163" t="s">
        <v>151</v>
      </c>
      <c r="F163">
        <v>409027</v>
      </c>
      <c r="G163" t="s">
        <v>152</v>
      </c>
      <c r="H163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4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hidden="1" x14ac:dyDescent="0.25">
      <c r="A164" s="1">
        <v>45971</v>
      </c>
      <c r="B164" s="1">
        <v>45971</v>
      </c>
      <c r="C164" t="s">
        <v>75</v>
      </c>
      <c r="D164" s="38">
        <v>11</v>
      </c>
      <c r="E164" t="s">
        <v>124</v>
      </c>
      <c r="F164">
        <v>2302098</v>
      </c>
      <c r="G164" t="s">
        <v>24</v>
      </c>
      <c r="H164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4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hidden="1" x14ac:dyDescent="0.25">
      <c r="A165" s="1">
        <v>45971</v>
      </c>
      <c r="B165" s="1">
        <v>45971</v>
      </c>
      <c r="C165" t="s">
        <v>75</v>
      </c>
      <c r="D165" s="38">
        <v>11</v>
      </c>
      <c r="E165" t="s">
        <v>124</v>
      </c>
      <c r="F165">
        <v>302044</v>
      </c>
      <c r="G165" t="s">
        <v>247</v>
      </c>
      <c r="H165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4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hidden="1" x14ac:dyDescent="0.25">
      <c r="A166" s="1">
        <v>45971</v>
      </c>
      <c r="B166" s="1">
        <v>45971</v>
      </c>
      <c r="C166" t="s">
        <v>75</v>
      </c>
      <c r="D166" s="38">
        <v>11</v>
      </c>
      <c r="E166" t="s">
        <v>124</v>
      </c>
      <c r="F166" t="s">
        <v>21</v>
      </c>
      <c r="G166" t="s">
        <v>22</v>
      </c>
      <c r="H166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4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hidden="1" x14ac:dyDescent="0.25">
      <c r="A167" s="1">
        <v>45971</v>
      </c>
      <c r="B167" s="1">
        <v>45971</v>
      </c>
      <c r="C167" t="s">
        <v>75</v>
      </c>
      <c r="D167" s="38">
        <v>11</v>
      </c>
      <c r="E167" t="s">
        <v>124</v>
      </c>
      <c r="F167">
        <v>304101</v>
      </c>
      <c r="G167" t="s">
        <v>17</v>
      </c>
      <c r="H167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4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hidden="1" x14ac:dyDescent="0.25">
      <c r="A168" s="1">
        <v>45971</v>
      </c>
      <c r="B168" s="1">
        <v>45971</v>
      </c>
      <c r="C168" t="s">
        <v>75</v>
      </c>
      <c r="D168" s="38">
        <v>11</v>
      </c>
      <c r="E168" t="s">
        <v>124</v>
      </c>
      <c r="F168">
        <v>1901505</v>
      </c>
      <c r="G168" t="s">
        <v>27</v>
      </c>
      <c r="H168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4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hidden="1" x14ac:dyDescent="0.25">
      <c r="A169" s="1">
        <v>45971</v>
      </c>
      <c r="B169" s="1">
        <v>45971</v>
      </c>
      <c r="C169" t="s">
        <v>75</v>
      </c>
      <c r="D169" s="38">
        <v>11</v>
      </c>
      <c r="E169" t="s">
        <v>124</v>
      </c>
      <c r="F169">
        <v>304014</v>
      </c>
      <c r="G169" t="s">
        <v>23</v>
      </c>
      <c r="H169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4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hidden="1" x14ac:dyDescent="0.25">
      <c r="A170" s="1">
        <v>45985</v>
      </c>
      <c r="B170" s="1">
        <v>45985</v>
      </c>
      <c r="C170" t="s">
        <v>15</v>
      </c>
      <c r="D170" s="38">
        <v>11</v>
      </c>
      <c r="E170" t="s">
        <v>16</v>
      </c>
      <c r="F170">
        <v>705028</v>
      </c>
      <c r="G170" t="s">
        <v>72</v>
      </c>
      <c r="H170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4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hidden="1" x14ac:dyDescent="0.25">
      <c r="A171" s="1">
        <v>45980</v>
      </c>
      <c r="B171" s="1">
        <v>45980</v>
      </c>
      <c r="C171" t="s">
        <v>15</v>
      </c>
      <c r="D171" s="38">
        <v>11</v>
      </c>
      <c r="E171" t="s">
        <v>157</v>
      </c>
      <c r="F171">
        <v>307263</v>
      </c>
      <c r="G171" t="s">
        <v>158</v>
      </c>
      <c r="H17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4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hidden="1" x14ac:dyDescent="0.25">
      <c r="A172" s="1">
        <v>45972</v>
      </c>
      <c r="B172" s="1">
        <v>45972</v>
      </c>
      <c r="C172" t="s">
        <v>15</v>
      </c>
      <c r="D172" s="38">
        <v>11</v>
      </c>
      <c r="E172" t="s">
        <v>16</v>
      </c>
      <c r="F172">
        <v>410045</v>
      </c>
      <c r="G172" t="s">
        <v>110</v>
      </c>
      <c r="H172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4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hidden="1" x14ac:dyDescent="0.25">
      <c r="A173" s="1">
        <v>45972</v>
      </c>
      <c r="B173" s="1">
        <v>45972</v>
      </c>
      <c r="C173" t="s">
        <v>15</v>
      </c>
      <c r="D173" s="38">
        <v>11</v>
      </c>
      <c r="E173" t="s">
        <v>16</v>
      </c>
      <c r="F173">
        <v>302028</v>
      </c>
      <c r="G173" t="s">
        <v>246</v>
      </c>
      <c r="H173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4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hidden="1" x14ac:dyDescent="0.25">
      <c r="A174" s="1">
        <v>45972</v>
      </c>
      <c r="B174" s="1">
        <v>45972</v>
      </c>
      <c r="C174" t="s">
        <v>15</v>
      </c>
      <c r="D174" s="38">
        <v>11</v>
      </c>
      <c r="E174" t="s">
        <v>16</v>
      </c>
      <c r="F174">
        <v>302046</v>
      </c>
      <c r="G174" t="s">
        <v>115</v>
      </c>
      <c r="H174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4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hidden="1" x14ac:dyDescent="0.25">
      <c r="A175" s="1">
        <v>45972</v>
      </c>
      <c r="B175" s="1">
        <v>45972</v>
      </c>
      <c r="C175" t="s">
        <v>15</v>
      </c>
      <c r="D175" s="38">
        <v>11</v>
      </c>
      <c r="E175" t="s">
        <v>16</v>
      </c>
      <c r="F175">
        <v>1901505</v>
      </c>
      <c r="G175" t="s">
        <v>27</v>
      </c>
      <c r="H175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4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hidden="1" x14ac:dyDescent="0.25">
      <c r="A176" s="1">
        <v>45979</v>
      </c>
      <c r="B176" s="1">
        <v>45979</v>
      </c>
      <c r="C176" t="s">
        <v>15</v>
      </c>
      <c r="D176" s="38">
        <v>11</v>
      </c>
      <c r="E176" t="s">
        <v>16</v>
      </c>
      <c r="F176">
        <v>307256</v>
      </c>
      <c r="G176" t="s">
        <v>127</v>
      </c>
      <c r="H176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4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hidden="1" x14ac:dyDescent="0.25">
      <c r="A177" s="1">
        <v>46056</v>
      </c>
      <c r="B177" s="1">
        <v>46052</v>
      </c>
      <c r="C177" t="s">
        <v>15</v>
      </c>
      <c r="D177" s="38">
        <v>1</v>
      </c>
      <c r="E177" t="s">
        <v>16</v>
      </c>
      <c r="F177">
        <v>302044</v>
      </c>
      <c r="G177" t="s">
        <v>247</v>
      </c>
      <c r="H177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4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hidden="1" x14ac:dyDescent="0.25">
      <c r="A178" s="1">
        <v>46056</v>
      </c>
      <c r="B178" s="1">
        <v>46052</v>
      </c>
      <c r="C178" t="s">
        <v>15</v>
      </c>
      <c r="D178" s="38">
        <v>1</v>
      </c>
      <c r="E178" t="s">
        <v>16</v>
      </c>
      <c r="F178" t="s">
        <v>21</v>
      </c>
      <c r="G178" t="s">
        <v>22</v>
      </c>
      <c r="H178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4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hidden="1" x14ac:dyDescent="0.25">
      <c r="A179" s="1">
        <v>46056</v>
      </c>
      <c r="B179" s="1">
        <v>46052</v>
      </c>
      <c r="C179" t="s">
        <v>15</v>
      </c>
      <c r="D179" s="38">
        <v>1</v>
      </c>
      <c r="E179" t="s">
        <v>16</v>
      </c>
      <c r="F179">
        <v>410126</v>
      </c>
      <c r="G179" t="s">
        <v>159</v>
      </c>
      <c r="H179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4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hidden="1" x14ac:dyDescent="0.25">
      <c r="A180" s="1">
        <v>46056</v>
      </c>
      <c r="B180" s="1">
        <v>46052</v>
      </c>
      <c r="C180" t="s">
        <v>15</v>
      </c>
      <c r="D180" s="38">
        <v>1</v>
      </c>
      <c r="E180" t="s">
        <v>16</v>
      </c>
      <c r="F180">
        <v>302028</v>
      </c>
      <c r="G180" t="s">
        <v>246</v>
      </c>
      <c r="H180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4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hidden="1" x14ac:dyDescent="0.25">
      <c r="A181" s="1">
        <v>46056</v>
      </c>
      <c r="B181" s="1">
        <v>46052</v>
      </c>
      <c r="C181" t="s">
        <v>15</v>
      </c>
      <c r="D181" s="38">
        <v>1</v>
      </c>
      <c r="E181" t="s">
        <v>16</v>
      </c>
      <c r="F181">
        <v>302046</v>
      </c>
      <c r="G181" t="s">
        <v>115</v>
      </c>
      <c r="H1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4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hidden="1" x14ac:dyDescent="0.25">
      <c r="A182" s="1">
        <v>46056</v>
      </c>
      <c r="B182" s="1">
        <v>46052</v>
      </c>
      <c r="C182" t="s">
        <v>15</v>
      </c>
      <c r="D182" s="38">
        <v>1</v>
      </c>
      <c r="E182" t="s">
        <v>16</v>
      </c>
      <c r="F182">
        <v>408071</v>
      </c>
      <c r="G182" t="s">
        <v>111</v>
      </c>
      <c r="H182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4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hidden="1" x14ac:dyDescent="0.25">
      <c r="A183" s="1">
        <v>46056</v>
      </c>
      <c r="B183" s="1">
        <v>46052</v>
      </c>
      <c r="C183" t="s">
        <v>15</v>
      </c>
      <c r="D183" s="38">
        <v>1</v>
      </c>
      <c r="E183" t="s">
        <v>16</v>
      </c>
      <c r="F183">
        <v>701040</v>
      </c>
      <c r="G183" t="s">
        <v>19</v>
      </c>
      <c r="H183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4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hidden="1" x14ac:dyDescent="0.25">
      <c r="A184" s="1">
        <v>46056</v>
      </c>
      <c r="B184" s="1">
        <v>46052</v>
      </c>
      <c r="C184" t="s">
        <v>15</v>
      </c>
      <c r="D184" s="38">
        <v>1</v>
      </c>
      <c r="E184" t="s">
        <v>160</v>
      </c>
      <c r="F184">
        <v>304014</v>
      </c>
      <c r="G184" t="s">
        <v>23</v>
      </c>
      <c r="H184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4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hidden="1" x14ac:dyDescent="0.25">
      <c r="A185" s="1">
        <v>46056</v>
      </c>
      <c r="B185" s="1">
        <v>46050</v>
      </c>
      <c r="C185" t="s">
        <v>15</v>
      </c>
      <c r="D185" s="38">
        <v>1</v>
      </c>
      <c r="E185" t="s">
        <v>16</v>
      </c>
      <c r="F185">
        <v>2505058</v>
      </c>
      <c r="G185" t="s">
        <v>142</v>
      </c>
      <c r="H185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4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hidden="1" x14ac:dyDescent="0.25">
      <c r="A186" s="1">
        <v>46056</v>
      </c>
      <c r="B186" s="1">
        <v>46050</v>
      </c>
      <c r="C186" t="s">
        <v>15</v>
      </c>
      <c r="D186" s="38">
        <v>1</v>
      </c>
      <c r="E186" t="s">
        <v>16</v>
      </c>
      <c r="F186">
        <v>1802659</v>
      </c>
      <c r="G186" t="s">
        <v>161</v>
      </c>
      <c r="H186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4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hidden="1" x14ac:dyDescent="0.25">
      <c r="A187" s="1">
        <v>46056</v>
      </c>
      <c r="B187" s="1">
        <v>46050</v>
      </c>
      <c r="C187" t="s">
        <v>15</v>
      </c>
      <c r="D187" s="38">
        <v>1</v>
      </c>
      <c r="E187" t="s">
        <v>16</v>
      </c>
      <c r="F187">
        <v>1802515</v>
      </c>
      <c r="G187" t="s">
        <v>162</v>
      </c>
      <c r="H187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4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hidden="1" x14ac:dyDescent="0.25">
      <c r="A188" s="1">
        <v>46056</v>
      </c>
      <c r="B188" s="1">
        <v>46050</v>
      </c>
      <c r="C188" t="s">
        <v>15</v>
      </c>
      <c r="D188" s="38">
        <v>1</v>
      </c>
      <c r="E188" t="s">
        <v>16</v>
      </c>
      <c r="F188">
        <v>407423</v>
      </c>
      <c r="G188" t="s">
        <v>106</v>
      </c>
      <c r="H188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4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hidden="1" x14ac:dyDescent="0.25">
      <c r="A189" s="1">
        <v>46056</v>
      </c>
      <c r="B189" s="1">
        <v>46049</v>
      </c>
      <c r="C189" t="s">
        <v>15</v>
      </c>
      <c r="D189" s="38">
        <v>1</v>
      </c>
      <c r="E189" t="s">
        <v>16</v>
      </c>
      <c r="F189">
        <v>407307</v>
      </c>
      <c r="G189" t="s">
        <v>163</v>
      </c>
      <c r="H189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4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hidden="1" x14ac:dyDescent="0.25">
      <c r="A190" s="1">
        <v>46056</v>
      </c>
      <c r="B190" s="1">
        <v>46049</v>
      </c>
      <c r="C190" t="s">
        <v>15</v>
      </c>
      <c r="D190" s="38">
        <v>1</v>
      </c>
      <c r="E190" t="s">
        <v>16</v>
      </c>
      <c r="F190">
        <v>407010</v>
      </c>
      <c r="G190" t="s">
        <v>164</v>
      </c>
      <c r="H190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4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hidden="1" x14ac:dyDescent="0.25">
      <c r="A191" s="1">
        <v>46056</v>
      </c>
      <c r="B191" s="1">
        <v>46049</v>
      </c>
      <c r="C191" t="s">
        <v>15</v>
      </c>
      <c r="D191" s="38">
        <v>1</v>
      </c>
      <c r="E191" t="s">
        <v>16</v>
      </c>
      <c r="F191">
        <v>407307</v>
      </c>
      <c r="G191" t="s">
        <v>163</v>
      </c>
      <c r="H19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4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hidden="1" x14ac:dyDescent="0.25">
      <c r="A192" s="1">
        <v>46056</v>
      </c>
      <c r="B192" s="1">
        <v>46049</v>
      </c>
      <c r="C192" t="s">
        <v>15</v>
      </c>
      <c r="D192" s="38">
        <v>1</v>
      </c>
      <c r="E192" t="s">
        <v>16</v>
      </c>
      <c r="F192">
        <v>407010</v>
      </c>
      <c r="G192" t="s">
        <v>164</v>
      </c>
      <c r="H192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4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hidden="1" x14ac:dyDescent="0.25">
      <c r="A193" s="1">
        <v>46056</v>
      </c>
      <c r="B193" s="1">
        <v>46048</v>
      </c>
      <c r="C193" t="s">
        <v>15</v>
      </c>
      <c r="D193" s="38">
        <v>1</v>
      </c>
      <c r="E193" t="s">
        <v>16</v>
      </c>
      <c r="F193">
        <v>407117</v>
      </c>
      <c r="G193" t="s">
        <v>32</v>
      </c>
      <c r="H193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4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hidden="1" x14ac:dyDescent="0.25">
      <c r="A194" s="1">
        <v>46056</v>
      </c>
      <c r="B194" s="1">
        <v>46048</v>
      </c>
      <c r="C194" t="s">
        <v>15</v>
      </c>
      <c r="D194" s="38">
        <v>1</v>
      </c>
      <c r="E194" t="s">
        <v>16</v>
      </c>
      <c r="F194">
        <v>412302</v>
      </c>
      <c r="G194" t="s">
        <v>165</v>
      </c>
      <c r="H194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4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hidden="1" x14ac:dyDescent="0.25">
      <c r="A195" s="1">
        <v>46056</v>
      </c>
      <c r="B195" s="1">
        <v>46048</v>
      </c>
      <c r="C195" t="s">
        <v>15</v>
      </c>
      <c r="D195" s="38">
        <v>1</v>
      </c>
      <c r="E195" t="s">
        <v>16</v>
      </c>
      <c r="F195">
        <v>407011</v>
      </c>
      <c r="G195" t="s">
        <v>30</v>
      </c>
      <c r="H195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4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hidden="1" x14ac:dyDescent="0.25">
      <c r="A196" s="1">
        <v>46056</v>
      </c>
      <c r="B196" s="1">
        <v>46048</v>
      </c>
      <c r="C196" t="s">
        <v>15</v>
      </c>
      <c r="D196" s="38">
        <v>1</v>
      </c>
      <c r="E196" t="s">
        <v>16</v>
      </c>
      <c r="F196">
        <v>407185</v>
      </c>
      <c r="G196" t="s">
        <v>43</v>
      </c>
      <c r="H196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4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hidden="1" x14ac:dyDescent="0.25">
      <c r="A197" s="1">
        <v>46056</v>
      </c>
      <c r="B197" s="1">
        <v>46045</v>
      </c>
      <c r="C197" t="s">
        <v>15</v>
      </c>
      <c r="D197" s="38">
        <v>1</v>
      </c>
      <c r="E197" t="s">
        <v>16</v>
      </c>
      <c r="F197">
        <v>410126</v>
      </c>
      <c r="G197" t="s">
        <v>159</v>
      </c>
      <c r="H197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4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hidden="1" x14ac:dyDescent="0.25">
      <c r="A198" s="1">
        <v>46056</v>
      </c>
      <c r="B198" s="1">
        <v>46045</v>
      </c>
      <c r="C198" t="s">
        <v>15</v>
      </c>
      <c r="D198" s="38">
        <v>1</v>
      </c>
      <c r="E198" t="s">
        <v>16</v>
      </c>
      <c r="F198">
        <v>5309018</v>
      </c>
      <c r="G198" t="s">
        <v>112</v>
      </c>
      <c r="H198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4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hidden="1" x14ac:dyDescent="0.25">
      <c r="A199" s="1">
        <v>46056</v>
      </c>
      <c r="B199" s="1">
        <v>46045</v>
      </c>
      <c r="C199" t="s">
        <v>15</v>
      </c>
      <c r="D199" s="38">
        <v>1</v>
      </c>
      <c r="E199" t="s">
        <v>16</v>
      </c>
      <c r="F199">
        <v>307256</v>
      </c>
      <c r="G199" t="s">
        <v>127</v>
      </c>
      <c r="H199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4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hidden="1" x14ac:dyDescent="0.25">
      <c r="A200" s="1">
        <v>46056</v>
      </c>
      <c r="B200" s="1">
        <v>46044</v>
      </c>
      <c r="C200" t="s">
        <v>15</v>
      </c>
      <c r="D200" s="38">
        <v>1</v>
      </c>
      <c r="E200" t="s">
        <v>16</v>
      </c>
      <c r="F200">
        <v>1801230</v>
      </c>
      <c r="G200" t="s">
        <v>51</v>
      </c>
      <c r="H200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4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hidden="1" x14ac:dyDescent="0.25">
      <c r="A201" s="1">
        <v>46056</v>
      </c>
      <c r="B201" s="1">
        <v>46044</v>
      </c>
      <c r="C201" t="s">
        <v>15</v>
      </c>
      <c r="D201" s="38">
        <v>1</v>
      </c>
      <c r="E201" t="s">
        <v>16</v>
      </c>
      <c r="F201">
        <v>1801020</v>
      </c>
      <c r="G201" t="s">
        <v>53</v>
      </c>
      <c r="H20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4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hidden="1" x14ac:dyDescent="0.25">
      <c r="A202" s="1">
        <v>46056</v>
      </c>
      <c r="B202" s="1">
        <v>46042</v>
      </c>
      <c r="C202" t="s">
        <v>15</v>
      </c>
      <c r="D202" s="38">
        <v>1</v>
      </c>
      <c r="E202" t="s">
        <v>16</v>
      </c>
      <c r="F202">
        <v>302028</v>
      </c>
      <c r="G202" t="s">
        <v>246</v>
      </c>
      <c r="H202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4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hidden="1" x14ac:dyDescent="0.25">
      <c r="A203" s="1">
        <v>46056</v>
      </c>
      <c r="B203" s="1">
        <v>46042</v>
      </c>
      <c r="C203" t="s">
        <v>15</v>
      </c>
      <c r="D203" s="38">
        <v>1</v>
      </c>
      <c r="E203" t="s">
        <v>16</v>
      </c>
      <c r="F203">
        <v>407423</v>
      </c>
      <c r="G203" t="s">
        <v>106</v>
      </c>
      <c r="H203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4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hidden="1" x14ac:dyDescent="0.25">
      <c r="A204" s="1">
        <v>46056</v>
      </c>
      <c r="B204" s="1">
        <v>46042</v>
      </c>
      <c r="C204" t="s">
        <v>15</v>
      </c>
      <c r="D204" s="38">
        <v>1</v>
      </c>
      <c r="E204" t="s">
        <v>16</v>
      </c>
      <c r="F204">
        <v>407011</v>
      </c>
      <c r="G204" t="s">
        <v>30</v>
      </c>
      <c r="H204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4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hidden="1" x14ac:dyDescent="0.25">
      <c r="A205" s="1">
        <v>46056</v>
      </c>
      <c r="B205" s="1">
        <v>46041</v>
      </c>
      <c r="C205" t="s">
        <v>15</v>
      </c>
      <c r="D205" s="38">
        <v>1</v>
      </c>
      <c r="E205" t="s">
        <v>16</v>
      </c>
      <c r="F205">
        <v>302028</v>
      </c>
      <c r="G205" t="s">
        <v>246</v>
      </c>
      <c r="H205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4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hidden="1" x14ac:dyDescent="0.25">
      <c r="A206" s="1">
        <v>46056</v>
      </c>
      <c r="B206" s="1">
        <v>46041</v>
      </c>
      <c r="C206" t="s">
        <v>15</v>
      </c>
      <c r="D206" s="38">
        <v>1</v>
      </c>
      <c r="E206" t="s">
        <v>16</v>
      </c>
      <c r="F206">
        <v>302046</v>
      </c>
      <c r="G206" t="s">
        <v>115</v>
      </c>
      <c r="H206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4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hidden="1" x14ac:dyDescent="0.25">
      <c r="A207" s="1">
        <v>46056</v>
      </c>
      <c r="B207" s="1">
        <v>46036</v>
      </c>
      <c r="C207" t="s">
        <v>15</v>
      </c>
      <c r="D207" s="38">
        <v>1</v>
      </c>
      <c r="E207" t="s">
        <v>16</v>
      </c>
      <c r="F207">
        <v>302028</v>
      </c>
      <c r="G207" t="s">
        <v>246</v>
      </c>
      <c r="H207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4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hidden="1" x14ac:dyDescent="0.25">
      <c r="A208" s="1">
        <v>46056</v>
      </c>
      <c r="B208" s="1">
        <v>46035</v>
      </c>
      <c r="C208" t="s">
        <v>15</v>
      </c>
      <c r="D208" s="38">
        <v>1</v>
      </c>
      <c r="E208" t="s">
        <v>16</v>
      </c>
      <c r="F208">
        <v>407423</v>
      </c>
      <c r="G208" t="s">
        <v>106</v>
      </c>
      <c r="H208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4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hidden="1" x14ac:dyDescent="0.25">
      <c r="A209" s="1">
        <v>46056</v>
      </c>
      <c r="B209" s="1">
        <v>46035</v>
      </c>
      <c r="C209" t="s">
        <v>15</v>
      </c>
      <c r="D209" s="38">
        <v>1</v>
      </c>
      <c r="E209" t="s">
        <v>16</v>
      </c>
      <c r="F209">
        <v>408071</v>
      </c>
      <c r="G209" t="s">
        <v>111</v>
      </c>
      <c r="H209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4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hidden="1" x14ac:dyDescent="0.25">
      <c r="A210" s="1">
        <v>46056</v>
      </c>
      <c r="B210" s="1">
        <v>46035</v>
      </c>
      <c r="C210" t="s">
        <v>15</v>
      </c>
      <c r="D210" s="38">
        <v>1</v>
      </c>
      <c r="E210" t="s">
        <v>16</v>
      </c>
      <c r="F210">
        <v>407011</v>
      </c>
      <c r="G210" t="s">
        <v>30</v>
      </c>
      <c r="H210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4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hidden="1" x14ac:dyDescent="0.25">
      <c r="A211" s="1">
        <v>46056</v>
      </c>
      <c r="B211" s="1">
        <v>46034</v>
      </c>
      <c r="C211" t="s">
        <v>15</v>
      </c>
      <c r="D211" s="38">
        <v>1</v>
      </c>
      <c r="E211" t="s">
        <v>16</v>
      </c>
      <c r="F211" t="s">
        <v>166</v>
      </c>
      <c r="G211" t="s">
        <v>167</v>
      </c>
      <c r="H21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4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hidden="1" x14ac:dyDescent="0.25">
      <c r="A212" s="1">
        <v>46055</v>
      </c>
      <c r="B212" s="1">
        <v>46055</v>
      </c>
      <c r="C212" t="s">
        <v>168</v>
      </c>
      <c r="D212" s="38">
        <v>2</v>
      </c>
      <c r="E212" t="s">
        <v>124</v>
      </c>
      <c r="F212">
        <v>407423</v>
      </c>
      <c r="G212" t="s">
        <v>106</v>
      </c>
      <c r="H212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4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hidden="1" x14ac:dyDescent="0.25">
      <c r="A213" s="1">
        <v>46055</v>
      </c>
      <c r="B213" s="1">
        <v>46055</v>
      </c>
      <c r="C213" t="s">
        <v>381</v>
      </c>
      <c r="D213" s="38">
        <v>2</v>
      </c>
      <c r="E213" t="s">
        <v>124</v>
      </c>
      <c r="F213">
        <v>617057</v>
      </c>
      <c r="G213" t="s">
        <v>134</v>
      </c>
      <c r="H213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4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hidden="1" x14ac:dyDescent="0.25">
      <c r="A214" s="1">
        <v>46055</v>
      </c>
      <c r="B214" s="1">
        <v>46055</v>
      </c>
      <c r="C214" t="s">
        <v>169</v>
      </c>
      <c r="D214" s="38">
        <v>2</v>
      </c>
      <c r="E214" t="s">
        <v>124</v>
      </c>
      <c r="F214">
        <v>2302098</v>
      </c>
      <c r="G214" t="s">
        <v>24</v>
      </c>
      <c r="H214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4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hidden="1" x14ac:dyDescent="0.25">
      <c r="A215" s="1">
        <v>46055</v>
      </c>
      <c r="B215" s="1">
        <v>46055</v>
      </c>
      <c r="C215" t="s">
        <v>168</v>
      </c>
      <c r="D215" s="38">
        <v>2</v>
      </c>
      <c r="E215" t="s">
        <v>124</v>
      </c>
      <c r="F215">
        <v>5309018</v>
      </c>
      <c r="G215" t="s">
        <v>112</v>
      </c>
      <c r="H215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4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hidden="1" x14ac:dyDescent="0.25">
      <c r="A216" s="1">
        <v>46055</v>
      </c>
      <c r="B216" s="1">
        <v>46055</v>
      </c>
      <c r="C216" t="s">
        <v>168</v>
      </c>
      <c r="D216" s="38">
        <v>2</v>
      </c>
      <c r="E216" t="s">
        <v>124</v>
      </c>
      <c r="F216">
        <v>1902003</v>
      </c>
      <c r="G216" t="s">
        <v>155</v>
      </c>
      <c r="H216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4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hidden="1" x14ac:dyDescent="0.25">
      <c r="A217" s="1">
        <v>46055</v>
      </c>
      <c r="B217" s="1">
        <v>46055</v>
      </c>
      <c r="C217" t="s">
        <v>168</v>
      </c>
      <c r="D217" s="38">
        <v>2</v>
      </c>
      <c r="E217" t="s">
        <v>124</v>
      </c>
      <c r="F217">
        <v>701040</v>
      </c>
      <c r="G217" t="s">
        <v>19</v>
      </c>
      <c r="H217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4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hidden="1" x14ac:dyDescent="0.25">
      <c r="A218" s="1">
        <v>46055</v>
      </c>
      <c r="B218" s="1">
        <v>46055</v>
      </c>
      <c r="C218" t="s">
        <v>168</v>
      </c>
      <c r="D218" s="38">
        <v>2</v>
      </c>
      <c r="E218" t="s">
        <v>124</v>
      </c>
      <c r="F218">
        <v>1901008</v>
      </c>
      <c r="G218" t="s">
        <v>278</v>
      </c>
      <c r="H218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4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hidden="1" x14ac:dyDescent="0.25">
      <c r="A219" s="1">
        <v>46055</v>
      </c>
      <c r="B219" s="1">
        <v>46055</v>
      </c>
      <c r="C219" t="s">
        <v>168</v>
      </c>
      <c r="D219" s="38">
        <v>2</v>
      </c>
      <c r="E219" t="s">
        <v>124</v>
      </c>
      <c r="F219">
        <v>304101</v>
      </c>
      <c r="G219" t="s">
        <v>17</v>
      </c>
      <c r="H219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4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hidden="1" x14ac:dyDescent="0.25">
      <c r="A220" s="1">
        <v>46055</v>
      </c>
      <c r="B220" s="1">
        <v>46055</v>
      </c>
      <c r="C220" t="s">
        <v>168</v>
      </c>
      <c r="D220" s="38">
        <v>2</v>
      </c>
      <c r="E220" t="s">
        <v>124</v>
      </c>
      <c r="F220">
        <v>307256</v>
      </c>
      <c r="G220" t="s">
        <v>127</v>
      </c>
      <c r="H220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4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hidden="1" x14ac:dyDescent="0.25">
      <c r="A221" s="1">
        <v>46055</v>
      </c>
      <c r="B221" s="1">
        <v>46055</v>
      </c>
      <c r="C221" t="s">
        <v>168</v>
      </c>
      <c r="D221" s="38">
        <v>2</v>
      </c>
      <c r="E221" t="s">
        <v>124</v>
      </c>
      <c r="F221" t="s">
        <v>21</v>
      </c>
      <c r="G221" t="s">
        <v>22</v>
      </c>
      <c r="H22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4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hidden="1" x14ac:dyDescent="0.25">
      <c r="A222" s="1">
        <v>46055</v>
      </c>
      <c r="B222" s="1">
        <v>46055</v>
      </c>
      <c r="C222" t="s">
        <v>168</v>
      </c>
      <c r="D222" s="38">
        <v>2</v>
      </c>
      <c r="E222" t="s">
        <v>124</v>
      </c>
      <c r="F222">
        <v>408071</v>
      </c>
      <c r="G222" t="s">
        <v>111</v>
      </c>
      <c r="H222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4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hidden="1" x14ac:dyDescent="0.25">
      <c r="A223" s="1">
        <v>46055</v>
      </c>
      <c r="B223" s="1">
        <v>46055</v>
      </c>
      <c r="C223" t="s">
        <v>168</v>
      </c>
      <c r="D223" s="38">
        <v>2</v>
      </c>
      <c r="E223" t="s">
        <v>124</v>
      </c>
      <c r="F223">
        <v>302044</v>
      </c>
      <c r="G223" t="s">
        <v>247</v>
      </c>
      <c r="H223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4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hidden="1" x14ac:dyDescent="0.25">
      <c r="A224" s="1">
        <v>46058</v>
      </c>
      <c r="B224" s="1">
        <v>46058</v>
      </c>
      <c r="C224" t="s">
        <v>169</v>
      </c>
      <c r="D224" s="38">
        <v>2</v>
      </c>
      <c r="E224" t="s">
        <v>170</v>
      </c>
      <c r="F224">
        <v>304014</v>
      </c>
      <c r="G224" t="s">
        <v>23</v>
      </c>
      <c r="H224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4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hidden="1" x14ac:dyDescent="0.25">
      <c r="A225" s="1">
        <v>46058</v>
      </c>
      <c r="B225" s="1">
        <v>46058</v>
      </c>
      <c r="C225" t="s">
        <v>382</v>
      </c>
      <c r="D225" s="38">
        <v>2</v>
      </c>
      <c r="E225" t="s">
        <v>171</v>
      </c>
      <c r="F225">
        <v>407427</v>
      </c>
      <c r="G225" t="s">
        <v>172</v>
      </c>
      <c r="H225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4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hidden="1" x14ac:dyDescent="0.25">
      <c r="A226" s="1">
        <v>46058</v>
      </c>
      <c r="B226" s="1">
        <v>46058</v>
      </c>
      <c r="C226" t="s">
        <v>114</v>
      </c>
      <c r="D226" s="38">
        <v>2</v>
      </c>
      <c r="E226" t="s">
        <v>173</v>
      </c>
      <c r="F226">
        <v>304002</v>
      </c>
      <c r="G226" t="s">
        <v>37</v>
      </c>
      <c r="H226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4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hidden="1" x14ac:dyDescent="0.25">
      <c r="A227" s="1">
        <v>46058</v>
      </c>
      <c r="B227" s="1">
        <v>46058</v>
      </c>
      <c r="C227" t="s">
        <v>150</v>
      </c>
      <c r="D227" s="38">
        <v>2</v>
      </c>
      <c r="E227" t="s">
        <v>173</v>
      </c>
      <c r="F227">
        <v>304002</v>
      </c>
      <c r="G227" t="s">
        <v>37</v>
      </c>
      <c r="H227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4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hidden="1" x14ac:dyDescent="0.25">
      <c r="A228" s="1">
        <v>46058</v>
      </c>
      <c r="B228" s="1">
        <v>46058</v>
      </c>
      <c r="C228" t="s">
        <v>174</v>
      </c>
      <c r="D228" s="38">
        <v>2</v>
      </c>
      <c r="E228" t="s">
        <v>175</v>
      </c>
      <c r="F228">
        <v>407427</v>
      </c>
      <c r="G228" t="s">
        <v>172</v>
      </c>
      <c r="H228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4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hidden="1" x14ac:dyDescent="0.25">
      <c r="A229" s="1">
        <v>46058</v>
      </c>
      <c r="B229" s="1">
        <v>46058</v>
      </c>
      <c r="C229" t="s">
        <v>174</v>
      </c>
      <c r="D229" s="38">
        <v>2</v>
      </c>
      <c r="E229" t="s">
        <v>175</v>
      </c>
      <c r="F229">
        <v>407011</v>
      </c>
      <c r="G229" t="s">
        <v>30</v>
      </c>
      <c r="H229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4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hidden="1" x14ac:dyDescent="0.25">
      <c r="A230" s="1">
        <v>46058</v>
      </c>
      <c r="B230" s="1">
        <v>46058</v>
      </c>
      <c r="C230" t="s">
        <v>174</v>
      </c>
      <c r="D230" s="38">
        <v>2</v>
      </c>
      <c r="E230" t="s">
        <v>175</v>
      </c>
      <c r="F230">
        <v>1901008</v>
      </c>
      <c r="G230" t="s">
        <v>278</v>
      </c>
      <c r="H230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4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hidden="1" x14ac:dyDescent="0.25">
      <c r="A231" s="1">
        <v>46056</v>
      </c>
      <c r="B231" s="1">
        <v>46056</v>
      </c>
      <c r="C231" t="s">
        <v>176</v>
      </c>
      <c r="D231" s="38">
        <v>2</v>
      </c>
      <c r="E231" t="s">
        <v>177</v>
      </c>
      <c r="F231">
        <v>302249</v>
      </c>
      <c r="G231" t="s">
        <v>178</v>
      </c>
      <c r="H23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4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hidden="1" x14ac:dyDescent="0.25">
      <c r="A232" s="1">
        <v>46056</v>
      </c>
      <c r="B232" s="1">
        <v>46056</v>
      </c>
      <c r="C232" t="s">
        <v>169</v>
      </c>
      <c r="D232" s="38">
        <v>2</v>
      </c>
      <c r="E232" t="s">
        <v>383</v>
      </c>
      <c r="F232">
        <v>407423</v>
      </c>
      <c r="G232" t="s">
        <v>106</v>
      </c>
      <c r="H232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4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hidden="1" x14ac:dyDescent="0.25">
      <c r="A233" s="1">
        <v>46056</v>
      </c>
      <c r="B233" s="1">
        <v>46056</v>
      </c>
      <c r="C233" t="s">
        <v>169</v>
      </c>
      <c r="D233" s="38">
        <v>2</v>
      </c>
      <c r="E233" t="s">
        <v>177</v>
      </c>
      <c r="F233">
        <v>408071</v>
      </c>
      <c r="G233" t="s">
        <v>111</v>
      </c>
      <c r="H233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4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hidden="1" x14ac:dyDescent="0.25">
      <c r="A234" s="1">
        <v>46056</v>
      </c>
      <c r="B234" s="1">
        <v>46056</v>
      </c>
      <c r="C234" t="s">
        <v>169</v>
      </c>
      <c r="D234" s="38">
        <v>2</v>
      </c>
      <c r="E234" t="s">
        <v>177</v>
      </c>
      <c r="F234">
        <v>408042</v>
      </c>
      <c r="G234" t="s">
        <v>144</v>
      </c>
      <c r="H234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4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hidden="1" x14ac:dyDescent="0.25">
      <c r="A235" s="1">
        <v>46056</v>
      </c>
      <c r="B235" s="1">
        <v>46056</v>
      </c>
      <c r="C235" t="s">
        <v>176</v>
      </c>
      <c r="D235" s="38">
        <v>2</v>
      </c>
      <c r="E235" t="s">
        <v>177</v>
      </c>
      <c r="F235">
        <v>302048</v>
      </c>
      <c r="G235" t="s">
        <v>126</v>
      </c>
      <c r="H235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4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hidden="1" x14ac:dyDescent="0.25">
      <c r="A236" s="1">
        <v>46056</v>
      </c>
      <c r="B236" s="1">
        <v>46056</v>
      </c>
      <c r="C236" t="s">
        <v>176</v>
      </c>
      <c r="D236" s="38">
        <v>2</v>
      </c>
      <c r="E236" t="s">
        <v>177</v>
      </c>
      <c r="F236">
        <v>302044</v>
      </c>
      <c r="G236" t="s">
        <v>247</v>
      </c>
      <c r="H236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4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hidden="1" x14ac:dyDescent="0.25">
      <c r="A237" s="1">
        <v>46056</v>
      </c>
      <c r="B237" s="1">
        <v>46056</v>
      </c>
      <c r="C237" t="s">
        <v>169</v>
      </c>
      <c r="D237" s="38">
        <v>2</v>
      </c>
      <c r="E237" t="s">
        <v>177</v>
      </c>
      <c r="F237" t="s">
        <v>82</v>
      </c>
      <c r="G237" t="s">
        <v>83</v>
      </c>
      <c r="H237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4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hidden="1" x14ac:dyDescent="0.25">
      <c r="A238" s="1">
        <v>46056</v>
      </c>
      <c r="B238" s="1">
        <v>46056</v>
      </c>
      <c r="C238" t="s">
        <v>176</v>
      </c>
      <c r="D238" s="38">
        <v>2</v>
      </c>
      <c r="E238" t="s">
        <v>177</v>
      </c>
      <c r="F238">
        <v>1901008</v>
      </c>
      <c r="G238" t="s">
        <v>278</v>
      </c>
      <c r="H238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4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hidden="1" x14ac:dyDescent="0.25">
      <c r="A239" s="1">
        <v>46056</v>
      </c>
      <c r="B239" s="1">
        <v>46056</v>
      </c>
      <c r="C239" t="s">
        <v>169</v>
      </c>
      <c r="D239" s="38">
        <v>2</v>
      </c>
      <c r="E239" t="s">
        <v>177</v>
      </c>
      <c r="F239" t="s">
        <v>34</v>
      </c>
      <c r="G239" t="s">
        <v>35</v>
      </c>
      <c r="H239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4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hidden="1" x14ac:dyDescent="0.25">
      <c r="A240" s="1">
        <v>46056</v>
      </c>
      <c r="B240" s="1">
        <v>46056</v>
      </c>
      <c r="C240" t="s">
        <v>169</v>
      </c>
      <c r="D240" s="38">
        <v>2</v>
      </c>
      <c r="E240" t="s">
        <v>169</v>
      </c>
      <c r="F240">
        <v>407185</v>
      </c>
      <c r="G240" t="s">
        <v>43</v>
      </c>
      <c r="H240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4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hidden="1" x14ac:dyDescent="0.25">
      <c r="A241" s="1">
        <v>46056</v>
      </c>
      <c r="B241" s="1">
        <v>46056</v>
      </c>
      <c r="C241" t="s">
        <v>176</v>
      </c>
      <c r="D241" s="38">
        <v>2</v>
      </c>
      <c r="E241" t="s">
        <v>177</v>
      </c>
      <c r="F241">
        <v>304014</v>
      </c>
      <c r="G241" t="s">
        <v>23</v>
      </c>
      <c r="H24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4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hidden="1" x14ac:dyDescent="0.25">
      <c r="A242" s="1">
        <v>46056</v>
      </c>
      <c r="B242" s="1">
        <v>46051</v>
      </c>
      <c r="C242" t="s">
        <v>15</v>
      </c>
      <c r="D242" s="38">
        <v>1</v>
      </c>
      <c r="E242" t="s">
        <v>379</v>
      </c>
      <c r="F242">
        <v>617057</v>
      </c>
      <c r="G242" t="s">
        <v>134</v>
      </c>
      <c r="H242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4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hidden="1" x14ac:dyDescent="0.25">
      <c r="A243" s="1">
        <v>46056</v>
      </c>
      <c r="B243" s="1">
        <v>46051</v>
      </c>
      <c r="C243" t="s">
        <v>15</v>
      </c>
      <c r="D243" s="38">
        <v>1</v>
      </c>
      <c r="E243" t="s">
        <v>379</v>
      </c>
      <c r="F243" t="s">
        <v>179</v>
      </c>
      <c r="G243" t="s">
        <v>180</v>
      </c>
      <c r="H243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4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hidden="1" x14ac:dyDescent="0.25">
      <c r="A244" s="1">
        <v>46056</v>
      </c>
      <c r="B244" s="1">
        <v>46051</v>
      </c>
      <c r="C244" t="s">
        <v>15</v>
      </c>
      <c r="D244" s="38">
        <v>1</v>
      </c>
      <c r="E244" t="s">
        <v>379</v>
      </c>
      <c r="F244">
        <v>1902003</v>
      </c>
      <c r="G244" t="s">
        <v>155</v>
      </c>
      <c r="H244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4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hidden="1" x14ac:dyDescent="0.25">
      <c r="A245" s="1">
        <v>46056</v>
      </c>
      <c r="B245" s="1">
        <v>46051</v>
      </c>
      <c r="C245" t="s">
        <v>15</v>
      </c>
      <c r="D245" s="38">
        <v>1</v>
      </c>
      <c r="E245" t="s">
        <v>379</v>
      </c>
      <c r="F245">
        <v>1901008</v>
      </c>
      <c r="G245" t="s">
        <v>278</v>
      </c>
      <c r="H245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4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hidden="1" x14ac:dyDescent="0.25">
      <c r="A246" s="1">
        <v>46056</v>
      </c>
      <c r="B246" s="1">
        <v>46051</v>
      </c>
      <c r="C246" t="s">
        <v>15</v>
      </c>
      <c r="D246" s="38">
        <v>1</v>
      </c>
      <c r="E246" t="s">
        <v>379</v>
      </c>
      <c r="F246">
        <v>407010</v>
      </c>
      <c r="G246" t="s">
        <v>164</v>
      </c>
      <c r="H246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4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hidden="1" x14ac:dyDescent="0.25">
      <c r="A247" s="1">
        <v>46056</v>
      </c>
      <c r="B247" s="1">
        <v>46051</v>
      </c>
      <c r="C247" t="s">
        <v>15</v>
      </c>
      <c r="D247" s="38">
        <v>1</v>
      </c>
      <c r="E247" t="s">
        <v>379</v>
      </c>
      <c r="F247">
        <v>407307</v>
      </c>
      <c r="G247" t="s">
        <v>163</v>
      </c>
      <c r="H247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4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hidden="1" x14ac:dyDescent="0.25">
      <c r="A248" s="1">
        <v>46056</v>
      </c>
      <c r="B248" s="1">
        <v>46051</v>
      </c>
      <c r="C248" t="s">
        <v>15</v>
      </c>
      <c r="D248" s="38">
        <v>1</v>
      </c>
      <c r="E248" t="s">
        <v>379</v>
      </c>
      <c r="F248">
        <v>701040</v>
      </c>
      <c r="G248" t="s">
        <v>19</v>
      </c>
      <c r="H248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4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hidden="1" x14ac:dyDescent="0.25">
      <c r="A249" s="1">
        <v>46056</v>
      </c>
      <c r="B249" s="1">
        <v>46051</v>
      </c>
      <c r="C249" t="s">
        <v>15</v>
      </c>
      <c r="D249" s="38">
        <v>1</v>
      </c>
      <c r="E249" t="s">
        <v>379</v>
      </c>
      <c r="F249" t="s">
        <v>82</v>
      </c>
      <c r="G249" t="s">
        <v>83</v>
      </c>
      <c r="H249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4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hidden="1" x14ac:dyDescent="0.25">
      <c r="A250" s="1">
        <v>46056</v>
      </c>
      <c r="B250" s="1">
        <v>46051</v>
      </c>
      <c r="C250" t="s">
        <v>15</v>
      </c>
      <c r="D250" s="38">
        <v>1</v>
      </c>
      <c r="E250" t="s">
        <v>379</v>
      </c>
      <c r="F250">
        <v>302044</v>
      </c>
      <c r="G250" t="s">
        <v>247</v>
      </c>
      <c r="H250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4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hidden="1" x14ac:dyDescent="0.25">
      <c r="A251" s="1">
        <v>46057</v>
      </c>
      <c r="B251" s="1">
        <v>45992</v>
      </c>
      <c r="C251" t="s">
        <v>15</v>
      </c>
      <c r="D251" s="38">
        <v>12</v>
      </c>
      <c r="E251" t="s">
        <v>379</v>
      </c>
      <c r="F251">
        <v>404184</v>
      </c>
      <c r="G251" t="s">
        <v>66</v>
      </c>
      <c r="H25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4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hidden="1" x14ac:dyDescent="0.25">
      <c r="A252" s="1">
        <v>46057</v>
      </c>
      <c r="B252" s="1">
        <v>45992</v>
      </c>
      <c r="C252" t="s">
        <v>15</v>
      </c>
      <c r="D252" s="38">
        <v>12</v>
      </c>
      <c r="E252" t="s">
        <v>379</v>
      </c>
      <c r="F252">
        <v>404252</v>
      </c>
      <c r="G252" t="s">
        <v>181</v>
      </c>
      <c r="H252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4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hidden="1" x14ac:dyDescent="0.25">
      <c r="A253" s="1">
        <v>46057</v>
      </c>
      <c r="B253" s="1">
        <v>45992</v>
      </c>
      <c r="C253" t="s">
        <v>15</v>
      </c>
      <c r="D253" s="38">
        <v>12</v>
      </c>
      <c r="E253" t="s">
        <v>379</v>
      </c>
      <c r="F253">
        <v>617057</v>
      </c>
      <c r="G253" t="s">
        <v>134</v>
      </c>
      <c r="H253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4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hidden="1" x14ac:dyDescent="0.25">
      <c r="A254" s="1">
        <v>46057</v>
      </c>
      <c r="B254" s="1">
        <v>45992</v>
      </c>
      <c r="C254" t="s">
        <v>15</v>
      </c>
      <c r="D254" s="38">
        <v>12</v>
      </c>
      <c r="E254" t="s">
        <v>379</v>
      </c>
      <c r="F254">
        <v>617016</v>
      </c>
      <c r="G254" t="s">
        <v>133</v>
      </c>
      <c r="H254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4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hidden="1" x14ac:dyDescent="0.25">
      <c r="A255" s="1">
        <v>46057</v>
      </c>
      <c r="B255" s="1">
        <v>45993</v>
      </c>
      <c r="C255" t="s">
        <v>15</v>
      </c>
      <c r="D255" s="38">
        <v>12</v>
      </c>
      <c r="E255" t="s">
        <v>379</v>
      </c>
      <c r="F255" t="s">
        <v>82</v>
      </c>
      <c r="G255" t="s">
        <v>83</v>
      </c>
      <c r="H255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4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hidden="1" x14ac:dyDescent="0.25">
      <c r="A256" s="1">
        <v>46057</v>
      </c>
      <c r="B256" s="1">
        <v>45993</v>
      </c>
      <c r="C256" t="s">
        <v>15</v>
      </c>
      <c r="D256" s="38">
        <v>12</v>
      </c>
      <c r="E256" t="s">
        <v>379</v>
      </c>
      <c r="F256">
        <v>1610023</v>
      </c>
      <c r="G256" t="s">
        <v>351</v>
      </c>
      <c r="H256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4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hidden="1" x14ac:dyDescent="0.25">
      <c r="A257" s="1">
        <v>46057</v>
      </c>
      <c r="B257" s="1">
        <v>45993</v>
      </c>
      <c r="C257" t="s">
        <v>15</v>
      </c>
      <c r="D257" s="38">
        <v>12</v>
      </c>
      <c r="E257" t="s">
        <v>379</v>
      </c>
      <c r="F257">
        <v>617055</v>
      </c>
      <c r="G257" t="s">
        <v>182</v>
      </c>
      <c r="H257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4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hidden="1" x14ac:dyDescent="0.25">
      <c r="A258" s="1">
        <v>46057</v>
      </c>
      <c r="B258" s="1">
        <v>45993</v>
      </c>
      <c r="C258" t="s">
        <v>15</v>
      </c>
      <c r="D258" s="38">
        <v>12</v>
      </c>
      <c r="E258" t="s">
        <v>379</v>
      </c>
      <c r="F258" t="s">
        <v>94</v>
      </c>
      <c r="G258" t="s">
        <v>95</v>
      </c>
      <c r="H258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4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hidden="1" x14ac:dyDescent="0.25">
      <c r="A259" s="1">
        <v>46057</v>
      </c>
      <c r="B259" s="1">
        <v>45993</v>
      </c>
      <c r="C259" t="s">
        <v>15</v>
      </c>
      <c r="D259" s="38">
        <v>12</v>
      </c>
      <c r="E259" t="s">
        <v>379</v>
      </c>
      <c r="F259" t="s">
        <v>183</v>
      </c>
      <c r="G259" t="s">
        <v>184</v>
      </c>
      <c r="H259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4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hidden="1" x14ac:dyDescent="0.25">
      <c r="A260" s="1">
        <v>46057</v>
      </c>
      <c r="B260" s="1">
        <v>45987</v>
      </c>
      <c r="C260" t="s">
        <v>15</v>
      </c>
      <c r="D260" s="38">
        <v>11</v>
      </c>
      <c r="E260" t="s">
        <v>379</v>
      </c>
      <c r="F260">
        <v>304007</v>
      </c>
      <c r="G260" t="s">
        <v>80</v>
      </c>
      <c r="H260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4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hidden="1" x14ac:dyDescent="0.25">
      <c r="A261" s="1">
        <v>46057</v>
      </c>
      <c r="B261" s="1">
        <v>45987</v>
      </c>
      <c r="C261" t="s">
        <v>15</v>
      </c>
      <c r="D261" s="38">
        <v>11</v>
      </c>
      <c r="E261" t="s">
        <v>379</v>
      </c>
      <c r="F261">
        <v>307032</v>
      </c>
      <c r="G261" t="s">
        <v>186</v>
      </c>
      <c r="H26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4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hidden="1" x14ac:dyDescent="0.25">
      <c r="A262" s="1">
        <v>46057</v>
      </c>
      <c r="B262" s="1">
        <v>45987</v>
      </c>
      <c r="C262" t="s">
        <v>15</v>
      </c>
      <c r="D262" s="38">
        <v>11</v>
      </c>
      <c r="E262" t="s">
        <v>379</v>
      </c>
      <c r="F262">
        <v>704095</v>
      </c>
      <c r="G262" t="s">
        <v>187</v>
      </c>
      <c r="H262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4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hidden="1" x14ac:dyDescent="0.25">
      <c r="A263" s="1">
        <v>46057</v>
      </c>
      <c r="B263" s="1">
        <v>45987</v>
      </c>
      <c r="C263" t="s">
        <v>15</v>
      </c>
      <c r="D263" s="38">
        <v>11</v>
      </c>
      <c r="E263" t="s">
        <v>379</v>
      </c>
      <c r="F263">
        <v>601047</v>
      </c>
      <c r="G263" t="s">
        <v>129</v>
      </c>
      <c r="H263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4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hidden="1" x14ac:dyDescent="0.25">
      <c r="A264" s="1">
        <v>46057</v>
      </c>
      <c r="B264" s="1">
        <v>45987</v>
      </c>
      <c r="C264" t="s">
        <v>15</v>
      </c>
      <c r="D264" s="38">
        <v>11</v>
      </c>
      <c r="E264" t="s">
        <v>379</v>
      </c>
      <c r="F264">
        <v>617007</v>
      </c>
      <c r="G264" t="s">
        <v>188</v>
      </c>
      <c r="H264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4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hidden="1" x14ac:dyDescent="0.25">
      <c r="A265" s="1">
        <v>46057</v>
      </c>
      <c r="B265" s="1">
        <v>45988</v>
      </c>
      <c r="C265" t="s">
        <v>15</v>
      </c>
      <c r="D265" s="38">
        <v>11</v>
      </c>
      <c r="E265" t="s">
        <v>379</v>
      </c>
      <c r="F265">
        <v>1405025</v>
      </c>
      <c r="G265" t="s">
        <v>189</v>
      </c>
      <c r="H265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4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hidden="1" x14ac:dyDescent="0.25">
      <c r="A266" s="1">
        <v>46057</v>
      </c>
      <c r="B266" s="1">
        <v>45988</v>
      </c>
      <c r="C266" t="s">
        <v>15</v>
      </c>
      <c r="D266" s="38">
        <v>11</v>
      </c>
      <c r="E266" t="s">
        <v>379</v>
      </c>
      <c r="F266">
        <v>1801229</v>
      </c>
      <c r="G266" t="s">
        <v>259</v>
      </c>
      <c r="H266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4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hidden="1" x14ac:dyDescent="0.25">
      <c r="A267" s="1">
        <v>46057</v>
      </c>
      <c r="B267" s="1">
        <v>45988</v>
      </c>
      <c r="C267" t="s">
        <v>15</v>
      </c>
      <c r="D267" s="38">
        <v>11</v>
      </c>
      <c r="E267" t="s">
        <v>379</v>
      </c>
      <c r="F267">
        <v>1801233</v>
      </c>
      <c r="G267" t="s">
        <v>190</v>
      </c>
      <c r="H267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4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hidden="1" x14ac:dyDescent="0.25">
      <c r="A268" s="1">
        <v>46057</v>
      </c>
      <c r="B268" s="1">
        <v>45988</v>
      </c>
      <c r="C268" t="s">
        <v>15</v>
      </c>
      <c r="D268" s="38">
        <v>11</v>
      </c>
      <c r="E268" t="s">
        <v>379</v>
      </c>
      <c r="F268">
        <v>1801232</v>
      </c>
      <c r="G268" t="s">
        <v>191</v>
      </c>
      <c r="H268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4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hidden="1" x14ac:dyDescent="0.25">
      <c r="A269" s="1">
        <v>46057</v>
      </c>
      <c r="B269" s="1">
        <v>45988</v>
      </c>
      <c r="C269" t="s">
        <v>15</v>
      </c>
      <c r="D269" s="38">
        <v>11</v>
      </c>
      <c r="E269" t="s">
        <v>379</v>
      </c>
      <c r="F269">
        <v>1206002</v>
      </c>
      <c r="G269" t="s">
        <v>192</v>
      </c>
      <c r="H269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4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hidden="1" x14ac:dyDescent="0.25">
      <c r="A270" s="1">
        <v>46057</v>
      </c>
      <c r="B270" s="1">
        <v>45988</v>
      </c>
      <c r="C270" t="s">
        <v>15</v>
      </c>
      <c r="D270" s="38">
        <v>11</v>
      </c>
      <c r="E270" t="s">
        <v>379</v>
      </c>
      <c r="F270">
        <v>1801231</v>
      </c>
      <c r="G270" t="s">
        <v>193</v>
      </c>
      <c r="H270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4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hidden="1" x14ac:dyDescent="0.25">
      <c r="A271" s="1">
        <v>46057</v>
      </c>
      <c r="B271" s="1">
        <v>45988</v>
      </c>
      <c r="C271" t="s">
        <v>15</v>
      </c>
      <c r="D271" s="38">
        <v>11</v>
      </c>
      <c r="E271" t="s">
        <v>379</v>
      </c>
      <c r="F271">
        <v>1808006</v>
      </c>
      <c r="G271" t="s">
        <v>194</v>
      </c>
      <c r="H27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4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hidden="1" x14ac:dyDescent="0.25">
      <c r="A272" s="1">
        <v>46057</v>
      </c>
      <c r="B272" s="1">
        <v>45988</v>
      </c>
      <c r="C272" t="s">
        <v>15</v>
      </c>
      <c r="D272" s="38">
        <v>11</v>
      </c>
      <c r="E272" t="s">
        <v>379</v>
      </c>
      <c r="F272">
        <v>1808003</v>
      </c>
      <c r="G272" t="s">
        <v>195</v>
      </c>
      <c r="H272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4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hidden="1" x14ac:dyDescent="0.25">
      <c r="A273" s="1">
        <v>46057</v>
      </c>
      <c r="B273" s="1">
        <v>45988</v>
      </c>
      <c r="C273" t="s">
        <v>15</v>
      </c>
      <c r="D273" s="38">
        <v>11</v>
      </c>
      <c r="E273" t="s">
        <v>379</v>
      </c>
      <c r="F273">
        <v>1206002</v>
      </c>
      <c r="G273" t="s">
        <v>192</v>
      </c>
      <c r="H273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4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hidden="1" x14ac:dyDescent="0.25">
      <c r="A274" s="1">
        <v>46057</v>
      </c>
      <c r="B274" s="1">
        <v>45988</v>
      </c>
      <c r="C274" t="s">
        <v>15</v>
      </c>
      <c r="D274" s="38">
        <v>11</v>
      </c>
      <c r="E274" t="s">
        <v>379</v>
      </c>
      <c r="F274">
        <v>1802176</v>
      </c>
      <c r="G274" t="s">
        <v>196</v>
      </c>
      <c r="H274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4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hidden="1" x14ac:dyDescent="0.25">
      <c r="A275" s="1">
        <v>46057</v>
      </c>
      <c r="B275" s="1">
        <v>45988</v>
      </c>
      <c r="C275" t="s">
        <v>15</v>
      </c>
      <c r="D275" s="38">
        <v>11</v>
      </c>
      <c r="E275" t="s">
        <v>379</v>
      </c>
      <c r="F275">
        <v>307032</v>
      </c>
      <c r="G275" t="s">
        <v>186</v>
      </c>
      <c r="H275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4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hidden="1" x14ac:dyDescent="0.25">
      <c r="A276" s="1">
        <v>46057</v>
      </c>
      <c r="B276" s="1">
        <v>46057</v>
      </c>
      <c r="C276" t="s">
        <v>75</v>
      </c>
      <c r="D276" s="38">
        <v>2</v>
      </c>
      <c r="E276" t="s">
        <v>379</v>
      </c>
      <c r="F276">
        <v>701043</v>
      </c>
      <c r="G276" t="s">
        <v>197</v>
      </c>
      <c r="H276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4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hidden="1" x14ac:dyDescent="0.25">
      <c r="A277" s="1">
        <v>46057</v>
      </c>
      <c r="B277" s="1">
        <v>46057</v>
      </c>
      <c r="C277" t="s">
        <v>123</v>
      </c>
      <c r="D277" s="38">
        <v>2</v>
      </c>
      <c r="E277" t="s">
        <v>379</v>
      </c>
      <c r="F277">
        <v>407170</v>
      </c>
      <c r="G277" t="s">
        <v>107</v>
      </c>
      <c r="H277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4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hidden="1" x14ac:dyDescent="0.25">
      <c r="A278" s="1">
        <v>46057</v>
      </c>
      <c r="B278" s="1">
        <v>46057</v>
      </c>
      <c r="C278" t="s">
        <v>198</v>
      </c>
      <c r="D278" s="38">
        <v>2</v>
      </c>
      <c r="E278" t="s">
        <v>379</v>
      </c>
      <c r="F278">
        <v>1405006</v>
      </c>
      <c r="G278" t="s">
        <v>199</v>
      </c>
      <c r="H278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4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hidden="1" x14ac:dyDescent="0.25">
      <c r="A279" s="1">
        <v>46057</v>
      </c>
      <c r="B279" s="1">
        <v>46057</v>
      </c>
      <c r="C279" t="s">
        <v>200</v>
      </c>
      <c r="D279" s="38">
        <v>2</v>
      </c>
      <c r="E279" t="s">
        <v>379</v>
      </c>
      <c r="F279" t="s">
        <v>94</v>
      </c>
      <c r="G279" t="s">
        <v>95</v>
      </c>
      <c r="H279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4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hidden="1" x14ac:dyDescent="0.25">
      <c r="A280" s="1">
        <v>46057</v>
      </c>
      <c r="B280" s="1">
        <v>45989</v>
      </c>
      <c r="C280" t="s">
        <v>15</v>
      </c>
      <c r="D280" s="38">
        <v>11</v>
      </c>
      <c r="E280" t="s">
        <v>379</v>
      </c>
      <c r="F280">
        <v>307030</v>
      </c>
      <c r="G280" t="s">
        <v>64</v>
      </c>
      <c r="H280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4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hidden="1" x14ac:dyDescent="0.25">
      <c r="A281" s="1">
        <v>46062</v>
      </c>
      <c r="B281" s="1">
        <v>46062</v>
      </c>
      <c r="C281" t="s">
        <v>201</v>
      </c>
      <c r="D281" s="38">
        <v>2</v>
      </c>
      <c r="E281" t="s">
        <v>202</v>
      </c>
      <c r="F281">
        <v>602255</v>
      </c>
      <c r="G281" t="s">
        <v>203</v>
      </c>
      <c r="H2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4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hidden="1" x14ac:dyDescent="0.25">
      <c r="A282" s="1">
        <v>46063</v>
      </c>
      <c r="B282" s="1">
        <v>46063</v>
      </c>
      <c r="C282" t="s">
        <v>15</v>
      </c>
      <c r="D282" s="38">
        <v>2</v>
      </c>
      <c r="E282" t="s">
        <v>379</v>
      </c>
      <c r="F282">
        <v>302046</v>
      </c>
      <c r="G282" t="s">
        <v>115</v>
      </c>
      <c r="H282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4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hidden="1" x14ac:dyDescent="0.25">
      <c r="A283" s="1">
        <v>46063</v>
      </c>
      <c r="B283" s="1">
        <v>46063</v>
      </c>
      <c r="C283" t="s">
        <v>169</v>
      </c>
      <c r="D283" s="38">
        <v>2</v>
      </c>
      <c r="E283" t="s">
        <v>384</v>
      </c>
      <c r="F283">
        <v>701096</v>
      </c>
      <c r="G283" t="s">
        <v>204</v>
      </c>
      <c r="H283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4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hidden="1" x14ac:dyDescent="0.25">
      <c r="A284" s="1">
        <v>46064</v>
      </c>
      <c r="B284" s="1">
        <v>46064</v>
      </c>
      <c r="C284" t="s">
        <v>169</v>
      </c>
      <c r="D284" s="38">
        <v>2</v>
      </c>
      <c r="E284" t="s">
        <v>384</v>
      </c>
      <c r="F284">
        <v>1901008</v>
      </c>
      <c r="G284" t="s">
        <v>278</v>
      </c>
      <c r="H284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4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hidden="1" x14ac:dyDescent="0.25">
      <c r="A285" s="1">
        <v>46064</v>
      </c>
      <c r="B285" s="1">
        <v>46064</v>
      </c>
      <c r="C285" t="s">
        <v>169</v>
      </c>
      <c r="D285" s="38">
        <v>2</v>
      </c>
      <c r="E285" t="s">
        <v>384</v>
      </c>
      <c r="F285">
        <v>407423</v>
      </c>
      <c r="G285" t="s">
        <v>106</v>
      </c>
      <c r="H285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4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hidden="1" x14ac:dyDescent="0.25">
      <c r="A286" s="1">
        <v>46064</v>
      </c>
      <c r="B286" s="1">
        <v>46063</v>
      </c>
      <c r="C286" t="s">
        <v>169</v>
      </c>
      <c r="D286" s="38">
        <v>2</v>
      </c>
      <c r="E286" t="s">
        <v>384</v>
      </c>
      <c r="F286">
        <v>408042</v>
      </c>
      <c r="G286" t="s">
        <v>144</v>
      </c>
      <c r="H286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 t="s">
        <v>2017</v>
      </c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4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hidden="1" x14ac:dyDescent="0.25">
      <c r="A287" s="1">
        <v>46064</v>
      </c>
      <c r="B287" s="1">
        <v>46063</v>
      </c>
      <c r="C287" t="s">
        <v>169</v>
      </c>
      <c r="D287" s="38">
        <v>2</v>
      </c>
      <c r="E287" t="s">
        <v>384</v>
      </c>
      <c r="F287">
        <v>302010</v>
      </c>
      <c r="G287" t="s">
        <v>323</v>
      </c>
      <c r="H287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4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hidden="1" x14ac:dyDescent="0.25">
      <c r="A288" s="1">
        <v>46064</v>
      </c>
      <c r="B288" s="1">
        <v>46063</v>
      </c>
      <c r="C288" t="s">
        <v>169</v>
      </c>
      <c r="D288" s="38">
        <v>2</v>
      </c>
      <c r="E288" t="s">
        <v>384</v>
      </c>
      <c r="F288">
        <v>5309018</v>
      </c>
      <c r="G288" t="s">
        <v>112</v>
      </c>
      <c r="H288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4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hidden="1" x14ac:dyDescent="0.25">
      <c r="A289" s="1">
        <v>46064</v>
      </c>
      <c r="B289" s="1">
        <v>46063</v>
      </c>
      <c r="C289" t="s">
        <v>169</v>
      </c>
      <c r="D289" s="38">
        <v>2</v>
      </c>
      <c r="E289" t="s">
        <v>384</v>
      </c>
      <c r="F289">
        <v>407011</v>
      </c>
      <c r="G289" t="s">
        <v>30</v>
      </c>
      <c r="H289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4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hidden="1" x14ac:dyDescent="0.25">
      <c r="A290" s="1">
        <v>46064</v>
      </c>
      <c r="B290" s="1">
        <v>46063</v>
      </c>
      <c r="C290" t="s">
        <v>169</v>
      </c>
      <c r="D290" s="38">
        <v>2</v>
      </c>
      <c r="E290" t="s">
        <v>384</v>
      </c>
      <c r="F290">
        <v>407307</v>
      </c>
      <c r="G290" t="s">
        <v>163</v>
      </c>
      <c r="H290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4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hidden="1" x14ac:dyDescent="0.25">
      <c r="A291" s="1">
        <v>46064</v>
      </c>
      <c r="B291" s="1">
        <v>46063</v>
      </c>
      <c r="C291" t="s">
        <v>169</v>
      </c>
      <c r="D291" s="38">
        <v>2</v>
      </c>
      <c r="E291" t="s">
        <v>384</v>
      </c>
      <c r="F291">
        <v>407010</v>
      </c>
      <c r="G291" t="s">
        <v>164</v>
      </c>
      <c r="H29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4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hidden="1" x14ac:dyDescent="0.25">
      <c r="A292" s="1">
        <v>46064</v>
      </c>
      <c r="B292" s="1">
        <v>46063</v>
      </c>
      <c r="C292" t="s">
        <v>169</v>
      </c>
      <c r="D292" s="38">
        <v>2</v>
      </c>
      <c r="E292" t="s">
        <v>384</v>
      </c>
      <c r="F292">
        <v>302044</v>
      </c>
      <c r="G292" t="s">
        <v>247</v>
      </c>
      <c r="H292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4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hidden="1" x14ac:dyDescent="0.25">
      <c r="A293" s="1">
        <v>46062</v>
      </c>
      <c r="B293" s="1">
        <v>46062</v>
      </c>
      <c r="C293" t="s">
        <v>381</v>
      </c>
      <c r="D293" s="38">
        <v>2</v>
      </c>
      <c r="E293" t="s">
        <v>205</v>
      </c>
      <c r="F293">
        <v>302010</v>
      </c>
      <c r="G293" t="s">
        <v>323</v>
      </c>
      <c r="H293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4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hidden="1" x14ac:dyDescent="0.25">
      <c r="A294" s="1">
        <v>46062</v>
      </c>
      <c r="B294" s="1">
        <v>46062</v>
      </c>
      <c r="C294" t="s">
        <v>381</v>
      </c>
      <c r="D294" s="38">
        <v>2</v>
      </c>
      <c r="E294" t="s">
        <v>205</v>
      </c>
      <c r="F294">
        <v>302028</v>
      </c>
      <c r="G294" t="s">
        <v>246</v>
      </c>
      <c r="H294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4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hidden="1" x14ac:dyDescent="0.25">
      <c r="A295" s="1">
        <v>46062</v>
      </c>
      <c r="B295" s="1">
        <v>46062</v>
      </c>
      <c r="C295" t="s">
        <v>381</v>
      </c>
      <c r="D295" s="38">
        <v>2</v>
      </c>
      <c r="E295" t="s">
        <v>205</v>
      </c>
      <c r="F295" t="s">
        <v>206</v>
      </c>
      <c r="G295" t="s">
        <v>207</v>
      </c>
      <c r="H295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4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hidden="1" x14ac:dyDescent="0.25">
      <c r="A296" s="1">
        <v>46062</v>
      </c>
      <c r="B296" s="1">
        <v>46062</v>
      </c>
      <c r="C296" t="s">
        <v>176</v>
      </c>
      <c r="D296" s="38">
        <v>2</v>
      </c>
      <c r="E296" t="s">
        <v>208</v>
      </c>
      <c r="F296">
        <v>304014</v>
      </c>
      <c r="G296" t="s">
        <v>23</v>
      </c>
      <c r="H296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4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hidden="1" x14ac:dyDescent="0.25">
      <c r="A297" s="1">
        <v>46062</v>
      </c>
      <c r="B297" s="1">
        <v>46062</v>
      </c>
      <c r="C297" t="s">
        <v>169</v>
      </c>
      <c r="D297" s="38">
        <v>2</v>
      </c>
      <c r="E297" t="s">
        <v>205</v>
      </c>
      <c r="F297">
        <v>1901008</v>
      </c>
      <c r="G297" t="s">
        <v>278</v>
      </c>
      <c r="H297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4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hidden="1" x14ac:dyDescent="0.25">
      <c r="A298" s="1">
        <v>46057</v>
      </c>
      <c r="B298" s="1">
        <v>45989</v>
      </c>
      <c r="C298" t="s">
        <v>15</v>
      </c>
      <c r="D298" s="38">
        <v>11</v>
      </c>
      <c r="E298" t="s">
        <v>379</v>
      </c>
      <c r="F298">
        <v>617057</v>
      </c>
      <c r="G298" t="s">
        <v>134</v>
      </c>
      <c r="H298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4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hidden="1" x14ac:dyDescent="0.25">
      <c r="A299" s="1">
        <v>46057</v>
      </c>
      <c r="B299" s="1">
        <v>45989</v>
      </c>
      <c r="C299" t="s">
        <v>15</v>
      </c>
      <c r="D299" s="38">
        <v>11</v>
      </c>
      <c r="E299" t="s">
        <v>379</v>
      </c>
      <c r="F299">
        <v>304014</v>
      </c>
      <c r="G299" t="s">
        <v>23</v>
      </c>
      <c r="H299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4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hidden="1" x14ac:dyDescent="0.25">
      <c r="A300" s="1">
        <v>46057</v>
      </c>
      <c r="B300" s="1">
        <v>45989</v>
      </c>
      <c r="C300" t="s">
        <v>15</v>
      </c>
      <c r="D300" s="38">
        <v>11</v>
      </c>
      <c r="E300" t="s">
        <v>379</v>
      </c>
      <c r="F300">
        <v>701043</v>
      </c>
      <c r="G300" t="s">
        <v>197</v>
      </c>
      <c r="H300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4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hidden="1" x14ac:dyDescent="0.25">
      <c r="A301" s="1">
        <v>46057</v>
      </c>
      <c r="B301" s="1">
        <v>45989</v>
      </c>
      <c r="C301" t="s">
        <v>15</v>
      </c>
      <c r="D301" s="38">
        <v>11</v>
      </c>
      <c r="E301" t="s">
        <v>379</v>
      </c>
      <c r="F301">
        <v>704079</v>
      </c>
      <c r="G301" t="s">
        <v>209</v>
      </c>
      <c r="H30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4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hidden="1" x14ac:dyDescent="0.25">
      <c r="A302" s="1">
        <v>46057</v>
      </c>
      <c r="B302" s="1">
        <v>45989</v>
      </c>
      <c r="C302" t="s">
        <v>15</v>
      </c>
      <c r="D302" s="38">
        <v>11</v>
      </c>
      <c r="E302" t="s">
        <v>379</v>
      </c>
      <c r="F302">
        <v>609007</v>
      </c>
      <c r="G302" t="s">
        <v>210</v>
      </c>
      <c r="H302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4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hidden="1" x14ac:dyDescent="0.25">
      <c r="A303" s="1">
        <v>46057</v>
      </c>
      <c r="B303" s="1">
        <v>45989</v>
      </c>
      <c r="C303" t="s">
        <v>15</v>
      </c>
      <c r="D303" s="38">
        <v>11</v>
      </c>
      <c r="E303" t="s">
        <v>379</v>
      </c>
      <c r="F303">
        <v>2304002</v>
      </c>
      <c r="G303" t="s">
        <v>212</v>
      </c>
      <c r="H303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4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hidden="1" x14ac:dyDescent="0.25">
      <c r="A304" s="1">
        <v>46057</v>
      </c>
      <c r="B304" s="1">
        <v>45989</v>
      </c>
      <c r="C304" t="s">
        <v>15</v>
      </c>
      <c r="D304" s="38">
        <v>11</v>
      </c>
      <c r="E304" t="s">
        <v>379</v>
      </c>
      <c r="F304">
        <v>307030</v>
      </c>
      <c r="G304" t="s">
        <v>64</v>
      </c>
      <c r="H304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4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hidden="1" x14ac:dyDescent="0.25">
      <c r="A305" s="1">
        <v>46057</v>
      </c>
      <c r="B305" s="1">
        <v>45989</v>
      </c>
      <c r="C305" t="s">
        <v>15</v>
      </c>
      <c r="D305" s="38">
        <v>11</v>
      </c>
      <c r="E305" t="s">
        <v>379</v>
      </c>
      <c r="F305">
        <v>1405026</v>
      </c>
      <c r="G305" t="s">
        <v>91</v>
      </c>
      <c r="H305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4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hidden="1" x14ac:dyDescent="0.25">
      <c r="A306" s="1">
        <v>46057</v>
      </c>
      <c r="B306" s="1">
        <v>45989</v>
      </c>
      <c r="C306" t="s">
        <v>15</v>
      </c>
      <c r="D306" s="38">
        <v>11</v>
      </c>
      <c r="E306" t="s">
        <v>379</v>
      </c>
      <c r="F306">
        <v>704095</v>
      </c>
      <c r="G306" t="s">
        <v>187</v>
      </c>
      <c r="H306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4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hidden="1" x14ac:dyDescent="0.25">
      <c r="A307" s="1">
        <v>46062</v>
      </c>
      <c r="B307" s="1">
        <v>46062</v>
      </c>
      <c r="C307" t="s">
        <v>201</v>
      </c>
      <c r="D307" s="38">
        <v>2</v>
      </c>
      <c r="E307" t="s">
        <v>202</v>
      </c>
      <c r="F307">
        <v>617016</v>
      </c>
      <c r="G307" t="s">
        <v>133</v>
      </c>
      <c r="H307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4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hidden="1" x14ac:dyDescent="0.25">
      <c r="A308" s="1">
        <v>46062</v>
      </c>
      <c r="B308" s="1">
        <v>46062</v>
      </c>
      <c r="C308" t="s">
        <v>201</v>
      </c>
      <c r="D308" s="38">
        <v>2</v>
      </c>
      <c r="E308" t="s">
        <v>202</v>
      </c>
      <c r="F308">
        <v>617057</v>
      </c>
      <c r="G308" t="s">
        <v>134</v>
      </c>
      <c r="H308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4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hidden="1" x14ac:dyDescent="0.25">
      <c r="A309" s="1">
        <v>46062</v>
      </c>
      <c r="B309" s="1">
        <v>46062</v>
      </c>
      <c r="C309" t="s">
        <v>201</v>
      </c>
      <c r="D309" s="38">
        <v>2</v>
      </c>
      <c r="E309" t="s">
        <v>202</v>
      </c>
      <c r="F309">
        <v>609008</v>
      </c>
      <c r="G309" t="s">
        <v>57</v>
      </c>
      <c r="H309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4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hidden="1" x14ac:dyDescent="0.25">
      <c r="A310" s="1">
        <v>46062</v>
      </c>
      <c r="B310" s="1">
        <v>46062</v>
      </c>
      <c r="C310" t="s">
        <v>201</v>
      </c>
      <c r="D310" s="38">
        <v>2</v>
      </c>
      <c r="E310" t="s">
        <v>202</v>
      </c>
      <c r="F310">
        <v>2304053</v>
      </c>
      <c r="G310" t="s">
        <v>213</v>
      </c>
      <c r="H310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4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hidden="1" x14ac:dyDescent="0.25">
      <c r="A311" s="1">
        <v>46062</v>
      </c>
      <c r="B311" s="1">
        <v>46062</v>
      </c>
      <c r="C311" t="s">
        <v>201</v>
      </c>
      <c r="D311" s="38">
        <v>2</v>
      </c>
      <c r="E311" t="s">
        <v>202</v>
      </c>
      <c r="F311">
        <v>602254</v>
      </c>
      <c r="G311" t="s">
        <v>214</v>
      </c>
      <c r="H31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4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hidden="1" x14ac:dyDescent="0.25">
      <c r="A312" s="1">
        <v>46066</v>
      </c>
      <c r="B312" s="1">
        <v>46066</v>
      </c>
      <c r="C312" t="s">
        <v>215</v>
      </c>
      <c r="D312" s="38">
        <v>2</v>
      </c>
      <c r="E312" t="s">
        <v>216</v>
      </c>
      <c r="F312">
        <v>302028</v>
      </c>
      <c r="G312" t="s">
        <v>246</v>
      </c>
      <c r="H312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4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hidden="1" x14ac:dyDescent="0.25">
      <c r="A313" s="1">
        <v>46066</v>
      </c>
      <c r="B313" s="1">
        <v>46066</v>
      </c>
      <c r="C313" t="s">
        <v>215</v>
      </c>
      <c r="D313" s="38">
        <v>2</v>
      </c>
      <c r="E313" t="s">
        <v>216</v>
      </c>
      <c r="F313">
        <v>701040</v>
      </c>
      <c r="G313" t="s">
        <v>19</v>
      </c>
      <c r="H313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4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hidden="1" x14ac:dyDescent="0.25">
      <c r="A314" s="1">
        <v>46066</v>
      </c>
      <c r="B314" s="1">
        <v>46066</v>
      </c>
      <c r="C314" t="s">
        <v>169</v>
      </c>
      <c r="D314" s="38">
        <v>2</v>
      </c>
      <c r="E314" t="s">
        <v>169</v>
      </c>
      <c r="F314">
        <v>407185</v>
      </c>
      <c r="G314" t="s">
        <v>43</v>
      </c>
      <c r="H314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4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hidden="1" x14ac:dyDescent="0.25">
      <c r="A315" s="1">
        <v>46066</v>
      </c>
      <c r="B315" s="1">
        <v>46066</v>
      </c>
      <c r="C315" t="s">
        <v>215</v>
      </c>
      <c r="D315" s="38">
        <v>2</v>
      </c>
      <c r="E315" t="s">
        <v>216</v>
      </c>
      <c r="F315">
        <v>701015</v>
      </c>
      <c r="G315" t="s">
        <v>254</v>
      </c>
      <c r="H315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4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hidden="1" x14ac:dyDescent="0.25">
      <c r="A316" s="1">
        <v>46066</v>
      </c>
      <c r="B316" s="1">
        <v>46066</v>
      </c>
      <c r="C316" t="s">
        <v>215</v>
      </c>
      <c r="D316" s="38">
        <v>2</v>
      </c>
      <c r="E316" t="s">
        <v>216</v>
      </c>
      <c r="F316">
        <v>304014</v>
      </c>
      <c r="G316" t="s">
        <v>23</v>
      </c>
      <c r="H316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4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hidden="1" x14ac:dyDescent="0.25">
      <c r="A317" s="1">
        <v>46066</v>
      </c>
      <c r="B317" s="1">
        <v>46066</v>
      </c>
      <c r="C317" t="s">
        <v>215</v>
      </c>
      <c r="D317" s="38">
        <v>2</v>
      </c>
      <c r="E317" t="s">
        <v>216</v>
      </c>
      <c r="F317">
        <v>304002</v>
      </c>
      <c r="G317" t="s">
        <v>37</v>
      </c>
      <c r="H317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4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hidden="1" x14ac:dyDescent="0.25">
      <c r="A318" s="1">
        <v>46066</v>
      </c>
      <c r="B318" s="1">
        <v>46066</v>
      </c>
      <c r="C318" t="s">
        <v>169</v>
      </c>
      <c r="D318" s="38">
        <v>2</v>
      </c>
      <c r="E318" t="s">
        <v>385</v>
      </c>
      <c r="F318">
        <v>602254</v>
      </c>
      <c r="G318" t="s">
        <v>214</v>
      </c>
      <c r="H318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4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hidden="1" x14ac:dyDescent="0.25">
      <c r="A319" s="1">
        <v>46066</v>
      </c>
      <c r="B319" s="1">
        <v>46066</v>
      </c>
      <c r="C319" t="s">
        <v>169</v>
      </c>
      <c r="D319" s="38">
        <v>2</v>
      </c>
      <c r="E319" t="s">
        <v>385</v>
      </c>
      <c r="F319">
        <v>412280</v>
      </c>
      <c r="G319" t="s">
        <v>40</v>
      </c>
      <c r="H319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4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hidden="1" x14ac:dyDescent="0.25">
      <c r="A320" s="1">
        <v>46066</v>
      </c>
      <c r="B320" s="1">
        <v>46066</v>
      </c>
      <c r="C320" t="s">
        <v>169</v>
      </c>
      <c r="D320" s="38">
        <v>2</v>
      </c>
      <c r="E320" t="s">
        <v>385</v>
      </c>
      <c r="F320">
        <v>617016</v>
      </c>
      <c r="G320" t="s">
        <v>133</v>
      </c>
      <c r="H320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4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hidden="1" x14ac:dyDescent="0.25">
      <c r="A321" s="1">
        <v>46066</v>
      </c>
      <c r="B321" s="1">
        <v>46066</v>
      </c>
      <c r="C321" t="s">
        <v>217</v>
      </c>
      <c r="D321" s="38">
        <v>2</v>
      </c>
      <c r="E321" t="s">
        <v>218</v>
      </c>
      <c r="F321">
        <v>407011</v>
      </c>
      <c r="G321" t="s">
        <v>30</v>
      </c>
      <c r="H32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4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hidden="1" x14ac:dyDescent="0.25">
      <c r="A322" s="1">
        <v>46066</v>
      </c>
      <c r="B322" s="1">
        <v>46066</v>
      </c>
      <c r="C322" t="s">
        <v>219</v>
      </c>
      <c r="D322" s="38">
        <v>2</v>
      </c>
      <c r="E322" t="s">
        <v>384</v>
      </c>
      <c r="F322">
        <v>302046</v>
      </c>
      <c r="G322" t="s">
        <v>115</v>
      </c>
      <c r="H322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4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hidden="1" x14ac:dyDescent="0.25">
      <c r="A323" s="1">
        <v>46066</v>
      </c>
      <c r="B323" s="1">
        <v>46066</v>
      </c>
      <c r="C323" t="s">
        <v>176</v>
      </c>
      <c r="D323" s="38">
        <v>2</v>
      </c>
      <c r="E323" t="s">
        <v>384</v>
      </c>
      <c r="F323">
        <v>302044</v>
      </c>
      <c r="G323" t="s">
        <v>247</v>
      </c>
      <c r="H323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4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hidden="1" x14ac:dyDescent="0.25">
      <c r="A324" s="1">
        <v>46066</v>
      </c>
      <c r="B324" s="1">
        <v>46066</v>
      </c>
      <c r="C324" t="s">
        <v>176</v>
      </c>
      <c r="D324" s="38">
        <v>2</v>
      </c>
      <c r="E324" t="s">
        <v>384</v>
      </c>
      <c r="F324">
        <v>302028</v>
      </c>
      <c r="G324" t="s">
        <v>246</v>
      </c>
      <c r="H324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4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hidden="1" x14ac:dyDescent="0.25">
      <c r="A325" s="1">
        <v>46066</v>
      </c>
      <c r="B325" s="1">
        <v>46066</v>
      </c>
      <c r="C325" t="s">
        <v>176</v>
      </c>
      <c r="D325" s="38">
        <v>2</v>
      </c>
      <c r="E325" t="s">
        <v>384</v>
      </c>
      <c r="F325">
        <v>302010</v>
      </c>
      <c r="G325" t="s">
        <v>323</v>
      </c>
      <c r="H325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4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hidden="1" x14ac:dyDescent="0.25">
      <c r="A326" s="1">
        <v>46066</v>
      </c>
      <c r="B326" s="1">
        <v>46066</v>
      </c>
      <c r="C326" t="s">
        <v>176</v>
      </c>
      <c r="D326" s="38">
        <v>2</v>
      </c>
      <c r="E326" t="s">
        <v>384</v>
      </c>
      <c r="F326" t="s">
        <v>21</v>
      </c>
      <c r="G326" t="s">
        <v>22</v>
      </c>
      <c r="H326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4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hidden="1" x14ac:dyDescent="0.25">
      <c r="A327" s="1">
        <v>46066</v>
      </c>
      <c r="B327" s="1">
        <v>46066</v>
      </c>
      <c r="C327" t="s">
        <v>176</v>
      </c>
      <c r="D327" s="38">
        <v>2</v>
      </c>
      <c r="E327" t="s">
        <v>384</v>
      </c>
      <c r="F327">
        <v>304007</v>
      </c>
      <c r="G327" t="s">
        <v>80</v>
      </c>
      <c r="H327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4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hidden="1" x14ac:dyDescent="0.25">
      <c r="A328" s="1">
        <v>46066</v>
      </c>
      <c r="B328" s="1">
        <v>46066</v>
      </c>
      <c r="C328" t="s">
        <v>176</v>
      </c>
      <c r="D328" s="38">
        <v>2</v>
      </c>
      <c r="E328" t="s">
        <v>384</v>
      </c>
      <c r="F328">
        <v>304101</v>
      </c>
      <c r="G328" t="s">
        <v>17</v>
      </c>
      <c r="H328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4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hidden="1" x14ac:dyDescent="0.25">
      <c r="A329" s="1">
        <v>46066</v>
      </c>
      <c r="B329" s="1">
        <v>46066</v>
      </c>
      <c r="C329" t="s">
        <v>176</v>
      </c>
      <c r="D329" s="38">
        <v>2</v>
      </c>
      <c r="E329" t="s">
        <v>384</v>
      </c>
      <c r="F329">
        <v>410046</v>
      </c>
      <c r="G329" t="s">
        <v>361</v>
      </c>
      <c r="H329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4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hidden="1" x14ac:dyDescent="0.25">
      <c r="A330" s="1">
        <v>46066</v>
      </c>
      <c r="B330" s="1">
        <v>46066</v>
      </c>
      <c r="C330" t="s">
        <v>176</v>
      </c>
      <c r="D330" s="38">
        <v>2</v>
      </c>
      <c r="E330" t="s">
        <v>384</v>
      </c>
      <c r="F330">
        <v>410045</v>
      </c>
      <c r="G330" t="s">
        <v>110</v>
      </c>
      <c r="H330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4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hidden="1" x14ac:dyDescent="0.25">
      <c r="A331" s="1">
        <v>46066</v>
      </c>
      <c r="B331" s="1">
        <v>46066</v>
      </c>
      <c r="C331" t="s">
        <v>169</v>
      </c>
      <c r="D331" s="38">
        <v>2</v>
      </c>
      <c r="E331" t="s">
        <v>384</v>
      </c>
      <c r="F331">
        <v>410126</v>
      </c>
      <c r="G331" t="s">
        <v>159</v>
      </c>
      <c r="H33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4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hidden="1" x14ac:dyDescent="0.25">
      <c r="A332" s="1">
        <v>46066</v>
      </c>
      <c r="B332" s="1">
        <v>46066</v>
      </c>
      <c r="C332" t="s">
        <v>169</v>
      </c>
      <c r="D332" s="38">
        <v>2</v>
      </c>
      <c r="E332" t="s">
        <v>384</v>
      </c>
      <c r="F332" t="s">
        <v>386</v>
      </c>
      <c r="G332" t="s">
        <v>83</v>
      </c>
      <c r="H332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4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hidden="1" x14ac:dyDescent="0.25">
      <c r="A333" s="1">
        <v>46066</v>
      </c>
      <c r="B333" s="1">
        <v>46066</v>
      </c>
      <c r="C333" t="s">
        <v>169</v>
      </c>
      <c r="D333" s="38">
        <v>2</v>
      </c>
      <c r="E333" t="s">
        <v>384</v>
      </c>
      <c r="F333">
        <v>408071</v>
      </c>
      <c r="G333" t="s">
        <v>111</v>
      </c>
      <c r="H333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4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hidden="1" x14ac:dyDescent="0.25">
      <c r="A334" s="1">
        <v>46066</v>
      </c>
      <c r="B334" s="1">
        <v>46066</v>
      </c>
      <c r="C334" t="s">
        <v>169</v>
      </c>
      <c r="D334" s="38">
        <v>2</v>
      </c>
      <c r="E334" t="s">
        <v>169</v>
      </c>
      <c r="F334">
        <v>2302098</v>
      </c>
      <c r="G334" t="s">
        <v>24</v>
      </c>
      <c r="H334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4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hidden="1" x14ac:dyDescent="0.25">
      <c r="A335" s="1">
        <v>46066</v>
      </c>
      <c r="B335" s="1">
        <v>46066</v>
      </c>
      <c r="C335" t="s">
        <v>176</v>
      </c>
      <c r="D335" s="38">
        <v>2</v>
      </c>
      <c r="E335" t="s">
        <v>384</v>
      </c>
      <c r="F335">
        <v>407423</v>
      </c>
      <c r="G335" t="s">
        <v>106</v>
      </c>
      <c r="H335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4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hidden="1" x14ac:dyDescent="0.25">
      <c r="A336" s="1">
        <v>46066</v>
      </c>
      <c r="B336" s="1">
        <v>46066</v>
      </c>
      <c r="C336" t="s">
        <v>169</v>
      </c>
      <c r="D336" s="38">
        <v>2</v>
      </c>
      <c r="E336" t="s">
        <v>384</v>
      </c>
      <c r="F336">
        <v>407185</v>
      </c>
      <c r="G336" t="s">
        <v>43</v>
      </c>
      <c r="H336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4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hidden="1" x14ac:dyDescent="0.25">
      <c r="A337" s="1">
        <v>46066</v>
      </c>
      <c r="B337" s="1">
        <v>46066</v>
      </c>
      <c r="C337" t="s">
        <v>169</v>
      </c>
      <c r="D337" s="38">
        <v>2</v>
      </c>
      <c r="E337" t="s">
        <v>384</v>
      </c>
      <c r="F337">
        <v>1405006</v>
      </c>
      <c r="G337" t="s">
        <v>199</v>
      </c>
      <c r="H337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4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hidden="1" x14ac:dyDescent="0.25">
      <c r="A338" s="1">
        <v>46066</v>
      </c>
      <c r="B338" s="1">
        <v>46066</v>
      </c>
      <c r="C338" t="s">
        <v>176</v>
      </c>
      <c r="D338" s="38">
        <v>2</v>
      </c>
      <c r="E338" t="s">
        <v>384</v>
      </c>
      <c r="F338">
        <v>407170</v>
      </c>
      <c r="G338" t="s">
        <v>107</v>
      </c>
      <c r="H338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4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hidden="1" x14ac:dyDescent="0.25">
      <c r="A339" s="1">
        <v>46066</v>
      </c>
      <c r="B339" s="1">
        <v>46066</v>
      </c>
      <c r="C339" t="s">
        <v>169</v>
      </c>
      <c r="D339" s="38">
        <v>2</v>
      </c>
      <c r="E339" t="s">
        <v>384</v>
      </c>
      <c r="F339">
        <v>407011</v>
      </c>
      <c r="G339" t="s">
        <v>30</v>
      </c>
      <c r="H339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4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hidden="1" x14ac:dyDescent="0.25">
      <c r="A340" s="1">
        <v>46066</v>
      </c>
      <c r="B340" s="1">
        <v>46066</v>
      </c>
      <c r="C340" t="s">
        <v>169</v>
      </c>
      <c r="D340" s="38">
        <v>2</v>
      </c>
      <c r="E340" t="s">
        <v>384</v>
      </c>
      <c r="F340">
        <v>407307</v>
      </c>
      <c r="G340" t="s">
        <v>163</v>
      </c>
      <c r="H340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4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hidden="1" x14ac:dyDescent="0.25">
      <c r="A341" s="1">
        <v>46066</v>
      </c>
      <c r="B341" s="1">
        <v>46066</v>
      </c>
      <c r="C341" t="s">
        <v>169</v>
      </c>
      <c r="D341" s="38">
        <v>2</v>
      </c>
      <c r="E341" t="s">
        <v>384</v>
      </c>
      <c r="F341">
        <v>407010</v>
      </c>
      <c r="G341" t="s">
        <v>164</v>
      </c>
      <c r="H34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4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hidden="1" x14ac:dyDescent="0.25">
      <c r="A342" s="1">
        <v>46066</v>
      </c>
      <c r="B342" s="1">
        <v>46066</v>
      </c>
      <c r="C342" t="s">
        <v>169</v>
      </c>
      <c r="D342" s="38">
        <v>2</v>
      </c>
      <c r="E342" t="s">
        <v>384</v>
      </c>
      <c r="F342">
        <v>408042</v>
      </c>
      <c r="G342" t="s">
        <v>144</v>
      </c>
      <c r="H342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4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hidden="1" x14ac:dyDescent="0.25">
      <c r="A343" s="1">
        <v>46066</v>
      </c>
      <c r="B343" s="1">
        <v>46066</v>
      </c>
      <c r="C343" t="s">
        <v>176</v>
      </c>
      <c r="D343" s="38">
        <v>2</v>
      </c>
      <c r="E343" t="s">
        <v>384</v>
      </c>
      <c r="F343">
        <v>701043</v>
      </c>
      <c r="G343" t="s">
        <v>197</v>
      </c>
      <c r="H343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4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hidden="1" x14ac:dyDescent="0.25">
      <c r="A344" s="1">
        <v>46066</v>
      </c>
      <c r="B344" s="1">
        <v>46066</v>
      </c>
      <c r="C344" t="s">
        <v>176</v>
      </c>
      <c r="D344" s="38">
        <v>2</v>
      </c>
      <c r="E344" t="s">
        <v>384</v>
      </c>
      <c r="F344">
        <v>701096</v>
      </c>
      <c r="G344" t="s">
        <v>204</v>
      </c>
      <c r="H344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4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hidden="1" x14ac:dyDescent="0.25">
      <c r="A345" s="1">
        <v>46066</v>
      </c>
      <c r="B345" s="1">
        <v>46066</v>
      </c>
      <c r="C345" t="s">
        <v>220</v>
      </c>
      <c r="D345" s="38">
        <v>2</v>
      </c>
      <c r="E345" t="s">
        <v>384</v>
      </c>
      <c r="F345">
        <v>701015</v>
      </c>
      <c r="G345" t="s">
        <v>254</v>
      </c>
      <c r="H345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4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hidden="1" x14ac:dyDescent="0.25">
      <c r="A346" s="1">
        <v>46070</v>
      </c>
      <c r="B346" s="1">
        <v>46070</v>
      </c>
      <c r="C346" t="s">
        <v>221</v>
      </c>
      <c r="D346" s="38">
        <v>2</v>
      </c>
      <c r="E346" t="s">
        <v>222</v>
      </c>
      <c r="F346" t="s">
        <v>179</v>
      </c>
      <c r="G346" t="s">
        <v>180</v>
      </c>
      <c r="H346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 t="s">
        <v>2015</v>
      </c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4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hidden="1" x14ac:dyDescent="0.25">
      <c r="A347" s="1">
        <v>46070</v>
      </c>
      <c r="B347" s="1">
        <v>46070</v>
      </c>
      <c r="C347" t="s">
        <v>221</v>
      </c>
      <c r="D347" s="38">
        <v>2</v>
      </c>
      <c r="E347" t="s">
        <v>222</v>
      </c>
      <c r="F347">
        <v>2302119</v>
      </c>
      <c r="G347" t="s">
        <v>74</v>
      </c>
      <c r="H347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4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hidden="1" x14ac:dyDescent="0.25">
      <c r="A348" s="1">
        <v>46070</v>
      </c>
      <c r="B348" s="1">
        <v>46070</v>
      </c>
      <c r="C348" t="s">
        <v>169</v>
      </c>
      <c r="D348" s="38">
        <v>2</v>
      </c>
      <c r="E348" t="s">
        <v>222</v>
      </c>
      <c r="F348">
        <v>1901505</v>
      </c>
      <c r="G348" t="s">
        <v>27</v>
      </c>
      <c r="H348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4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hidden="1" x14ac:dyDescent="0.25">
      <c r="A349" s="1">
        <v>46070</v>
      </c>
      <c r="B349" s="1">
        <v>46070</v>
      </c>
      <c r="C349" t="s">
        <v>221</v>
      </c>
      <c r="D349" s="38">
        <v>2</v>
      </c>
      <c r="E349" t="s">
        <v>222</v>
      </c>
      <c r="F349">
        <v>304014</v>
      </c>
      <c r="G349" t="s">
        <v>23</v>
      </c>
      <c r="H349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4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hidden="1" x14ac:dyDescent="0.25">
      <c r="A350" s="1">
        <v>46070</v>
      </c>
      <c r="B350" s="1">
        <v>46070</v>
      </c>
      <c r="C350" t="s">
        <v>169</v>
      </c>
      <c r="D350" s="38">
        <v>2</v>
      </c>
      <c r="E350" t="s">
        <v>222</v>
      </c>
      <c r="F350">
        <v>2302098</v>
      </c>
      <c r="G350" t="s">
        <v>24</v>
      </c>
      <c r="H350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4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hidden="1" x14ac:dyDescent="0.25">
      <c r="A351" s="1">
        <v>46070</v>
      </c>
      <c r="B351" s="1">
        <v>46070</v>
      </c>
      <c r="C351" t="s">
        <v>169</v>
      </c>
      <c r="D351" s="38">
        <v>2</v>
      </c>
      <c r="E351" t="s">
        <v>222</v>
      </c>
      <c r="F351">
        <v>617057</v>
      </c>
      <c r="G351" t="s">
        <v>134</v>
      </c>
      <c r="H35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4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hidden="1" x14ac:dyDescent="0.25">
      <c r="A352" s="1">
        <v>46070</v>
      </c>
      <c r="B352" s="1">
        <v>46070</v>
      </c>
      <c r="C352" t="s">
        <v>169</v>
      </c>
      <c r="D352" s="38">
        <v>2</v>
      </c>
      <c r="E352" t="s">
        <v>384</v>
      </c>
      <c r="F352">
        <v>1902013</v>
      </c>
      <c r="G352" t="s">
        <v>338</v>
      </c>
      <c r="H352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4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hidden="1" x14ac:dyDescent="0.25">
      <c r="A353" s="1">
        <v>46072</v>
      </c>
      <c r="B353" s="1">
        <v>46072</v>
      </c>
      <c r="C353" t="s">
        <v>223</v>
      </c>
      <c r="D353" s="38">
        <v>2</v>
      </c>
      <c r="E353" t="s">
        <v>388</v>
      </c>
      <c r="F353" t="s">
        <v>179</v>
      </c>
      <c r="G353" t="s">
        <v>180</v>
      </c>
      <c r="H353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 t="s">
        <v>2017</v>
      </c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4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hidden="1" x14ac:dyDescent="0.25">
      <c r="A354" s="1">
        <v>46072</v>
      </c>
      <c r="B354" s="1">
        <v>46072</v>
      </c>
      <c r="C354" t="s">
        <v>223</v>
      </c>
      <c r="D354" s="38">
        <v>2</v>
      </c>
      <c r="E354" t="s">
        <v>388</v>
      </c>
      <c r="F354">
        <v>617016</v>
      </c>
      <c r="G354" t="s">
        <v>133</v>
      </c>
      <c r="H354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4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hidden="1" x14ac:dyDescent="0.25">
      <c r="A355" s="1">
        <v>46072</v>
      </c>
      <c r="B355" s="1">
        <v>46072</v>
      </c>
      <c r="C355" t="s">
        <v>169</v>
      </c>
      <c r="D355" s="38">
        <v>2</v>
      </c>
      <c r="E355" t="s">
        <v>169</v>
      </c>
      <c r="F355">
        <v>408071</v>
      </c>
      <c r="G355" t="s">
        <v>111</v>
      </c>
      <c r="H355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4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hidden="1" x14ac:dyDescent="0.25">
      <c r="A356" s="1">
        <v>46073</v>
      </c>
      <c r="B356" s="1">
        <v>46073</v>
      </c>
      <c r="C356" t="s">
        <v>224</v>
      </c>
      <c r="D356" s="38">
        <v>2</v>
      </c>
      <c r="E356" t="s">
        <v>389</v>
      </c>
      <c r="F356">
        <v>408071</v>
      </c>
      <c r="G356" t="s">
        <v>111</v>
      </c>
      <c r="H356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4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hidden="1" x14ac:dyDescent="0.25">
      <c r="A357" s="1">
        <v>46073</v>
      </c>
      <c r="B357" s="1">
        <v>46073</v>
      </c>
      <c r="C357" t="s">
        <v>224</v>
      </c>
      <c r="D357" s="38">
        <v>2</v>
      </c>
      <c r="E357" t="s">
        <v>389</v>
      </c>
      <c r="F357">
        <v>412280</v>
      </c>
      <c r="G357" t="s">
        <v>40</v>
      </c>
      <c r="H357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4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hidden="1" x14ac:dyDescent="0.25">
      <c r="A358" s="1">
        <v>46073</v>
      </c>
      <c r="B358" s="1">
        <v>46073</v>
      </c>
      <c r="C358" t="s">
        <v>224</v>
      </c>
      <c r="D358" s="38">
        <v>2</v>
      </c>
      <c r="E358" t="s">
        <v>389</v>
      </c>
      <c r="F358">
        <v>412260</v>
      </c>
      <c r="G358" t="s">
        <v>41</v>
      </c>
      <c r="H358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4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hidden="1" x14ac:dyDescent="0.25">
      <c r="A359" s="1">
        <v>46073</v>
      </c>
      <c r="B359" s="1">
        <v>46073</v>
      </c>
      <c r="C359" t="s">
        <v>224</v>
      </c>
      <c r="D359" s="38">
        <v>2</v>
      </c>
      <c r="E359" t="s">
        <v>389</v>
      </c>
      <c r="F359">
        <v>302028</v>
      </c>
      <c r="G359" t="s">
        <v>246</v>
      </c>
      <c r="H359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4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hidden="1" x14ac:dyDescent="0.25">
      <c r="A360" s="1">
        <v>46076</v>
      </c>
      <c r="B360" s="1">
        <v>46076</v>
      </c>
      <c r="C360" t="s">
        <v>169</v>
      </c>
      <c r="D360" s="38">
        <v>2</v>
      </c>
      <c r="E360" t="s">
        <v>389</v>
      </c>
      <c r="F360">
        <v>302248</v>
      </c>
      <c r="G360" t="s">
        <v>281</v>
      </c>
      <c r="H360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4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hidden="1" x14ac:dyDescent="0.25">
      <c r="A361" s="1">
        <v>46078</v>
      </c>
      <c r="B361" s="1">
        <v>46078</v>
      </c>
      <c r="C361" t="s">
        <v>169</v>
      </c>
      <c r="D361" s="38">
        <v>2</v>
      </c>
      <c r="E361" t="s">
        <v>169</v>
      </c>
      <c r="F361">
        <v>5309018</v>
      </c>
      <c r="G361" t="s">
        <v>112</v>
      </c>
      <c r="H36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4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hidden="1" x14ac:dyDescent="0.25">
      <c r="A362" s="1">
        <v>46078</v>
      </c>
      <c r="B362" s="1">
        <v>46078</v>
      </c>
      <c r="C362" t="s">
        <v>169</v>
      </c>
      <c r="D362" s="38">
        <v>2</v>
      </c>
      <c r="E362" t="s">
        <v>169</v>
      </c>
      <c r="F362">
        <v>407423</v>
      </c>
      <c r="G362" t="s">
        <v>106</v>
      </c>
      <c r="H362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4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hidden="1" x14ac:dyDescent="0.25">
      <c r="A363" s="1">
        <v>46078</v>
      </c>
      <c r="B363" s="1">
        <v>46078</v>
      </c>
      <c r="C363" t="s">
        <v>169</v>
      </c>
      <c r="D363" s="38">
        <v>2</v>
      </c>
      <c r="E363" t="s">
        <v>169</v>
      </c>
      <c r="F363">
        <v>407010</v>
      </c>
      <c r="G363" t="s">
        <v>164</v>
      </c>
      <c r="H363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4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hidden="1" x14ac:dyDescent="0.25">
      <c r="A364" s="1">
        <v>46078</v>
      </c>
      <c r="B364" s="1">
        <v>46078</v>
      </c>
      <c r="C364" t="s">
        <v>75</v>
      </c>
      <c r="D364" s="38">
        <v>2</v>
      </c>
      <c r="E364" t="s">
        <v>391</v>
      </c>
      <c r="F364">
        <v>701043</v>
      </c>
      <c r="G364" t="s">
        <v>197</v>
      </c>
      <c r="H364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4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hidden="1" x14ac:dyDescent="0.25">
      <c r="A365" s="1">
        <v>46078</v>
      </c>
      <c r="B365" s="1">
        <v>46078</v>
      </c>
      <c r="C365" t="s">
        <v>169</v>
      </c>
      <c r="D365" s="38">
        <v>2</v>
      </c>
      <c r="E365" t="s">
        <v>169</v>
      </c>
      <c r="F365">
        <v>617057</v>
      </c>
      <c r="G365" t="s">
        <v>134</v>
      </c>
      <c r="H365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4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hidden="1" x14ac:dyDescent="0.25">
      <c r="A366" s="1">
        <v>46078</v>
      </c>
      <c r="B366" s="1">
        <v>46078</v>
      </c>
      <c r="C366" t="s">
        <v>169</v>
      </c>
      <c r="D366" s="38">
        <v>2</v>
      </c>
      <c r="E366" t="s">
        <v>169</v>
      </c>
      <c r="F366">
        <v>408014</v>
      </c>
      <c r="G366" t="s">
        <v>108</v>
      </c>
      <c r="H366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4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hidden="1" x14ac:dyDescent="0.25">
      <c r="A367" s="1">
        <v>46078</v>
      </c>
      <c r="B367" s="1">
        <v>46078</v>
      </c>
      <c r="C367" t="s">
        <v>169</v>
      </c>
      <c r="D367" s="38">
        <v>2</v>
      </c>
      <c r="E367" t="s">
        <v>169</v>
      </c>
      <c r="F367" t="s">
        <v>225</v>
      </c>
      <c r="G367" t="s">
        <v>226</v>
      </c>
      <c r="H367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4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hidden="1" x14ac:dyDescent="0.25">
      <c r="A368" s="1">
        <v>46078</v>
      </c>
      <c r="B368" s="1">
        <v>46078</v>
      </c>
      <c r="C368" t="s">
        <v>169</v>
      </c>
      <c r="D368" s="38">
        <v>2</v>
      </c>
      <c r="E368" t="s">
        <v>169</v>
      </c>
      <c r="F368">
        <v>408042</v>
      </c>
      <c r="G368" t="s">
        <v>144</v>
      </c>
      <c r="H368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4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hidden="1" x14ac:dyDescent="0.25">
      <c r="A369" s="1">
        <v>46078</v>
      </c>
      <c r="B369" s="1">
        <v>46078</v>
      </c>
      <c r="C369" t="s">
        <v>75</v>
      </c>
      <c r="D369" s="38">
        <v>2</v>
      </c>
      <c r="E369" t="s">
        <v>391</v>
      </c>
      <c r="F369">
        <v>302028</v>
      </c>
      <c r="G369" t="s">
        <v>246</v>
      </c>
      <c r="H369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4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hidden="1" x14ac:dyDescent="0.25">
      <c r="A370" s="1">
        <v>46079</v>
      </c>
      <c r="B370" s="1">
        <v>46079</v>
      </c>
      <c r="C370" t="s">
        <v>227</v>
      </c>
      <c r="D370" s="38">
        <v>2</v>
      </c>
      <c r="E370" t="s">
        <v>169</v>
      </c>
      <c r="F370">
        <v>2302118</v>
      </c>
      <c r="G370" t="s">
        <v>228</v>
      </c>
      <c r="H370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 t="s">
        <v>2017</v>
      </c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4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hidden="1" x14ac:dyDescent="0.25">
      <c r="A371" s="1">
        <v>46079</v>
      </c>
      <c r="B371" s="1">
        <v>46079</v>
      </c>
      <c r="C371" t="s">
        <v>227</v>
      </c>
      <c r="D371" s="38">
        <v>2</v>
      </c>
      <c r="E371" t="s">
        <v>169</v>
      </c>
      <c r="F371">
        <v>412260</v>
      </c>
      <c r="G371" t="s">
        <v>41</v>
      </c>
      <c r="H37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4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hidden="1" x14ac:dyDescent="0.25">
      <c r="A372" s="1">
        <v>46079</v>
      </c>
      <c r="B372" s="1">
        <v>46079</v>
      </c>
      <c r="C372" t="s">
        <v>227</v>
      </c>
      <c r="D372" s="38">
        <v>2</v>
      </c>
      <c r="E372" t="s">
        <v>169</v>
      </c>
      <c r="F372">
        <v>412280</v>
      </c>
      <c r="G372" t="s">
        <v>40</v>
      </c>
      <c r="H372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4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hidden="1" x14ac:dyDescent="0.25">
      <c r="A373" s="1">
        <v>46079</v>
      </c>
      <c r="B373" s="1">
        <v>46079</v>
      </c>
      <c r="C373" t="s">
        <v>169</v>
      </c>
      <c r="D373" s="38">
        <v>2</v>
      </c>
      <c r="E373" t="s">
        <v>229</v>
      </c>
      <c r="F373">
        <v>407423</v>
      </c>
      <c r="G373" t="s">
        <v>106</v>
      </c>
      <c r="H373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4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hidden="1" x14ac:dyDescent="0.25">
      <c r="A374" s="1">
        <v>46080</v>
      </c>
      <c r="B374" s="1">
        <v>46080</v>
      </c>
      <c r="C374" t="s">
        <v>176</v>
      </c>
      <c r="D374" s="38">
        <v>2</v>
      </c>
      <c r="E374" t="s">
        <v>392</v>
      </c>
      <c r="F374">
        <v>304101</v>
      </c>
      <c r="G374" t="s">
        <v>17</v>
      </c>
      <c r="H374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 t="s">
        <v>2017</v>
      </c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4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hidden="1" x14ac:dyDescent="0.25">
      <c r="A375" s="1">
        <v>46080</v>
      </c>
      <c r="B375" s="1">
        <v>46080</v>
      </c>
      <c r="C375" t="s">
        <v>176</v>
      </c>
      <c r="D375" s="38">
        <v>2</v>
      </c>
      <c r="E375" t="s">
        <v>392</v>
      </c>
      <c r="F375">
        <v>1901038</v>
      </c>
      <c r="G375" t="s">
        <v>39</v>
      </c>
      <c r="H375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4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hidden="1" x14ac:dyDescent="0.25">
      <c r="A376" s="1">
        <v>46080</v>
      </c>
      <c r="B376" s="1">
        <v>46080</v>
      </c>
      <c r="C376" t="s">
        <v>176</v>
      </c>
      <c r="D376" s="38">
        <v>2</v>
      </c>
      <c r="E376" t="s">
        <v>392</v>
      </c>
      <c r="F376">
        <v>1901008</v>
      </c>
      <c r="G376" t="s">
        <v>278</v>
      </c>
      <c r="H376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4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hidden="1" x14ac:dyDescent="0.25">
      <c r="A377" s="1">
        <v>46080</v>
      </c>
      <c r="B377" s="1">
        <v>46080</v>
      </c>
      <c r="C377" t="s">
        <v>169</v>
      </c>
      <c r="D377" s="38">
        <v>2</v>
      </c>
      <c r="E377" t="s">
        <v>230</v>
      </c>
      <c r="F377">
        <v>701096</v>
      </c>
      <c r="G377" t="s">
        <v>204</v>
      </c>
      <c r="H377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4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hidden="1" x14ac:dyDescent="0.25">
      <c r="A378" s="1">
        <v>46080</v>
      </c>
      <c r="B378" s="1">
        <v>46080</v>
      </c>
      <c r="C378" t="s">
        <v>169</v>
      </c>
      <c r="D378" s="38">
        <v>2</v>
      </c>
      <c r="E378" t="s">
        <v>230</v>
      </c>
      <c r="F378">
        <v>701043</v>
      </c>
      <c r="G378" t="s">
        <v>197</v>
      </c>
      <c r="H378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4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hidden="1" x14ac:dyDescent="0.25">
      <c r="A379" s="1">
        <v>46080</v>
      </c>
      <c r="B379" s="1">
        <v>46080</v>
      </c>
      <c r="C379" t="s">
        <v>169</v>
      </c>
      <c r="D379" s="38">
        <v>2</v>
      </c>
      <c r="E379" t="s">
        <v>169</v>
      </c>
      <c r="F379" t="s">
        <v>231</v>
      </c>
      <c r="G379" t="s">
        <v>180</v>
      </c>
      <c r="H379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4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hidden="1" x14ac:dyDescent="0.25">
      <c r="A380" s="1">
        <v>46080</v>
      </c>
      <c r="B380" s="1">
        <v>46080</v>
      </c>
      <c r="C380" t="s">
        <v>169</v>
      </c>
      <c r="D380" s="38">
        <v>2</v>
      </c>
      <c r="E380" t="s">
        <v>169</v>
      </c>
      <c r="F380">
        <v>407049</v>
      </c>
      <c r="G380" t="s">
        <v>232</v>
      </c>
      <c r="H380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4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hidden="1" x14ac:dyDescent="0.25">
      <c r="A381" s="1">
        <v>46080</v>
      </c>
      <c r="B381" s="1">
        <v>46080</v>
      </c>
      <c r="C381" t="s">
        <v>224</v>
      </c>
      <c r="D381" s="38">
        <v>2</v>
      </c>
      <c r="E381" t="s">
        <v>233</v>
      </c>
      <c r="F381">
        <v>701084</v>
      </c>
      <c r="G381" t="s">
        <v>38</v>
      </c>
      <c r="H3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4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hidden="1" x14ac:dyDescent="0.25">
      <c r="A382" s="1">
        <v>46080</v>
      </c>
      <c r="B382" s="1">
        <v>46080</v>
      </c>
      <c r="C382" t="s">
        <v>169</v>
      </c>
      <c r="D382" s="38">
        <v>2</v>
      </c>
      <c r="E382" t="s">
        <v>169</v>
      </c>
      <c r="F382">
        <v>407011</v>
      </c>
      <c r="G382" t="s">
        <v>30</v>
      </c>
      <c r="H382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4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hidden="1" x14ac:dyDescent="0.25">
      <c r="A383" s="1">
        <v>46083</v>
      </c>
      <c r="B383" s="1">
        <v>46083</v>
      </c>
      <c r="C383" t="s">
        <v>169</v>
      </c>
      <c r="D383" s="38">
        <v>3</v>
      </c>
      <c r="E383" t="s">
        <v>169</v>
      </c>
      <c r="F383">
        <v>1901008</v>
      </c>
      <c r="G383" t="s">
        <v>278</v>
      </c>
      <c r="H383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4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hidden="1" x14ac:dyDescent="0.25">
      <c r="A384" s="1">
        <v>46083</v>
      </c>
      <c r="B384" s="1">
        <v>46083</v>
      </c>
      <c r="C384" t="s">
        <v>169</v>
      </c>
      <c r="D384" s="38">
        <v>3</v>
      </c>
      <c r="E384" t="s">
        <v>169</v>
      </c>
      <c r="F384">
        <v>617055</v>
      </c>
      <c r="G384" t="s">
        <v>182</v>
      </c>
      <c r="H384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4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hidden="1" x14ac:dyDescent="0.25">
      <c r="A385" s="1">
        <v>46083</v>
      </c>
      <c r="B385" s="1">
        <v>46083</v>
      </c>
      <c r="C385" t="s">
        <v>169</v>
      </c>
      <c r="D385" s="38">
        <v>3</v>
      </c>
      <c r="E385" t="s">
        <v>169</v>
      </c>
      <c r="F385">
        <v>407423</v>
      </c>
      <c r="G385" t="s">
        <v>106</v>
      </c>
      <c r="H385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4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hidden="1" x14ac:dyDescent="0.25">
      <c r="A386" s="1">
        <v>46083</v>
      </c>
      <c r="B386" s="1">
        <v>46083</v>
      </c>
      <c r="C386" t="s">
        <v>169</v>
      </c>
      <c r="D386" s="38">
        <v>3</v>
      </c>
      <c r="E386" t="s">
        <v>169</v>
      </c>
      <c r="F386">
        <v>1901086</v>
      </c>
      <c r="G386" t="s">
        <v>279</v>
      </c>
      <c r="H386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4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hidden="1" x14ac:dyDescent="0.25">
      <c r="A387" s="1">
        <v>46084</v>
      </c>
      <c r="B387" s="1">
        <v>46084</v>
      </c>
      <c r="C387" t="s">
        <v>393</v>
      </c>
      <c r="D387" s="38">
        <v>3</v>
      </c>
      <c r="E387" t="s">
        <v>393</v>
      </c>
      <c r="F387">
        <v>404184</v>
      </c>
      <c r="G387" t="s">
        <v>66</v>
      </c>
      <c r="H387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4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hidden="1" x14ac:dyDescent="0.25">
      <c r="A388" s="1">
        <v>46084</v>
      </c>
      <c r="B388" s="1">
        <v>46084</v>
      </c>
      <c r="C388" t="s">
        <v>393</v>
      </c>
      <c r="D388" s="38">
        <v>3</v>
      </c>
      <c r="E388" t="s">
        <v>393</v>
      </c>
      <c r="F388">
        <v>701183</v>
      </c>
      <c r="G388" t="s">
        <v>136</v>
      </c>
      <c r="H388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4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hidden="1" x14ac:dyDescent="0.25">
      <c r="A389" s="1">
        <v>46084</v>
      </c>
      <c r="B389" s="1">
        <v>46084</v>
      </c>
      <c r="C389" t="s">
        <v>169</v>
      </c>
      <c r="D389" s="38">
        <v>3</v>
      </c>
      <c r="E389" t="s">
        <v>124</v>
      </c>
      <c r="F389">
        <v>2302024</v>
      </c>
      <c r="G389" t="s">
        <v>234</v>
      </c>
      <c r="H389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 t="s">
        <v>2015</v>
      </c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4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hidden="1" x14ac:dyDescent="0.25">
      <c r="A390" s="1">
        <v>46084</v>
      </c>
      <c r="B390" s="1">
        <v>46084</v>
      </c>
      <c r="C390" t="s">
        <v>169</v>
      </c>
      <c r="D390" s="38">
        <v>3</v>
      </c>
      <c r="E390" t="s">
        <v>124</v>
      </c>
      <c r="F390">
        <v>2302098</v>
      </c>
      <c r="G390" t="s">
        <v>24</v>
      </c>
      <c r="H390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4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hidden="1" x14ac:dyDescent="0.25">
      <c r="A391" s="1">
        <v>46085</v>
      </c>
      <c r="B391" s="1">
        <v>46085</v>
      </c>
      <c r="C391" t="s">
        <v>169</v>
      </c>
      <c r="D391" s="38">
        <v>3</v>
      </c>
      <c r="E391" t="s">
        <v>169</v>
      </c>
      <c r="F391">
        <v>2302024</v>
      </c>
      <c r="G391" t="s">
        <v>234</v>
      </c>
      <c r="H39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4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hidden="1" x14ac:dyDescent="0.25">
      <c r="A392" s="1">
        <v>46085</v>
      </c>
      <c r="B392" s="1">
        <v>46085</v>
      </c>
      <c r="C392" t="s">
        <v>169</v>
      </c>
      <c r="D392" s="38">
        <v>3</v>
      </c>
      <c r="E392" t="s">
        <v>169</v>
      </c>
      <c r="F392">
        <v>2302098</v>
      </c>
      <c r="G392" t="s">
        <v>24</v>
      </c>
      <c r="H392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4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hidden="1" x14ac:dyDescent="0.25">
      <c r="A393" s="1">
        <v>46085</v>
      </c>
      <c r="B393" s="1">
        <v>46085</v>
      </c>
      <c r="C393" t="s">
        <v>169</v>
      </c>
      <c r="D393" s="38">
        <v>3</v>
      </c>
      <c r="E393" t="s">
        <v>169</v>
      </c>
      <c r="F393">
        <v>810007</v>
      </c>
      <c r="G393" t="s">
        <v>235</v>
      </c>
      <c r="H393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4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hidden="1" x14ac:dyDescent="0.25">
      <c r="A394" s="1">
        <v>46085</v>
      </c>
      <c r="B394" s="1">
        <v>46085</v>
      </c>
      <c r="C394" t="s">
        <v>169</v>
      </c>
      <c r="D394" s="38">
        <v>3</v>
      </c>
      <c r="E394" t="s">
        <v>169</v>
      </c>
      <c r="F394">
        <v>617055</v>
      </c>
      <c r="G394" t="s">
        <v>182</v>
      </c>
      <c r="H394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4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hidden="1" x14ac:dyDescent="0.25">
      <c r="A395" s="1">
        <v>46085</v>
      </c>
      <c r="B395" s="1">
        <v>46085</v>
      </c>
      <c r="C395" t="s">
        <v>169</v>
      </c>
      <c r="D395" s="38">
        <v>3</v>
      </c>
      <c r="E395" t="s">
        <v>169</v>
      </c>
      <c r="F395">
        <v>408071</v>
      </c>
      <c r="G395" t="s">
        <v>111</v>
      </c>
      <c r="H395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4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hidden="1" x14ac:dyDescent="0.25">
      <c r="A396" s="1">
        <v>46085</v>
      </c>
      <c r="B396" s="1">
        <v>46085</v>
      </c>
      <c r="C396" t="s">
        <v>169</v>
      </c>
      <c r="D396" s="38">
        <v>3</v>
      </c>
      <c r="E396" t="s">
        <v>169</v>
      </c>
      <c r="F396">
        <v>408042</v>
      </c>
      <c r="G396" t="s">
        <v>144</v>
      </c>
      <c r="H396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4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hidden="1" x14ac:dyDescent="0.25">
      <c r="A397" s="1">
        <v>46085</v>
      </c>
      <c r="B397" s="1">
        <v>46085</v>
      </c>
      <c r="C397" t="s">
        <v>169</v>
      </c>
      <c r="D397" s="38">
        <v>3</v>
      </c>
      <c r="E397" t="s">
        <v>169</v>
      </c>
      <c r="F397" t="s">
        <v>82</v>
      </c>
      <c r="G397" t="s">
        <v>83</v>
      </c>
      <c r="H397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4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hidden="1" x14ac:dyDescent="0.25">
      <c r="A398" s="1">
        <v>46085</v>
      </c>
      <c r="B398" s="1">
        <v>46085</v>
      </c>
      <c r="C398" t="s">
        <v>394</v>
      </c>
      <c r="D398" s="38">
        <v>3</v>
      </c>
      <c r="E398" t="s">
        <v>236</v>
      </c>
      <c r="F398">
        <v>412592</v>
      </c>
      <c r="G398" t="s">
        <v>237</v>
      </c>
      <c r="H398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4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hidden="1" x14ac:dyDescent="0.25">
      <c r="A399" s="1">
        <v>46085</v>
      </c>
      <c r="B399" s="1">
        <v>46085</v>
      </c>
      <c r="C399" t="s">
        <v>238</v>
      </c>
      <c r="D399" s="38">
        <v>3</v>
      </c>
      <c r="E399" t="s">
        <v>395</v>
      </c>
      <c r="F399">
        <v>701096</v>
      </c>
      <c r="G399" t="s">
        <v>204</v>
      </c>
      <c r="H399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4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hidden="1" x14ac:dyDescent="0.25">
      <c r="A400" s="1">
        <v>46085</v>
      </c>
      <c r="B400" s="1">
        <v>46085</v>
      </c>
      <c r="C400" t="s">
        <v>238</v>
      </c>
      <c r="D400" s="38">
        <v>3</v>
      </c>
      <c r="E400" t="s">
        <v>395</v>
      </c>
      <c r="F400">
        <v>701040</v>
      </c>
      <c r="G400" t="s">
        <v>19</v>
      </c>
      <c r="H400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4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hidden="1" x14ac:dyDescent="0.25">
      <c r="A401" s="1">
        <v>46085</v>
      </c>
      <c r="B401" s="1">
        <v>46085</v>
      </c>
      <c r="C401" t="s">
        <v>169</v>
      </c>
      <c r="D401" s="38">
        <v>3</v>
      </c>
      <c r="E401" t="s">
        <v>395</v>
      </c>
      <c r="F401">
        <v>701015</v>
      </c>
      <c r="G401" t="s">
        <v>254</v>
      </c>
      <c r="H40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4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hidden="1" x14ac:dyDescent="0.25">
      <c r="A402" s="1">
        <v>46086</v>
      </c>
      <c r="B402" s="1">
        <v>46086</v>
      </c>
      <c r="C402" t="s">
        <v>169</v>
      </c>
      <c r="D402" s="38">
        <v>3</v>
      </c>
      <c r="E402" t="s">
        <v>169</v>
      </c>
      <c r="F402">
        <v>304002</v>
      </c>
      <c r="G402" t="s">
        <v>37</v>
      </c>
      <c r="H402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 t="s">
        <v>2020</v>
      </c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4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hidden="1" x14ac:dyDescent="0.25">
      <c r="A403" s="1">
        <v>46087</v>
      </c>
      <c r="B403" s="1">
        <v>46087</v>
      </c>
      <c r="C403" t="s">
        <v>169</v>
      </c>
      <c r="D403" s="38">
        <v>3</v>
      </c>
      <c r="E403" t="s">
        <v>169</v>
      </c>
      <c r="F403">
        <v>302010</v>
      </c>
      <c r="G403" t="s">
        <v>323</v>
      </c>
      <c r="H403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 t="s">
        <v>2017</v>
      </c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4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hidden="1" x14ac:dyDescent="0.25">
      <c r="A404" s="1">
        <v>46087</v>
      </c>
      <c r="B404" s="1">
        <v>46087</v>
      </c>
      <c r="C404" t="s">
        <v>169</v>
      </c>
      <c r="D404" s="38">
        <v>3</v>
      </c>
      <c r="E404" t="s">
        <v>169</v>
      </c>
      <c r="F404">
        <v>302046</v>
      </c>
      <c r="G404" t="s">
        <v>115</v>
      </c>
      <c r="H404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4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hidden="1" x14ac:dyDescent="0.25">
      <c r="A405" s="1">
        <v>46087</v>
      </c>
      <c r="B405" s="1">
        <v>46087</v>
      </c>
      <c r="C405" t="s">
        <v>169</v>
      </c>
      <c r="D405" s="38">
        <v>3</v>
      </c>
      <c r="E405" t="s">
        <v>169</v>
      </c>
      <c r="F405">
        <v>412313</v>
      </c>
      <c r="G405" t="s">
        <v>253</v>
      </c>
      <c r="H405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4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hidden="1" x14ac:dyDescent="0.25">
      <c r="A406" s="1">
        <v>46087</v>
      </c>
      <c r="B406" s="1">
        <v>46087</v>
      </c>
      <c r="C406" t="s">
        <v>169</v>
      </c>
      <c r="D406" s="38">
        <v>3</v>
      </c>
      <c r="E406" t="s">
        <v>169</v>
      </c>
      <c r="F406">
        <v>410078</v>
      </c>
      <c r="G406" t="s">
        <v>252</v>
      </c>
      <c r="H406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4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hidden="1" x14ac:dyDescent="0.25">
      <c r="A407" s="1">
        <v>46087</v>
      </c>
      <c r="B407" s="1">
        <v>46087</v>
      </c>
      <c r="C407" t="s">
        <v>169</v>
      </c>
      <c r="D407" s="38">
        <v>3</v>
      </c>
      <c r="E407" t="s">
        <v>169</v>
      </c>
      <c r="F407">
        <v>302028</v>
      </c>
      <c r="G407" t="s">
        <v>246</v>
      </c>
      <c r="H407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4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hidden="1" x14ac:dyDescent="0.25">
      <c r="A408" s="1">
        <v>46087</v>
      </c>
      <c r="B408" s="1">
        <v>46087</v>
      </c>
      <c r="C408" t="s">
        <v>169</v>
      </c>
      <c r="D408" s="38">
        <v>3</v>
      </c>
      <c r="E408" t="s">
        <v>169</v>
      </c>
      <c r="F408">
        <v>304101</v>
      </c>
      <c r="G408" t="s">
        <v>17</v>
      </c>
      <c r="H408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4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hidden="1" x14ac:dyDescent="0.25">
      <c r="A409" s="1">
        <v>46087</v>
      </c>
      <c r="B409" s="1">
        <v>46087</v>
      </c>
      <c r="C409" t="s">
        <v>169</v>
      </c>
      <c r="D409" s="38">
        <v>3</v>
      </c>
      <c r="E409" t="s">
        <v>169</v>
      </c>
      <c r="F409">
        <v>304007</v>
      </c>
      <c r="G409" t="s">
        <v>80</v>
      </c>
      <c r="H409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4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hidden="1" x14ac:dyDescent="0.25">
      <c r="A410" s="1">
        <v>46087</v>
      </c>
      <c r="B410" s="1">
        <v>46087</v>
      </c>
      <c r="C410" t="s">
        <v>169</v>
      </c>
      <c r="D410" s="38">
        <v>3</v>
      </c>
      <c r="E410" t="s">
        <v>169</v>
      </c>
      <c r="F410">
        <v>408042</v>
      </c>
      <c r="G410" t="s">
        <v>144</v>
      </c>
      <c r="H410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4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hidden="1" x14ac:dyDescent="0.25">
      <c r="A411" s="1">
        <v>46087</v>
      </c>
      <c r="B411" s="1">
        <v>46087</v>
      </c>
      <c r="C411" t="s">
        <v>169</v>
      </c>
      <c r="D411" s="38">
        <v>3</v>
      </c>
      <c r="E411" t="s">
        <v>169</v>
      </c>
      <c r="F411">
        <v>410126</v>
      </c>
      <c r="G411" t="s">
        <v>159</v>
      </c>
      <c r="H41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4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hidden="1" x14ac:dyDescent="0.25">
      <c r="A412" s="1">
        <v>46087</v>
      </c>
      <c r="B412" s="1">
        <v>46087</v>
      </c>
      <c r="C412" t="s">
        <v>169</v>
      </c>
      <c r="D412" s="38">
        <v>3</v>
      </c>
      <c r="E412" t="s">
        <v>169</v>
      </c>
      <c r="F412">
        <v>407011</v>
      </c>
      <c r="G412" t="s">
        <v>30</v>
      </c>
      <c r="H412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4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hidden="1" x14ac:dyDescent="0.25">
      <c r="A413" s="1">
        <v>46087</v>
      </c>
      <c r="B413" s="1">
        <v>46087</v>
      </c>
      <c r="C413" t="s">
        <v>169</v>
      </c>
      <c r="D413" s="38">
        <v>3</v>
      </c>
      <c r="E413" t="s">
        <v>169</v>
      </c>
      <c r="F413">
        <v>1902013</v>
      </c>
      <c r="G413" t="s">
        <v>338</v>
      </c>
      <c r="H413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4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hidden="1" x14ac:dyDescent="0.25">
      <c r="A414" s="1">
        <v>46087</v>
      </c>
      <c r="B414" s="1">
        <v>46087</v>
      </c>
      <c r="C414" t="s">
        <v>169</v>
      </c>
      <c r="D414" s="38">
        <v>3</v>
      </c>
      <c r="E414" t="s">
        <v>169</v>
      </c>
      <c r="F414">
        <v>407423</v>
      </c>
      <c r="G414" t="s">
        <v>106</v>
      </c>
      <c r="H414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4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hidden="1" x14ac:dyDescent="0.25">
      <c r="A415" s="1">
        <v>46087</v>
      </c>
      <c r="B415" s="1">
        <v>46087</v>
      </c>
      <c r="C415" t="s">
        <v>169</v>
      </c>
      <c r="D415" s="38">
        <v>3</v>
      </c>
      <c r="E415" t="s">
        <v>169</v>
      </c>
      <c r="F415">
        <v>410045</v>
      </c>
      <c r="G415" t="s">
        <v>110</v>
      </c>
      <c r="H415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4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hidden="1" x14ac:dyDescent="0.25">
      <c r="A416" s="1">
        <v>46087</v>
      </c>
      <c r="B416" s="1">
        <v>46087</v>
      </c>
      <c r="C416" t="s">
        <v>169</v>
      </c>
      <c r="D416" s="38">
        <v>3</v>
      </c>
      <c r="E416" t="s">
        <v>169</v>
      </c>
      <c r="F416" t="s">
        <v>386</v>
      </c>
      <c r="G416" t="s">
        <v>83</v>
      </c>
      <c r="H416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4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hidden="1" x14ac:dyDescent="0.25">
      <c r="A417" s="1">
        <v>46087</v>
      </c>
      <c r="B417" s="1">
        <v>46087</v>
      </c>
      <c r="C417" t="s">
        <v>169</v>
      </c>
      <c r="D417" s="38">
        <v>3</v>
      </c>
      <c r="E417" t="s">
        <v>169</v>
      </c>
      <c r="F417">
        <v>2302119</v>
      </c>
      <c r="G417" t="s">
        <v>74</v>
      </c>
      <c r="H417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4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hidden="1" x14ac:dyDescent="0.25">
      <c r="A418" s="1">
        <v>46087</v>
      </c>
      <c r="B418" s="1">
        <v>46087</v>
      </c>
      <c r="C418" t="s">
        <v>169</v>
      </c>
      <c r="D418" s="38">
        <v>3</v>
      </c>
      <c r="E418" t="s">
        <v>169</v>
      </c>
      <c r="F418">
        <v>407170</v>
      </c>
      <c r="G418" t="s">
        <v>107</v>
      </c>
      <c r="H418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4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hidden="1" x14ac:dyDescent="0.25">
      <c r="A419" s="1">
        <v>46087</v>
      </c>
      <c r="B419" s="1">
        <v>46087</v>
      </c>
      <c r="C419" t="s">
        <v>169</v>
      </c>
      <c r="D419" s="38">
        <v>3</v>
      </c>
      <c r="E419" t="s">
        <v>315</v>
      </c>
      <c r="F419">
        <v>2505058</v>
      </c>
      <c r="G419" t="s">
        <v>142</v>
      </c>
      <c r="H419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4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hidden="1" x14ac:dyDescent="0.25">
      <c r="A420" s="1">
        <v>46087</v>
      </c>
      <c r="B420" s="1">
        <v>46087</v>
      </c>
      <c r="C420" t="s">
        <v>169</v>
      </c>
      <c r="D420" s="38">
        <v>3</v>
      </c>
      <c r="E420" t="s">
        <v>169</v>
      </c>
      <c r="F420" t="s">
        <v>231</v>
      </c>
      <c r="G420" t="s">
        <v>180</v>
      </c>
      <c r="H420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448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4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hidden="1" x14ac:dyDescent="0.25">
      <c r="A421" s="1">
        <v>46087</v>
      </c>
      <c r="B421" s="1">
        <v>46087</v>
      </c>
      <c r="C421" t="s">
        <v>169</v>
      </c>
      <c r="D421" s="38">
        <v>3</v>
      </c>
      <c r="E421" t="s">
        <v>169</v>
      </c>
      <c r="F421">
        <v>617055</v>
      </c>
      <c r="G421" t="s">
        <v>182</v>
      </c>
      <c r="H42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4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hidden="1" x14ac:dyDescent="0.25">
      <c r="A422" s="1">
        <v>46087</v>
      </c>
      <c r="B422" s="1">
        <v>46087</v>
      </c>
      <c r="C422" t="s">
        <v>169</v>
      </c>
      <c r="D422" s="38">
        <v>3</v>
      </c>
      <c r="E422" t="s">
        <v>169</v>
      </c>
      <c r="F422">
        <v>617057</v>
      </c>
      <c r="G422" t="s">
        <v>134</v>
      </c>
      <c r="H422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4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hidden="1" x14ac:dyDescent="0.25">
      <c r="A423" s="1">
        <v>46091</v>
      </c>
      <c r="B423" s="1">
        <v>46091</v>
      </c>
      <c r="C423" t="s">
        <v>169</v>
      </c>
      <c r="D423" s="38">
        <v>3</v>
      </c>
      <c r="E423" t="s">
        <v>169</v>
      </c>
      <c r="F423">
        <v>1902014</v>
      </c>
      <c r="G423" t="s">
        <v>316</v>
      </c>
      <c r="H423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 t="s">
        <v>2017</v>
      </c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4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hidden="1" x14ac:dyDescent="0.25">
      <c r="A424" s="1">
        <v>46091</v>
      </c>
      <c r="B424" s="1">
        <v>46091</v>
      </c>
      <c r="C424" t="s">
        <v>169</v>
      </c>
      <c r="D424" s="38">
        <v>3</v>
      </c>
      <c r="E424" t="s">
        <v>169</v>
      </c>
      <c r="F424">
        <v>1901008</v>
      </c>
      <c r="G424" t="s">
        <v>278</v>
      </c>
      <c r="H424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4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hidden="1" x14ac:dyDescent="0.25">
      <c r="A425" s="1">
        <v>46091</v>
      </c>
      <c r="B425" s="1">
        <v>46091</v>
      </c>
      <c r="C425" t="s">
        <v>169</v>
      </c>
      <c r="D425" s="38">
        <v>3</v>
      </c>
      <c r="E425" t="s">
        <v>169</v>
      </c>
      <c r="F425">
        <v>1901038</v>
      </c>
      <c r="G425" t="s">
        <v>39</v>
      </c>
      <c r="H425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4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hidden="1" x14ac:dyDescent="0.25">
      <c r="A426" s="1">
        <v>46091</v>
      </c>
      <c r="B426" s="1">
        <v>46091</v>
      </c>
      <c r="C426" t="s">
        <v>169</v>
      </c>
      <c r="D426" s="38">
        <v>3</v>
      </c>
      <c r="E426" t="s">
        <v>169</v>
      </c>
      <c r="F426">
        <v>408088</v>
      </c>
      <c r="G426" t="s">
        <v>109</v>
      </c>
      <c r="H426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4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hidden="1" x14ac:dyDescent="0.25">
      <c r="A427" s="1">
        <v>46091</v>
      </c>
      <c r="B427" s="1">
        <v>46091</v>
      </c>
      <c r="C427" t="s">
        <v>169</v>
      </c>
      <c r="D427" s="38">
        <v>3</v>
      </c>
      <c r="E427" t="s">
        <v>169</v>
      </c>
      <c r="F427" t="s">
        <v>225</v>
      </c>
      <c r="G427" t="s">
        <v>226</v>
      </c>
      <c r="H427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4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hidden="1" x14ac:dyDescent="0.25">
      <c r="A428" s="1">
        <v>46091</v>
      </c>
      <c r="B428" s="1">
        <v>46091</v>
      </c>
      <c r="C428" t="s">
        <v>169</v>
      </c>
      <c r="D428" s="38">
        <v>3</v>
      </c>
      <c r="E428" t="s">
        <v>169</v>
      </c>
      <c r="F428">
        <v>704046</v>
      </c>
      <c r="G428" t="s">
        <v>255</v>
      </c>
      <c r="H428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 t="s">
        <v>2017</v>
      </c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4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hidden="1" x14ac:dyDescent="0.25">
      <c r="A429" s="1">
        <v>46091</v>
      </c>
      <c r="B429" s="1">
        <v>46091</v>
      </c>
      <c r="C429" t="s">
        <v>169</v>
      </c>
      <c r="D429" s="38">
        <v>3</v>
      </c>
      <c r="E429" t="s">
        <v>169</v>
      </c>
      <c r="F429">
        <v>106022</v>
      </c>
      <c r="G429" t="s">
        <v>245</v>
      </c>
      <c r="H429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4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hidden="1" x14ac:dyDescent="0.25">
      <c r="A430" s="1">
        <v>46091</v>
      </c>
      <c r="B430" s="1">
        <v>46091</v>
      </c>
      <c r="C430" t="s">
        <v>169</v>
      </c>
      <c r="D430" s="38">
        <v>3</v>
      </c>
      <c r="E430" t="s">
        <v>169</v>
      </c>
      <c r="F430">
        <v>2304002</v>
      </c>
      <c r="G430" t="s">
        <v>212</v>
      </c>
      <c r="H430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4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hidden="1" x14ac:dyDescent="0.25">
      <c r="A431" s="1">
        <v>46091</v>
      </c>
      <c r="B431" s="1">
        <v>46091</v>
      </c>
      <c r="C431" t="s">
        <v>169</v>
      </c>
      <c r="D431" s="38">
        <v>3</v>
      </c>
      <c r="E431" t="s">
        <v>169</v>
      </c>
      <c r="F431">
        <v>907031</v>
      </c>
      <c r="G431" t="s">
        <v>256</v>
      </c>
      <c r="H43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4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hidden="1" x14ac:dyDescent="0.25">
      <c r="A432" s="1">
        <v>46091</v>
      </c>
      <c r="B432" s="1">
        <v>46091</v>
      </c>
      <c r="C432" t="s">
        <v>169</v>
      </c>
      <c r="D432" s="38">
        <v>3</v>
      </c>
      <c r="E432" t="s">
        <v>169</v>
      </c>
      <c r="F432">
        <v>2302017</v>
      </c>
      <c r="G432" t="s">
        <v>156</v>
      </c>
      <c r="H432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4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hidden="1" x14ac:dyDescent="0.25">
      <c r="A433" s="1">
        <v>46091</v>
      </c>
      <c r="B433" s="1">
        <v>46091</v>
      </c>
      <c r="C433" t="s">
        <v>169</v>
      </c>
      <c r="D433" s="38">
        <v>3</v>
      </c>
      <c r="E433" t="s">
        <v>169</v>
      </c>
      <c r="F433">
        <v>408042</v>
      </c>
      <c r="G433" t="s">
        <v>144</v>
      </c>
      <c r="H433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4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hidden="1" x14ac:dyDescent="0.25">
      <c r="A434" s="1">
        <v>46092</v>
      </c>
      <c r="B434" s="1">
        <v>46092</v>
      </c>
      <c r="C434" t="s">
        <v>169</v>
      </c>
      <c r="D434" s="38">
        <v>3</v>
      </c>
      <c r="E434" t="s">
        <v>169</v>
      </c>
      <c r="F434">
        <v>704046</v>
      </c>
      <c r="G434" t="s">
        <v>255</v>
      </c>
      <c r="H434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 t="s">
        <v>2017</v>
      </c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4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hidden="1" x14ac:dyDescent="0.25">
      <c r="A435" s="1">
        <v>46092</v>
      </c>
      <c r="B435" s="1">
        <v>46092</v>
      </c>
      <c r="C435" t="s">
        <v>169</v>
      </c>
      <c r="D435" s="38">
        <v>3</v>
      </c>
      <c r="E435" t="s">
        <v>169</v>
      </c>
      <c r="F435">
        <v>302028</v>
      </c>
      <c r="G435" t="s">
        <v>246</v>
      </c>
      <c r="H435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4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hidden="1" x14ac:dyDescent="0.25">
      <c r="A436" s="1">
        <v>46092</v>
      </c>
      <c r="B436" s="1">
        <v>46092</v>
      </c>
      <c r="C436" t="s">
        <v>169</v>
      </c>
      <c r="D436" s="38">
        <v>3</v>
      </c>
      <c r="E436" t="s">
        <v>169</v>
      </c>
      <c r="F436">
        <v>304101</v>
      </c>
      <c r="G436" t="s">
        <v>17</v>
      </c>
      <c r="H436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4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hidden="1" x14ac:dyDescent="0.25">
      <c r="A437" s="1">
        <v>46092</v>
      </c>
      <c r="B437" s="1">
        <v>46092</v>
      </c>
      <c r="C437" t="s">
        <v>169</v>
      </c>
      <c r="D437" s="38">
        <v>3</v>
      </c>
      <c r="E437" t="s">
        <v>169</v>
      </c>
      <c r="F437">
        <v>302010</v>
      </c>
      <c r="G437" t="s">
        <v>323</v>
      </c>
      <c r="H437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4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hidden="1" x14ac:dyDescent="0.25">
      <c r="A438" s="1">
        <v>46092</v>
      </c>
      <c r="B438" s="1">
        <v>46092</v>
      </c>
      <c r="C438" t="s">
        <v>169</v>
      </c>
      <c r="D438" s="38">
        <v>3</v>
      </c>
      <c r="E438" t="s">
        <v>169</v>
      </c>
      <c r="F438">
        <v>407011</v>
      </c>
      <c r="G438" t="s">
        <v>30</v>
      </c>
      <c r="H438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4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hidden="1" x14ac:dyDescent="0.25">
      <c r="A439" s="1">
        <v>46092</v>
      </c>
      <c r="B439" s="1">
        <v>46092</v>
      </c>
      <c r="C439" t="s">
        <v>169</v>
      </c>
      <c r="D439" s="38">
        <v>3</v>
      </c>
      <c r="E439" t="s">
        <v>169</v>
      </c>
      <c r="F439">
        <v>407423</v>
      </c>
      <c r="G439" t="s">
        <v>106</v>
      </c>
      <c r="H439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4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hidden="1" x14ac:dyDescent="0.25">
      <c r="A440" s="1">
        <v>46092</v>
      </c>
      <c r="B440" s="1">
        <v>46092</v>
      </c>
      <c r="C440" t="s">
        <v>169</v>
      </c>
      <c r="D440" s="38">
        <v>3</v>
      </c>
      <c r="E440" t="s">
        <v>169</v>
      </c>
      <c r="F440">
        <v>304049</v>
      </c>
      <c r="G440" t="s">
        <v>318</v>
      </c>
      <c r="H440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4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hidden="1" x14ac:dyDescent="0.25">
      <c r="A441" s="1">
        <v>46093</v>
      </c>
      <c r="B441" s="1">
        <v>46093</v>
      </c>
      <c r="C441" t="s">
        <v>779</v>
      </c>
      <c r="D441" s="38">
        <v>3</v>
      </c>
      <c r="E441" t="s">
        <v>779</v>
      </c>
      <c r="F441">
        <v>1802164</v>
      </c>
      <c r="G441" t="s">
        <v>306</v>
      </c>
      <c r="H44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4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hidden="1" x14ac:dyDescent="0.25">
      <c r="A442" s="1">
        <v>46094</v>
      </c>
      <c r="B442" s="1">
        <v>46094</v>
      </c>
      <c r="C442" t="s">
        <v>169</v>
      </c>
      <c r="D442" s="38">
        <v>3</v>
      </c>
      <c r="E442" t="s">
        <v>169</v>
      </c>
      <c r="F442">
        <v>617057</v>
      </c>
      <c r="G442" t="s">
        <v>134</v>
      </c>
      <c r="H442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 t="s">
        <v>2017</v>
      </c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4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hidden="1" x14ac:dyDescent="0.25">
      <c r="A443" s="1">
        <v>46094</v>
      </c>
      <c r="B443" s="1">
        <v>46094</v>
      </c>
      <c r="C443" t="s">
        <v>169</v>
      </c>
      <c r="D443" s="38">
        <v>3</v>
      </c>
      <c r="E443" t="s">
        <v>169</v>
      </c>
      <c r="F443">
        <v>407185</v>
      </c>
      <c r="G443" t="s">
        <v>43</v>
      </c>
      <c r="H443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4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hidden="1" x14ac:dyDescent="0.25">
      <c r="A444" s="1">
        <v>46094</v>
      </c>
      <c r="B444" s="1">
        <v>46094</v>
      </c>
      <c r="C444" t="s">
        <v>169</v>
      </c>
      <c r="D444" s="38">
        <v>3</v>
      </c>
      <c r="E444" t="s">
        <v>169</v>
      </c>
      <c r="F444">
        <v>407423</v>
      </c>
      <c r="G444" t="s">
        <v>106</v>
      </c>
      <c r="H444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4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hidden="1" x14ac:dyDescent="0.25">
      <c r="A445" s="1">
        <v>46094</v>
      </c>
      <c r="B445" s="1">
        <v>46094</v>
      </c>
      <c r="C445" t="s">
        <v>169</v>
      </c>
      <c r="D445" s="38">
        <v>3</v>
      </c>
      <c r="E445" t="s">
        <v>169</v>
      </c>
      <c r="F445">
        <v>2302017</v>
      </c>
      <c r="G445" t="s">
        <v>156</v>
      </c>
      <c r="H445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4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hidden="1" x14ac:dyDescent="0.25">
      <c r="A446" s="1">
        <v>46094</v>
      </c>
      <c r="B446" s="1">
        <v>46094</v>
      </c>
      <c r="C446" t="s">
        <v>169</v>
      </c>
      <c r="D446" s="38">
        <v>3</v>
      </c>
      <c r="E446" t="s">
        <v>169</v>
      </c>
      <c r="F446">
        <v>907031</v>
      </c>
      <c r="G446" t="s">
        <v>256</v>
      </c>
      <c r="H446" t="s">
        <v>743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4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hidden="1" x14ac:dyDescent="0.25">
      <c r="A447" s="1">
        <v>46094</v>
      </c>
      <c r="B447" s="1">
        <v>46094</v>
      </c>
      <c r="C447" t="s">
        <v>169</v>
      </c>
      <c r="D447" s="38">
        <v>3</v>
      </c>
      <c r="E447" t="s">
        <v>169</v>
      </c>
      <c r="F447">
        <v>1901008</v>
      </c>
      <c r="G447" t="s">
        <v>278</v>
      </c>
      <c r="H447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4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hidden="1" x14ac:dyDescent="0.25">
      <c r="A448" s="1">
        <v>46094</v>
      </c>
      <c r="B448" s="1">
        <v>46094</v>
      </c>
      <c r="C448" t="s">
        <v>169</v>
      </c>
      <c r="D448" s="38">
        <v>3</v>
      </c>
      <c r="E448" t="s">
        <v>169</v>
      </c>
      <c r="F448">
        <v>1902003</v>
      </c>
      <c r="G448" t="s">
        <v>155</v>
      </c>
      <c r="H448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4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hidden="1" x14ac:dyDescent="0.25">
      <c r="A449" s="1">
        <v>46094</v>
      </c>
      <c r="B449" s="1">
        <v>46094</v>
      </c>
      <c r="C449" t="s">
        <v>169</v>
      </c>
      <c r="D449" s="38">
        <v>3</v>
      </c>
      <c r="E449" t="s">
        <v>169</v>
      </c>
      <c r="F449">
        <v>609008</v>
      </c>
      <c r="G449" t="s">
        <v>57</v>
      </c>
      <c r="H449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4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hidden="1" x14ac:dyDescent="0.25">
      <c r="A450" s="1">
        <v>46094</v>
      </c>
      <c r="B450" s="1">
        <v>46094</v>
      </c>
      <c r="C450" t="s">
        <v>169</v>
      </c>
      <c r="D450" s="38">
        <v>3</v>
      </c>
      <c r="E450" t="s">
        <v>169</v>
      </c>
      <c r="F450">
        <v>1610023</v>
      </c>
      <c r="G450" t="s">
        <v>351</v>
      </c>
      <c r="H450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4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hidden="1" x14ac:dyDescent="0.25">
      <c r="A451" s="1">
        <v>46094</v>
      </c>
      <c r="B451" s="1">
        <v>46094</v>
      </c>
      <c r="C451" t="s">
        <v>169</v>
      </c>
      <c r="D451" s="38">
        <v>3</v>
      </c>
      <c r="E451" t="s">
        <v>169</v>
      </c>
      <c r="F451">
        <v>701096</v>
      </c>
      <c r="G451" t="s">
        <v>204</v>
      </c>
      <c r="H45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4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hidden="1" x14ac:dyDescent="0.25">
      <c r="A452" s="1">
        <v>46094</v>
      </c>
      <c r="B452" s="1">
        <v>46094</v>
      </c>
      <c r="C452" t="s">
        <v>169</v>
      </c>
      <c r="D452" s="38">
        <v>3</v>
      </c>
      <c r="E452" t="s">
        <v>169</v>
      </c>
      <c r="F452">
        <v>1901038</v>
      </c>
      <c r="G452" t="s">
        <v>39</v>
      </c>
      <c r="H452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4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hidden="1" x14ac:dyDescent="0.25">
      <c r="A453" s="1">
        <v>46094</v>
      </c>
      <c r="B453" s="1">
        <v>46094</v>
      </c>
      <c r="C453" t="s">
        <v>169</v>
      </c>
      <c r="D453" s="38">
        <v>3</v>
      </c>
      <c r="E453" t="s">
        <v>169</v>
      </c>
      <c r="F453">
        <v>2302119</v>
      </c>
      <c r="G453" t="s">
        <v>74</v>
      </c>
      <c r="H453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4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hidden="1" x14ac:dyDescent="0.25">
      <c r="A454" s="1">
        <v>46094</v>
      </c>
      <c r="B454" s="1">
        <v>46094</v>
      </c>
      <c r="C454" t="s">
        <v>169</v>
      </c>
      <c r="D454" s="38">
        <v>3</v>
      </c>
      <c r="E454" t="s">
        <v>169</v>
      </c>
      <c r="F454">
        <v>412280</v>
      </c>
      <c r="G454" t="s">
        <v>40</v>
      </c>
      <c r="H454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4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hidden="1" x14ac:dyDescent="0.25">
      <c r="A455" s="1">
        <v>46094</v>
      </c>
      <c r="B455" s="1">
        <v>46094</v>
      </c>
      <c r="C455" t="s">
        <v>169</v>
      </c>
      <c r="D455" s="38">
        <v>3</v>
      </c>
      <c r="E455" t="s">
        <v>169</v>
      </c>
      <c r="F455">
        <v>412260</v>
      </c>
      <c r="G455" t="s">
        <v>41</v>
      </c>
      <c r="H455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4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hidden="1" x14ac:dyDescent="0.25">
      <c r="A456" s="1">
        <v>46094</v>
      </c>
      <c r="B456" s="1">
        <v>46094</v>
      </c>
      <c r="C456" t="s">
        <v>169</v>
      </c>
      <c r="D456" s="38">
        <v>3</v>
      </c>
      <c r="E456" t="s">
        <v>169</v>
      </c>
      <c r="F456">
        <v>408042</v>
      </c>
      <c r="G456" t="s">
        <v>144</v>
      </c>
      <c r="H456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4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hidden="1" x14ac:dyDescent="0.25">
      <c r="A457" s="1">
        <v>46094</v>
      </c>
      <c r="B457" s="1">
        <v>46094</v>
      </c>
      <c r="C457" t="s">
        <v>169</v>
      </c>
      <c r="D457" s="38">
        <v>3</v>
      </c>
      <c r="E457" t="s">
        <v>169</v>
      </c>
      <c r="F457">
        <v>1902003</v>
      </c>
      <c r="G457" t="s">
        <v>155</v>
      </c>
      <c r="H457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4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hidden="1" x14ac:dyDescent="0.25">
      <c r="A458" s="1">
        <v>46098</v>
      </c>
      <c r="B458" s="1">
        <v>46098</v>
      </c>
      <c r="C458" t="s">
        <v>169</v>
      </c>
      <c r="D458" s="38">
        <v>3</v>
      </c>
      <c r="E458" t="s">
        <v>169</v>
      </c>
      <c r="F458">
        <v>2302098</v>
      </c>
      <c r="G458" t="s">
        <v>24</v>
      </c>
      <c r="H458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 t="s">
        <v>2017</v>
      </c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4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hidden="1" x14ac:dyDescent="0.25">
      <c r="A459" s="1">
        <v>46098</v>
      </c>
      <c r="B459" s="1">
        <v>46098</v>
      </c>
      <c r="C459" t="s">
        <v>169</v>
      </c>
      <c r="D459" s="38">
        <v>3</v>
      </c>
      <c r="E459" t="s">
        <v>169</v>
      </c>
      <c r="F459">
        <v>5309018</v>
      </c>
      <c r="G459" t="s">
        <v>112</v>
      </c>
      <c r="H459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4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hidden="1" x14ac:dyDescent="0.25">
      <c r="A460" s="1">
        <v>46098</v>
      </c>
      <c r="B460" s="1">
        <v>46098</v>
      </c>
      <c r="C460" t="s">
        <v>169</v>
      </c>
      <c r="D460" s="38">
        <v>3</v>
      </c>
      <c r="E460" t="s">
        <v>169</v>
      </c>
      <c r="F460">
        <v>2508169</v>
      </c>
      <c r="G460" t="s">
        <v>307</v>
      </c>
      <c r="H460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4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hidden="1" x14ac:dyDescent="0.25">
      <c r="A461" s="1">
        <v>46098</v>
      </c>
      <c r="B461" s="1">
        <v>46098</v>
      </c>
      <c r="C461" t="s">
        <v>169</v>
      </c>
      <c r="D461" s="38">
        <v>3</v>
      </c>
      <c r="E461" t="s">
        <v>169</v>
      </c>
      <c r="F461">
        <v>408042</v>
      </c>
      <c r="G461" t="s">
        <v>144</v>
      </c>
      <c r="H46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4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hidden="1" x14ac:dyDescent="0.25">
      <c r="A462" s="1">
        <v>46098</v>
      </c>
      <c r="B462" s="1">
        <v>46098</v>
      </c>
      <c r="C462" t="s">
        <v>169</v>
      </c>
      <c r="D462" s="38">
        <v>3</v>
      </c>
      <c r="E462" t="s">
        <v>169</v>
      </c>
      <c r="F462">
        <v>302054</v>
      </c>
      <c r="G462" t="s">
        <v>356</v>
      </c>
      <c r="H462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4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hidden="1" x14ac:dyDescent="0.25">
      <c r="A463" s="1">
        <v>46098</v>
      </c>
      <c r="B463" s="1">
        <v>46098</v>
      </c>
      <c r="C463" t="s">
        <v>169</v>
      </c>
      <c r="D463" s="38">
        <v>3</v>
      </c>
      <c r="E463" t="s">
        <v>169</v>
      </c>
      <c r="F463">
        <v>1901229</v>
      </c>
      <c r="G463" t="s">
        <v>125</v>
      </c>
      <c r="H463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4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hidden="1" x14ac:dyDescent="0.25">
      <c r="A464" s="1">
        <v>46099</v>
      </c>
      <c r="B464" s="1">
        <v>46099</v>
      </c>
      <c r="C464" t="s">
        <v>169</v>
      </c>
      <c r="D464" s="38">
        <v>3</v>
      </c>
      <c r="E464" t="s">
        <v>169</v>
      </c>
      <c r="F464">
        <v>705028</v>
      </c>
      <c r="G464" t="s">
        <v>72</v>
      </c>
      <c r="H464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 t="s">
        <v>2017</v>
      </c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4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hidden="1" x14ac:dyDescent="0.25">
      <c r="A465" s="1">
        <v>46099</v>
      </c>
      <c r="B465" s="1">
        <v>46099</v>
      </c>
      <c r="C465" t="s">
        <v>169</v>
      </c>
      <c r="D465" s="38">
        <v>3</v>
      </c>
      <c r="E465" t="s">
        <v>169</v>
      </c>
      <c r="F465">
        <v>302028</v>
      </c>
      <c r="G465" t="s">
        <v>246</v>
      </c>
      <c r="H465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4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hidden="1" x14ac:dyDescent="0.25">
      <c r="A466" s="1">
        <v>46099</v>
      </c>
      <c r="B466" s="1">
        <v>46099</v>
      </c>
      <c r="C466" t="s">
        <v>169</v>
      </c>
      <c r="D466" s="38">
        <v>3</v>
      </c>
      <c r="E466" t="s">
        <v>169</v>
      </c>
      <c r="F466">
        <v>1803044</v>
      </c>
      <c r="G466" t="s">
        <v>336</v>
      </c>
      <c r="H466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4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hidden="1" x14ac:dyDescent="0.25">
      <c r="A467" s="1">
        <v>46099</v>
      </c>
      <c r="B467" s="1">
        <v>46099</v>
      </c>
      <c r="C467" t="s">
        <v>169</v>
      </c>
      <c r="D467" s="38">
        <v>3</v>
      </c>
      <c r="E467" t="s">
        <v>169</v>
      </c>
      <c r="F467">
        <v>1803045</v>
      </c>
      <c r="G467" t="s">
        <v>337</v>
      </c>
      <c r="H467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4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hidden="1" x14ac:dyDescent="0.25">
      <c r="A468" s="1">
        <v>46099</v>
      </c>
      <c r="B468" s="1">
        <v>46099</v>
      </c>
      <c r="C468" t="s">
        <v>169</v>
      </c>
      <c r="D468" s="38">
        <v>3</v>
      </c>
      <c r="E468" t="s">
        <v>169</v>
      </c>
      <c r="F468">
        <v>1902003</v>
      </c>
      <c r="G468" t="s">
        <v>155</v>
      </c>
      <c r="H468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4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hidden="1" x14ac:dyDescent="0.25">
      <c r="A469" s="1">
        <v>46099</v>
      </c>
      <c r="B469" s="1">
        <v>46099</v>
      </c>
      <c r="C469" t="s">
        <v>169</v>
      </c>
      <c r="D469" s="38">
        <v>3</v>
      </c>
      <c r="E469" t="s">
        <v>169</v>
      </c>
      <c r="F469">
        <v>407011</v>
      </c>
      <c r="G469" t="s">
        <v>30</v>
      </c>
      <c r="H469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4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hidden="1" x14ac:dyDescent="0.25">
      <c r="A470" s="1">
        <v>46099</v>
      </c>
      <c r="B470" s="1">
        <v>46099</v>
      </c>
      <c r="C470" t="s">
        <v>169</v>
      </c>
      <c r="D470" s="38">
        <v>3</v>
      </c>
      <c r="E470" t="s">
        <v>169</v>
      </c>
      <c r="F470">
        <v>2302017</v>
      </c>
      <c r="G470" t="s">
        <v>156</v>
      </c>
      <c r="H470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4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hidden="1" x14ac:dyDescent="0.25">
      <c r="A471" s="1">
        <v>46099</v>
      </c>
      <c r="B471" s="1">
        <v>46099</v>
      </c>
      <c r="C471" t="s">
        <v>169</v>
      </c>
      <c r="D471" s="38">
        <v>3</v>
      </c>
      <c r="E471" t="s">
        <v>169</v>
      </c>
      <c r="F471">
        <v>907031</v>
      </c>
      <c r="G471" t="s">
        <v>256</v>
      </c>
      <c r="H471" t="s">
        <v>743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4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hidden="1" x14ac:dyDescent="0.25">
      <c r="A472" s="1">
        <v>46099</v>
      </c>
      <c r="B472" s="1">
        <v>46099</v>
      </c>
      <c r="C472" t="s">
        <v>169</v>
      </c>
      <c r="D472" s="38">
        <v>3</v>
      </c>
      <c r="E472" t="s">
        <v>169</v>
      </c>
      <c r="F472">
        <v>1902013</v>
      </c>
      <c r="G472" t="s">
        <v>338</v>
      </c>
      <c r="H472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4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hidden="1" x14ac:dyDescent="0.25">
      <c r="A473" s="1">
        <v>46099</v>
      </c>
      <c r="B473" s="1">
        <v>46099</v>
      </c>
      <c r="C473" t="s">
        <v>169</v>
      </c>
      <c r="D473" s="38">
        <v>3</v>
      </c>
      <c r="E473" t="s">
        <v>169</v>
      </c>
      <c r="F473">
        <v>617016</v>
      </c>
      <c r="G473" t="s">
        <v>133</v>
      </c>
      <c r="H473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4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hidden="1" x14ac:dyDescent="0.25">
      <c r="A474" s="1">
        <v>46099</v>
      </c>
      <c r="B474" s="1">
        <v>46099</v>
      </c>
      <c r="C474" t="s">
        <v>169</v>
      </c>
      <c r="D474" s="38">
        <v>3</v>
      </c>
      <c r="E474" t="s">
        <v>169</v>
      </c>
      <c r="F474">
        <v>2304053</v>
      </c>
      <c r="G474" t="s">
        <v>213</v>
      </c>
      <c r="H474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4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hidden="1" x14ac:dyDescent="0.25">
      <c r="A475" s="1">
        <v>46099</v>
      </c>
      <c r="B475" s="1">
        <v>46099</v>
      </c>
      <c r="C475" t="s">
        <v>169</v>
      </c>
      <c r="D475" s="38">
        <v>3</v>
      </c>
      <c r="E475" t="s">
        <v>169</v>
      </c>
      <c r="F475">
        <v>617057</v>
      </c>
      <c r="G475" t="s">
        <v>134</v>
      </c>
      <c r="H475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4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hidden="1" x14ac:dyDescent="0.25">
      <c r="A476" s="1">
        <v>46099</v>
      </c>
      <c r="B476" s="1">
        <v>46099</v>
      </c>
      <c r="C476" t="s">
        <v>169</v>
      </c>
      <c r="D476" s="38">
        <v>3</v>
      </c>
      <c r="E476" t="s">
        <v>169</v>
      </c>
      <c r="F476">
        <v>2302119</v>
      </c>
      <c r="G476" t="s">
        <v>74</v>
      </c>
      <c r="H476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4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hidden="1" x14ac:dyDescent="0.25">
      <c r="A477" s="1">
        <v>46099</v>
      </c>
      <c r="B477" s="1">
        <v>46099</v>
      </c>
      <c r="C477" t="s">
        <v>169</v>
      </c>
      <c r="D477" s="38">
        <v>3</v>
      </c>
      <c r="E477" t="s">
        <v>169</v>
      </c>
      <c r="F477">
        <v>2302098</v>
      </c>
      <c r="G477" t="s">
        <v>24</v>
      </c>
      <c r="H477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4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hidden="1" x14ac:dyDescent="0.25">
      <c r="A478" s="1">
        <v>46100</v>
      </c>
      <c r="B478" s="1">
        <v>46100</v>
      </c>
      <c r="C478" t="s">
        <v>169</v>
      </c>
      <c r="D478" s="38">
        <v>3</v>
      </c>
      <c r="E478" t="s">
        <v>169</v>
      </c>
      <c r="F478" t="s">
        <v>82</v>
      </c>
      <c r="G478" t="s">
        <v>83</v>
      </c>
      <c r="H478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 t="s">
        <v>2017</v>
      </c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4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hidden="1" x14ac:dyDescent="0.25">
      <c r="A479" s="1">
        <v>46100</v>
      </c>
      <c r="B479" s="1">
        <v>46100</v>
      </c>
      <c r="C479" t="s">
        <v>169</v>
      </c>
      <c r="D479" s="38">
        <v>3</v>
      </c>
      <c r="E479" t="s">
        <v>169</v>
      </c>
      <c r="F479">
        <v>304007</v>
      </c>
      <c r="G479" t="s">
        <v>80</v>
      </c>
      <c r="H479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 t="s">
        <v>2017</v>
      </c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4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hidden="1" x14ac:dyDescent="0.25">
      <c r="A480" s="1">
        <v>46100</v>
      </c>
      <c r="B480" s="1">
        <v>46100</v>
      </c>
      <c r="C480" t="s">
        <v>169</v>
      </c>
      <c r="D480" s="38">
        <v>3</v>
      </c>
      <c r="E480" t="s">
        <v>169</v>
      </c>
      <c r="F480">
        <v>304101</v>
      </c>
      <c r="G480" t="s">
        <v>17</v>
      </c>
      <c r="H480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4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hidden="1" x14ac:dyDescent="0.25">
      <c r="A481" s="1">
        <v>46100</v>
      </c>
      <c r="B481" s="1">
        <v>46100</v>
      </c>
      <c r="C481" t="s">
        <v>169</v>
      </c>
      <c r="D481" s="38">
        <v>3</v>
      </c>
      <c r="E481" t="s">
        <v>169</v>
      </c>
      <c r="F481">
        <v>701043</v>
      </c>
      <c r="G481" t="s">
        <v>197</v>
      </c>
      <c r="H4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4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hidden="1" x14ac:dyDescent="0.25">
      <c r="A482" s="1">
        <v>46100</v>
      </c>
      <c r="B482" s="1">
        <v>46100</v>
      </c>
      <c r="C482" t="s">
        <v>169</v>
      </c>
      <c r="D482" s="38">
        <v>3</v>
      </c>
      <c r="E482" t="s">
        <v>169</v>
      </c>
      <c r="F482">
        <v>701096</v>
      </c>
      <c r="G482" t="s">
        <v>204</v>
      </c>
      <c r="H482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4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hidden="1" x14ac:dyDescent="0.25">
      <c r="A483" s="1">
        <v>46100</v>
      </c>
      <c r="B483" s="1">
        <v>46100</v>
      </c>
      <c r="C483" t="s">
        <v>169</v>
      </c>
      <c r="D483" s="38">
        <v>3</v>
      </c>
      <c r="E483" t="s">
        <v>169</v>
      </c>
      <c r="F483">
        <v>705028</v>
      </c>
      <c r="G483" t="s">
        <v>72</v>
      </c>
      <c r="H483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4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hidden="1" x14ac:dyDescent="0.25">
      <c r="A484" s="1">
        <v>46100</v>
      </c>
      <c r="B484" s="1">
        <v>46100</v>
      </c>
      <c r="C484" t="s">
        <v>169</v>
      </c>
      <c r="D484" s="38">
        <v>3</v>
      </c>
      <c r="E484" t="s">
        <v>169</v>
      </c>
      <c r="F484">
        <v>2302017</v>
      </c>
      <c r="G484" t="s">
        <v>156</v>
      </c>
      <c r="H484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4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hidden="1" x14ac:dyDescent="0.25">
      <c r="A485" s="1">
        <v>46100</v>
      </c>
      <c r="B485" s="1">
        <v>46100</v>
      </c>
      <c r="C485" t="s">
        <v>169</v>
      </c>
      <c r="D485" s="38">
        <v>3</v>
      </c>
      <c r="E485" t="s">
        <v>169</v>
      </c>
      <c r="F485">
        <v>407011</v>
      </c>
      <c r="G485" t="s">
        <v>30</v>
      </c>
      <c r="H485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4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hidden="1" x14ac:dyDescent="0.25">
      <c r="A486" s="1">
        <v>46100</v>
      </c>
      <c r="B486" s="1">
        <v>46100</v>
      </c>
      <c r="C486" t="s">
        <v>169</v>
      </c>
      <c r="D486" s="38">
        <v>3</v>
      </c>
      <c r="E486" t="s">
        <v>169</v>
      </c>
      <c r="F486">
        <v>1902003</v>
      </c>
      <c r="G486" t="s">
        <v>155</v>
      </c>
      <c r="H486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4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hidden="1" x14ac:dyDescent="0.25">
      <c r="A487" s="1">
        <v>46100</v>
      </c>
      <c r="B487" s="1">
        <v>46100</v>
      </c>
      <c r="C487" t="s">
        <v>169</v>
      </c>
      <c r="D487" s="38">
        <v>3</v>
      </c>
      <c r="E487" t="s">
        <v>169</v>
      </c>
      <c r="F487">
        <v>1803045</v>
      </c>
      <c r="G487" t="s">
        <v>337</v>
      </c>
      <c r="H487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4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hidden="1" x14ac:dyDescent="0.25">
      <c r="A488" s="1">
        <v>46100</v>
      </c>
      <c r="B488" s="1">
        <v>46100</v>
      </c>
      <c r="C488" t="s">
        <v>169</v>
      </c>
      <c r="D488" s="38">
        <v>3</v>
      </c>
      <c r="E488" t="s">
        <v>169</v>
      </c>
      <c r="F488">
        <v>1803044</v>
      </c>
      <c r="G488" t="s">
        <v>336</v>
      </c>
      <c r="H488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4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hidden="1" x14ac:dyDescent="0.25">
      <c r="A489" s="1">
        <v>46101</v>
      </c>
      <c r="B489" s="1">
        <v>46101</v>
      </c>
      <c r="C489" t="s">
        <v>169</v>
      </c>
      <c r="D489" s="38">
        <v>3</v>
      </c>
      <c r="E489" t="s">
        <v>169</v>
      </c>
      <c r="F489">
        <v>1801230</v>
      </c>
      <c r="G489" t="s">
        <v>51</v>
      </c>
      <c r="H489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 t="s">
        <v>2020</v>
      </c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4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hidden="1" x14ac:dyDescent="0.25">
      <c r="A490" s="1">
        <v>46101</v>
      </c>
      <c r="B490" s="1">
        <v>46101</v>
      </c>
      <c r="C490" t="s">
        <v>169</v>
      </c>
      <c r="D490" s="38">
        <v>3</v>
      </c>
      <c r="E490" t="s">
        <v>169</v>
      </c>
      <c r="F490">
        <v>1902014</v>
      </c>
      <c r="G490" t="s">
        <v>316</v>
      </c>
      <c r="H490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 t="s">
        <v>2017</v>
      </c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4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hidden="1" x14ac:dyDescent="0.25">
      <c r="A491" s="1">
        <v>46101</v>
      </c>
      <c r="B491" s="1">
        <v>46101</v>
      </c>
      <c r="C491" t="s">
        <v>169</v>
      </c>
      <c r="D491" s="38">
        <v>3</v>
      </c>
      <c r="E491" t="s">
        <v>169</v>
      </c>
      <c r="F491">
        <v>302054</v>
      </c>
      <c r="G491" t="s">
        <v>356</v>
      </c>
      <c r="H49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4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hidden="1" x14ac:dyDescent="0.25">
      <c r="A492" s="1">
        <v>46101</v>
      </c>
      <c r="B492" s="1">
        <v>46101</v>
      </c>
      <c r="C492" t="s">
        <v>169</v>
      </c>
      <c r="D492" s="38">
        <v>3</v>
      </c>
      <c r="E492" t="s">
        <v>169</v>
      </c>
      <c r="F492">
        <v>302248</v>
      </c>
      <c r="G492" t="s">
        <v>281</v>
      </c>
      <c r="H492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4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hidden="1" x14ac:dyDescent="0.25">
      <c r="A493" s="1">
        <v>46101</v>
      </c>
      <c r="B493" s="1">
        <v>46101</v>
      </c>
      <c r="C493" t="s">
        <v>169</v>
      </c>
      <c r="D493" s="38">
        <v>3</v>
      </c>
      <c r="E493" t="s">
        <v>169</v>
      </c>
      <c r="F493">
        <v>302046</v>
      </c>
      <c r="G493" t="s">
        <v>115</v>
      </c>
      <c r="H493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4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hidden="1" x14ac:dyDescent="0.25">
      <c r="A494" s="1">
        <v>46101</v>
      </c>
      <c r="B494" s="1">
        <v>46101</v>
      </c>
      <c r="C494" t="s">
        <v>169</v>
      </c>
      <c r="D494" s="38">
        <v>3</v>
      </c>
      <c r="E494" t="s">
        <v>169</v>
      </c>
      <c r="F494">
        <v>302028</v>
      </c>
      <c r="G494" t="s">
        <v>246</v>
      </c>
      <c r="H494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4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hidden="1" x14ac:dyDescent="0.25">
      <c r="A495" s="1">
        <v>46101</v>
      </c>
      <c r="B495" s="1">
        <v>46101</v>
      </c>
      <c r="C495" t="s">
        <v>169</v>
      </c>
      <c r="D495" s="38">
        <v>3</v>
      </c>
      <c r="E495" t="s">
        <v>169</v>
      </c>
      <c r="F495">
        <v>302010</v>
      </c>
      <c r="G495" t="s">
        <v>323</v>
      </c>
      <c r="H495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4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hidden="1" x14ac:dyDescent="0.25">
      <c r="A496" s="1">
        <v>46101</v>
      </c>
      <c r="B496" s="1">
        <v>46101</v>
      </c>
      <c r="C496" t="s">
        <v>169</v>
      </c>
      <c r="D496" s="38">
        <v>3</v>
      </c>
      <c r="E496" t="s">
        <v>169</v>
      </c>
      <c r="F496" t="s">
        <v>386</v>
      </c>
      <c r="G496" t="s">
        <v>83</v>
      </c>
      <c r="H496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4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hidden="1" x14ac:dyDescent="0.25">
      <c r="A497" s="1">
        <v>46101</v>
      </c>
      <c r="B497" s="1">
        <v>46101</v>
      </c>
      <c r="C497" t="s">
        <v>169</v>
      </c>
      <c r="D497" s="38">
        <v>3</v>
      </c>
      <c r="E497" t="s">
        <v>169</v>
      </c>
      <c r="F497">
        <v>2505058</v>
      </c>
      <c r="G497" t="s">
        <v>142</v>
      </c>
      <c r="H497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4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hidden="1" x14ac:dyDescent="0.25">
      <c r="A498" s="1">
        <v>46101</v>
      </c>
      <c r="B498" s="1">
        <v>46101</v>
      </c>
      <c r="C498" t="s">
        <v>169</v>
      </c>
      <c r="D498" s="38">
        <v>3</v>
      </c>
      <c r="E498" t="s">
        <v>169</v>
      </c>
      <c r="F498">
        <v>1902013</v>
      </c>
      <c r="G498" t="s">
        <v>338</v>
      </c>
      <c r="H498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4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hidden="1" x14ac:dyDescent="0.25">
      <c r="A499" s="1">
        <v>46101</v>
      </c>
      <c r="B499" s="1">
        <v>46101</v>
      </c>
      <c r="C499" t="s">
        <v>169</v>
      </c>
      <c r="D499" s="38">
        <v>3</v>
      </c>
      <c r="E499" t="s">
        <v>169</v>
      </c>
      <c r="F499">
        <v>1901466</v>
      </c>
      <c r="G499" t="s">
        <v>398</v>
      </c>
      <c r="H499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4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hidden="1" x14ac:dyDescent="0.25">
      <c r="A500" s="1">
        <v>46101</v>
      </c>
      <c r="B500" s="1">
        <v>46101</v>
      </c>
      <c r="C500" t="s">
        <v>169</v>
      </c>
      <c r="D500" s="38">
        <v>3</v>
      </c>
      <c r="E500" t="s">
        <v>169</v>
      </c>
      <c r="F500">
        <v>1901038</v>
      </c>
      <c r="G500" t="s">
        <v>39</v>
      </c>
      <c r="H500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4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hidden="1" x14ac:dyDescent="0.25">
      <c r="A501" s="1">
        <v>46101</v>
      </c>
      <c r="B501" s="1">
        <v>46101</v>
      </c>
      <c r="C501" t="s">
        <v>169</v>
      </c>
      <c r="D501" s="38">
        <v>3</v>
      </c>
      <c r="E501" t="s">
        <v>169</v>
      </c>
      <c r="F501">
        <v>1901008</v>
      </c>
      <c r="G501" t="s">
        <v>278</v>
      </c>
      <c r="H50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4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hidden="1" x14ac:dyDescent="0.25">
      <c r="A502" s="1">
        <v>46101</v>
      </c>
      <c r="B502" s="1">
        <v>46101</v>
      </c>
      <c r="C502" t="s">
        <v>169</v>
      </c>
      <c r="D502" s="38">
        <v>3</v>
      </c>
      <c r="E502" t="s">
        <v>169</v>
      </c>
      <c r="F502">
        <v>412301</v>
      </c>
      <c r="G502" t="s">
        <v>327</v>
      </c>
      <c r="H502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4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hidden="1" x14ac:dyDescent="0.25">
      <c r="A503" s="1">
        <v>46101</v>
      </c>
      <c r="B503" s="1">
        <v>46101</v>
      </c>
      <c r="C503" t="s">
        <v>169</v>
      </c>
      <c r="D503" s="38">
        <v>3</v>
      </c>
      <c r="E503" t="s">
        <v>169</v>
      </c>
      <c r="F503">
        <v>408014</v>
      </c>
      <c r="G503" t="s">
        <v>108</v>
      </c>
      <c r="H503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4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hidden="1" x14ac:dyDescent="0.25">
      <c r="A504" s="1">
        <v>46101</v>
      </c>
      <c r="B504" s="1">
        <v>46101</v>
      </c>
      <c r="C504" t="s">
        <v>169</v>
      </c>
      <c r="D504" s="38">
        <v>3</v>
      </c>
      <c r="E504" t="s">
        <v>169</v>
      </c>
      <c r="F504">
        <v>407423</v>
      </c>
      <c r="G504" t="s">
        <v>106</v>
      </c>
      <c r="H504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4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hidden="1" x14ac:dyDescent="0.25">
      <c r="A505" s="1">
        <v>46101</v>
      </c>
      <c r="B505" s="1">
        <v>46101</v>
      </c>
      <c r="C505" t="s">
        <v>169</v>
      </c>
      <c r="D505" s="38">
        <v>3</v>
      </c>
      <c r="E505" t="s">
        <v>169</v>
      </c>
      <c r="F505">
        <v>407307</v>
      </c>
      <c r="G505" t="s">
        <v>163</v>
      </c>
      <c r="H505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4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hidden="1" x14ac:dyDescent="0.25">
      <c r="A506" s="1">
        <v>46101</v>
      </c>
      <c r="B506" s="1">
        <v>46101</v>
      </c>
      <c r="C506" t="s">
        <v>169</v>
      </c>
      <c r="D506" s="38">
        <v>3</v>
      </c>
      <c r="E506" t="s">
        <v>169</v>
      </c>
      <c r="F506">
        <v>304101</v>
      </c>
      <c r="G506" t="s">
        <v>17</v>
      </c>
      <c r="H506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4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hidden="1" x14ac:dyDescent="0.25">
      <c r="A507" s="1">
        <v>46101</v>
      </c>
      <c r="B507" s="1">
        <v>46101</v>
      </c>
      <c r="C507" t="s">
        <v>169</v>
      </c>
      <c r="D507" s="38">
        <v>3</v>
      </c>
      <c r="E507" t="s">
        <v>169</v>
      </c>
      <c r="F507">
        <v>302044</v>
      </c>
      <c r="G507" t="s">
        <v>247</v>
      </c>
      <c r="H507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4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hidden="1" x14ac:dyDescent="0.25">
      <c r="A508" s="1">
        <v>46104</v>
      </c>
      <c r="B508" s="1">
        <v>46104</v>
      </c>
      <c r="C508" t="s">
        <v>169</v>
      </c>
      <c r="D508" s="38">
        <v>3</v>
      </c>
      <c r="E508" t="s">
        <v>169</v>
      </c>
      <c r="F508">
        <v>412313</v>
      </c>
      <c r="G508" t="s">
        <v>253</v>
      </c>
      <c r="H508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 t="s">
        <v>2017</v>
      </c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4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hidden="1" x14ac:dyDescent="0.25">
      <c r="A509" s="1">
        <v>46104</v>
      </c>
      <c r="B509" s="1">
        <v>46104</v>
      </c>
      <c r="C509" t="s">
        <v>169</v>
      </c>
      <c r="D509" s="38">
        <v>3</v>
      </c>
      <c r="E509" t="s">
        <v>169</v>
      </c>
      <c r="F509">
        <v>412281</v>
      </c>
      <c r="G509" t="s">
        <v>326</v>
      </c>
      <c r="H509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4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hidden="1" x14ac:dyDescent="0.25">
      <c r="A510" s="1">
        <v>46104</v>
      </c>
      <c r="B510" s="1">
        <v>46104</v>
      </c>
      <c r="C510" t="s">
        <v>169</v>
      </c>
      <c r="D510" s="38">
        <v>3</v>
      </c>
      <c r="E510" t="s">
        <v>169</v>
      </c>
      <c r="F510">
        <v>412313</v>
      </c>
      <c r="G510" t="s">
        <v>253</v>
      </c>
      <c r="H510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 t="s">
        <v>2017</v>
      </c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4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hidden="1" x14ac:dyDescent="0.25">
      <c r="A511" s="1">
        <v>46104</v>
      </c>
      <c r="B511" s="1">
        <v>46104</v>
      </c>
      <c r="C511" t="s">
        <v>169</v>
      </c>
      <c r="D511" s="38">
        <v>3</v>
      </c>
      <c r="E511" t="s">
        <v>169</v>
      </c>
      <c r="F511">
        <v>2304056</v>
      </c>
      <c r="G511" t="s">
        <v>417</v>
      </c>
      <c r="H51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4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hidden="1" x14ac:dyDescent="0.25">
      <c r="A512" s="1">
        <v>46104</v>
      </c>
      <c r="B512" s="1">
        <v>46104</v>
      </c>
      <c r="C512" t="s">
        <v>169</v>
      </c>
      <c r="D512" s="38">
        <v>3</v>
      </c>
      <c r="E512" t="s">
        <v>169</v>
      </c>
      <c r="F512" t="s">
        <v>179</v>
      </c>
      <c r="G512" t="s">
        <v>180</v>
      </c>
      <c r="H512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448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4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hidden="1" x14ac:dyDescent="0.25">
      <c r="A513" s="1">
        <v>46104</v>
      </c>
      <c r="B513" s="1">
        <v>46104</v>
      </c>
      <c r="C513" t="s">
        <v>169</v>
      </c>
      <c r="D513" s="38">
        <v>3</v>
      </c>
      <c r="E513" t="s">
        <v>169</v>
      </c>
      <c r="F513">
        <v>1802162</v>
      </c>
      <c r="G513" t="s">
        <v>260</v>
      </c>
      <c r="H513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4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hidden="1" x14ac:dyDescent="0.25">
      <c r="A514" s="1">
        <v>46104</v>
      </c>
      <c r="B514" s="1">
        <v>46104</v>
      </c>
      <c r="C514" t="s">
        <v>169</v>
      </c>
      <c r="D514" s="38">
        <v>3</v>
      </c>
      <c r="E514" t="s">
        <v>169</v>
      </c>
      <c r="F514">
        <v>5314002</v>
      </c>
      <c r="G514" t="s">
        <v>342</v>
      </c>
      <c r="H514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4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hidden="1" x14ac:dyDescent="0.25">
      <c r="A515" s="1">
        <v>46105</v>
      </c>
      <c r="B515" s="1">
        <v>46104</v>
      </c>
      <c r="C515" t="s">
        <v>169</v>
      </c>
      <c r="D515" s="38">
        <v>3</v>
      </c>
      <c r="E515" t="s">
        <v>169</v>
      </c>
      <c r="F515">
        <v>1802175</v>
      </c>
      <c r="G515" t="s">
        <v>269</v>
      </c>
      <c r="H515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 t="s">
        <v>2017</v>
      </c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4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hidden="1" x14ac:dyDescent="0.25">
      <c r="A516" s="1">
        <v>46105</v>
      </c>
      <c r="B516" s="1">
        <v>46104</v>
      </c>
      <c r="C516" t="s">
        <v>169</v>
      </c>
      <c r="D516" s="38">
        <v>3</v>
      </c>
      <c r="E516" t="s">
        <v>169</v>
      </c>
      <c r="F516">
        <v>1802176</v>
      </c>
      <c r="G516" t="s">
        <v>196</v>
      </c>
      <c r="H516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4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hidden="1" x14ac:dyDescent="0.25">
      <c r="A517" s="1">
        <v>46105</v>
      </c>
      <c r="B517" s="1">
        <v>46104</v>
      </c>
      <c r="C517" t="s">
        <v>169</v>
      </c>
      <c r="D517" s="38">
        <v>3</v>
      </c>
      <c r="E517" t="s">
        <v>169</v>
      </c>
      <c r="F517">
        <v>1802177</v>
      </c>
      <c r="G517" t="s">
        <v>270</v>
      </c>
      <c r="H517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4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hidden="1" x14ac:dyDescent="0.25">
      <c r="A518" s="1">
        <v>46105</v>
      </c>
      <c r="B518" s="1">
        <v>46104</v>
      </c>
      <c r="C518" t="s">
        <v>169</v>
      </c>
      <c r="D518" s="38">
        <v>3</v>
      </c>
      <c r="E518" t="s">
        <v>169</v>
      </c>
      <c r="F518">
        <v>1802173</v>
      </c>
      <c r="G518" t="s">
        <v>267</v>
      </c>
      <c r="H518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4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hidden="1" x14ac:dyDescent="0.25">
      <c r="A519" s="1">
        <v>46105</v>
      </c>
      <c r="B519" s="1">
        <v>46104</v>
      </c>
      <c r="C519" t="s">
        <v>169</v>
      </c>
      <c r="D519" s="38">
        <v>3</v>
      </c>
      <c r="E519" t="s">
        <v>169</v>
      </c>
      <c r="F519">
        <v>1808148</v>
      </c>
      <c r="G519" t="s">
        <v>276</v>
      </c>
      <c r="H519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4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hidden="1" x14ac:dyDescent="0.25">
      <c r="A520" s="1">
        <v>46105</v>
      </c>
      <c r="B520" s="1">
        <v>46104</v>
      </c>
      <c r="C520" t="s">
        <v>169</v>
      </c>
      <c r="D520" s="38">
        <v>3</v>
      </c>
      <c r="E520" t="s">
        <v>169</v>
      </c>
      <c r="F520">
        <v>407795</v>
      </c>
      <c r="G520" t="s">
        <v>325</v>
      </c>
      <c r="H520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4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hidden="1" x14ac:dyDescent="0.25">
      <c r="A521" s="1">
        <v>46105</v>
      </c>
      <c r="B521" s="1">
        <v>46104</v>
      </c>
      <c r="C521" t="s">
        <v>169</v>
      </c>
      <c r="D521" s="38">
        <v>3</v>
      </c>
      <c r="E521" t="s">
        <v>169</v>
      </c>
      <c r="F521">
        <v>1808145</v>
      </c>
      <c r="G521" t="s">
        <v>273</v>
      </c>
      <c r="H52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4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hidden="1" x14ac:dyDescent="0.25">
      <c r="A522" s="1">
        <v>46105</v>
      </c>
      <c r="B522" s="1">
        <v>46104</v>
      </c>
      <c r="C522" t="s">
        <v>169</v>
      </c>
      <c r="D522" s="38">
        <v>3</v>
      </c>
      <c r="E522" t="s">
        <v>169</v>
      </c>
      <c r="F522">
        <v>1808144</v>
      </c>
      <c r="G522" t="s">
        <v>272</v>
      </c>
      <c r="H522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4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hidden="1" x14ac:dyDescent="0.25">
      <c r="A523" s="1">
        <v>46105</v>
      </c>
      <c r="B523" s="1">
        <v>46104</v>
      </c>
      <c r="C523" t="s">
        <v>169</v>
      </c>
      <c r="D523" s="38">
        <v>3</v>
      </c>
      <c r="E523" t="s">
        <v>169</v>
      </c>
      <c r="F523">
        <v>1901008</v>
      </c>
      <c r="G523" t="s">
        <v>278</v>
      </c>
      <c r="H523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4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hidden="1" x14ac:dyDescent="0.25">
      <c r="A524" s="1">
        <v>46105</v>
      </c>
      <c r="B524" s="1">
        <v>46104</v>
      </c>
      <c r="C524" t="s">
        <v>169</v>
      </c>
      <c r="D524" s="38">
        <v>3</v>
      </c>
      <c r="E524" t="s">
        <v>169</v>
      </c>
      <c r="F524">
        <v>304049</v>
      </c>
      <c r="G524" t="s">
        <v>318</v>
      </c>
      <c r="H524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4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hidden="1" x14ac:dyDescent="0.25">
      <c r="A525" s="1">
        <v>46105</v>
      </c>
      <c r="B525" s="1">
        <v>46104</v>
      </c>
      <c r="C525" t="s">
        <v>169</v>
      </c>
      <c r="D525" s="38">
        <v>3</v>
      </c>
      <c r="E525" t="s">
        <v>169</v>
      </c>
      <c r="F525">
        <v>1902003</v>
      </c>
      <c r="G525" t="s">
        <v>155</v>
      </c>
      <c r="H525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4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hidden="1" x14ac:dyDescent="0.25">
      <c r="A526" s="1">
        <v>46105</v>
      </c>
      <c r="B526" s="1">
        <v>46104</v>
      </c>
      <c r="C526" t="s">
        <v>169</v>
      </c>
      <c r="D526" s="38">
        <v>3</v>
      </c>
      <c r="E526" t="s">
        <v>169</v>
      </c>
      <c r="F526">
        <v>1610023</v>
      </c>
      <c r="G526" t="s">
        <v>351</v>
      </c>
      <c r="H526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4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hidden="1" x14ac:dyDescent="0.25">
      <c r="A527" s="1">
        <v>46105</v>
      </c>
      <c r="B527" s="1">
        <v>46104</v>
      </c>
      <c r="C527" t="s">
        <v>169</v>
      </c>
      <c r="D527" s="38">
        <v>3</v>
      </c>
      <c r="E527" t="s">
        <v>169</v>
      </c>
      <c r="F527">
        <v>1610007</v>
      </c>
      <c r="G527" t="s">
        <v>334</v>
      </c>
      <c r="H527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4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hidden="1" x14ac:dyDescent="0.25">
      <c r="A528" s="1">
        <v>46105</v>
      </c>
      <c r="B528" s="1">
        <v>46104</v>
      </c>
      <c r="C528" t="s">
        <v>169</v>
      </c>
      <c r="D528" s="38">
        <v>3</v>
      </c>
      <c r="E528" t="s">
        <v>169</v>
      </c>
      <c r="F528">
        <v>609008</v>
      </c>
      <c r="G528" t="s">
        <v>57</v>
      </c>
      <c r="H528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4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hidden="1" x14ac:dyDescent="0.25">
      <c r="A529" s="1">
        <v>46105</v>
      </c>
      <c r="B529" s="1">
        <v>46104</v>
      </c>
      <c r="C529" t="s">
        <v>169</v>
      </c>
      <c r="D529" s="38">
        <v>3</v>
      </c>
      <c r="E529" t="s">
        <v>169</v>
      </c>
      <c r="F529">
        <v>1405040</v>
      </c>
      <c r="G529" t="s">
        <v>449</v>
      </c>
      <c r="H529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4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hidden="1" x14ac:dyDescent="0.25">
      <c r="A530" s="1">
        <v>46105</v>
      </c>
      <c r="B530" s="1">
        <v>46104</v>
      </c>
      <c r="C530" t="s">
        <v>169</v>
      </c>
      <c r="D530" s="38">
        <v>3</v>
      </c>
      <c r="E530" t="s">
        <v>169</v>
      </c>
      <c r="F530">
        <v>1405039</v>
      </c>
      <c r="G530" t="s">
        <v>314</v>
      </c>
      <c r="H530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4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hidden="1" x14ac:dyDescent="0.25">
      <c r="A531" s="1">
        <v>46105</v>
      </c>
      <c r="B531" s="1">
        <v>46104</v>
      </c>
      <c r="C531" t="s">
        <v>169</v>
      </c>
      <c r="D531" s="38">
        <v>3</v>
      </c>
      <c r="E531" t="s">
        <v>169</v>
      </c>
      <c r="F531">
        <v>617057</v>
      </c>
      <c r="G531" t="s">
        <v>134</v>
      </c>
      <c r="H53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4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hidden="1" x14ac:dyDescent="0.25">
      <c r="A532" s="1">
        <v>46105</v>
      </c>
      <c r="B532" s="1">
        <v>46104</v>
      </c>
      <c r="C532" t="s">
        <v>169</v>
      </c>
      <c r="D532" s="38">
        <v>3</v>
      </c>
      <c r="E532" t="s">
        <v>169</v>
      </c>
      <c r="F532">
        <v>617055</v>
      </c>
      <c r="G532" t="s">
        <v>182</v>
      </c>
      <c r="H532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4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hidden="1" x14ac:dyDescent="0.25">
      <c r="A533" s="1">
        <v>46105</v>
      </c>
      <c r="B533" s="1">
        <v>46104</v>
      </c>
      <c r="C533" t="s">
        <v>169</v>
      </c>
      <c r="D533" s="38">
        <v>3</v>
      </c>
      <c r="E533" t="s">
        <v>169</v>
      </c>
      <c r="F533">
        <v>617016</v>
      </c>
      <c r="G533" t="s">
        <v>133</v>
      </c>
      <c r="H533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4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hidden="1" x14ac:dyDescent="0.25">
      <c r="A534" s="1">
        <v>46105</v>
      </c>
      <c r="B534" s="1">
        <v>46104</v>
      </c>
      <c r="C534" t="s">
        <v>169</v>
      </c>
      <c r="D534" s="38">
        <v>3</v>
      </c>
      <c r="E534" t="s">
        <v>169</v>
      </c>
      <c r="F534">
        <v>602255</v>
      </c>
      <c r="G534" t="s">
        <v>203</v>
      </c>
      <c r="H534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4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hidden="1" x14ac:dyDescent="0.25">
      <c r="A535" s="1">
        <v>46105</v>
      </c>
      <c r="B535" s="1">
        <v>46104</v>
      </c>
      <c r="C535" t="s">
        <v>169</v>
      </c>
      <c r="D535" s="38">
        <v>3</v>
      </c>
      <c r="E535" t="s">
        <v>169</v>
      </c>
      <c r="F535">
        <v>602254</v>
      </c>
      <c r="G535" t="s">
        <v>214</v>
      </c>
      <c r="H535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4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hidden="1" x14ac:dyDescent="0.25">
      <c r="A536" s="1">
        <v>46105</v>
      </c>
      <c r="B536" s="1">
        <v>46104</v>
      </c>
      <c r="C536" t="s">
        <v>169</v>
      </c>
      <c r="D536" s="38">
        <v>3</v>
      </c>
      <c r="E536" t="s">
        <v>169</v>
      </c>
      <c r="F536">
        <v>907031</v>
      </c>
      <c r="G536" t="s">
        <v>256</v>
      </c>
      <c r="H536" t="s">
        <v>743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4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hidden="1" x14ac:dyDescent="0.25">
      <c r="A537" s="1">
        <v>46105</v>
      </c>
      <c r="B537" s="1">
        <v>46105</v>
      </c>
      <c r="C537" t="s">
        <v>169</v>
      </c>
      <c r="D537" s="38">
        <v>3</v>
      </c>
      <c r="E537" t="s">
        <v>169</v>
      </c>
      <c r="F537" t="s">
        <v>166</v>
      </c>
      <c r="G537" t="s">
        <v>167</v>
      </c>
      <c r="H537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 t="s">
        <v>2017</v>
      </c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4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hidden="1" x14ac:dyDescent="0.25">
      <c r="A538" s="1">
        <v>46105</v>
      </c>
      <c r="B538" s="1">
        <v>46105</v>
      </c>
      <c r="C538" t="s">
        <v>169</v>
      </c>
      <c r="D538" s="38">
        <v>3</v>
      </c>
      <c r="E538" t="s">
        <v>169</v>
      </c>
      <c r="F538">
        <v>407423</v>
      </c>
      <c r="G538" t="s">
        <v>106</v>
      </c>
      <c r="H538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4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hidden="1" x14ac:dyDescent="0.25">
      <c r="A539" s="1">
        <v>46105</v>
      </c>
      <c r="B539" s="1">
        <v>46105</v>
      </c>
      <c r="C539" t="s">
        <v>169</v>
      </c>
      <c r="D539" s="38">
        <v>3</v>
      </c>
      <c r="E539" t="s">
        <v>169</v>
      </c>
      <c r="F539">
        <v>407049</v>
      </c>
      <c r="G539" t="s">
        <v>232</v>
      </c>
      <c r="H539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4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hidden="1" x14ac:dyDescent="0.25">
      <c r="A540" s="1">
        <v>46105</v>
      </c>
      <c r="B540" s="1">
        <v>46105</v>
      </c>
      <c r="C540" t="s">
        <v>169</v>
      </c>
      <c r="D540" s="38">
        <v>3</v>
      </c>
      <c r="E540" t="s">
        <v>169</v>
      </c>
      <c r="F540">
        <v>407170</v>
      </c>
      <c r="G540" t="s">
        <v>107</v>
      </c>
      <c r="H540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4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hidden="1" x14ac:dyDescent="0.25">
      <c r="A541" s="1">
        <v>46105</v>
      </c>
      <c r="B541" s="1">
        <v>46105</v>
      </c>
      <c r="C541" t="s">
        <v>169</v>
      </c>
      <c r="D541" s="38">
        <v>3</v>
      </c>
      <c r="E541" t="s">
        <v>169</v>
      </c>
      <c r="F541">
        <v>1802174</v>
      </c>
      <c r="G541" t="s">
        <v>268</v>
      </c>
      <c r="H54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4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hidden="1" x14ac:dyDescent="0.25">
      <c r="A542" s="1">
        <v>46106</v>
      </c>
      <c r="B542" s="1">
        <v>46106</v>
      </c>
      <c r="C542" t="s">
        <v>169</v>
      </c>
      <c r="D542" s="38">
        <v>3</v>
      </c>
      <c r="E542" t="s">
        <v>169</v>
      </c>
      <c r="F542">
        <v>2302118</v>
      </c>
      <c r="G542" t="s">
        <v>228</v>
      </c>
      <c r="H542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 t="s">
        <v>2017</v>
      </c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4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hidden="1" x14ac:dyDescent="0.25">
      <c r="A543" s="1">
        <v>46107</v>
      </c>
      <c r="B543" s="1">
        <v>46107</v>
      </c>
      <c r="C543" t="s">
        <v>169</v>
      </c>
      <c r="D543" s="38">
        <v>3</v>
      </c>
      <c r="E543" t="s">
        <v>169</v>
      </c>
      <c r="F543">
        <v>410045</v>
      </c>
      <c r="G543" t="s">
        <v>110</v>
      </c>
      <c r="H543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2017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4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hidden="1" x14ac:dyDescent="0.25">
      <c r="A544" s="1">
        <v>46107</v>
      </c>
      <c r="B544" s="1">
        <v>46107</v>
      </c>
      <c r="C544" t="s">
        <v>169</v>
      </c>
      <c r="D544" s="38">
        <v>3</v>
      </c>
      <c r="E544" t="s">
        <v>169</v>
      </c>
      <c r="F544">
        <v>701043</v>
      </c>
      <c r="G544" t="s">
        <v>197</v>
      </c>
      <c r="H544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4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hidden="1" x14ac:dyDescent="0.25">
      <c r="A545" s="1">
        <v>46107</v>
      </c>
      <c r="B545" s="1">
        <v>46107</v>
      </c>
      <c r="C545" t="s">
        <v>169</v>
      </c>
      <c r="D545" s="38">
        <v>3</v>
      </c>
      <c r="E545" t="s">
        <v>169</v>
      </c>
      <c r="F545">
        <v>5309018</v>
      </c>
      <c r="G545" t="s">
        <v>112</v>
      </c>
      <c r="H545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4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hidden="1" x14ac:dyDescent="0.25">
      <c r="A546" s="1">
        <v>46107</v>
      </c>
      <c r="B546" s="1">
        <v>46107</v>
      </c>
      <c r="C546" t="s">
        <v>169</v>
      </c>
      <c r="D546" s="38">
        <v>3</v>
      </c>
      <c r="E546" t="s">
        <v>169</v>
      </c>
      <c r="F546">
        <v>2302044</v>
      </c>
      <c r="G546" t="s">
        <v>439</v>
      </c>
      <c r="H546" t="s">
        <v>440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4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hidden="1" x14ac:dyDescent="0.25">
      <c r="A547" s="1">
        <v>46107</v>
      </c>
      <c r="B547" s="1">
        <v>46107</v>
      </c>
      <c r="C547" t="s">
        <v>169</v>
      </c>
      <c r="D547" s="38">
        <v>3</v>
      </c>
      <c r="E547" t="s">
        <v>169</v>
      </c>
      <c r="F547">
        <v>2302045</v>
      </c>
      <c r="G547" t="s">
        <v>441</v>
      </c>
      <c r="H547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4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hidden="1" x14ac:dyDescent="0.25">
      <c r="A548" s="1">
        <v>46107</v>
      </c>
      <c r="B548" s="1">
        <v>46107</v>
      </c>
      <c r="C548" t="s">
        <v>169</v>
      </c>
      <c r="D548" s="38">
        <v>3</v>
      </c>
      <c r="E548" t="s">
        <v>169</v>
      </c>
      <c r="F548">
        <v>304002</v>
      </c>
      <c r="G548" t="s">
        <v>37</v>
      </c>
      <c r="H548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2008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4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hidden="1" x14ac:dyDescent="0.25">
      <c r="A549" s="1">
        <v>46107</v>
      </c>
      <c r="B549" s="1">
        <v>46107</v>
      </c>
      <c r="C549" t="s">
        <v>169</v>
      </c>
      <c r="D549" s="38">
        <v>3</v>
      </c>
      <c r="E549" t="s">
        <v>169</v>
      </c>
      <c r="F549">
        <v>1902003</v>
      </c>
      <c r="G549" t="s">
        <v>155</v>
      </c>
      <c r="H549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4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hidden="1" x14ac:dyDescent="0.25">
      <c r="A550" s="1">
        <v>46107</v>
      </c>
      <c r="B550" s="1">
        <v>46107</v>
      </c>
      <c r="C550" t="s">
        <v>169</v>
      </c>
      <c r="D550" s="38">
        <v>3</v>
      </c>
      <c r="E550" t="s">
        <v>169</v>
      </c>
      <c r="F550">
        <v>407423</v>
      </c>
      <c r="G550" t="s">
        <v>106</v>
      </c>
      <c r="H550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4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hidden="1" x14ac:dyDescent="0.25">
      <c r="A551" s="1">
        <v>46107</v>
      </c>
      <c r="B551" s="1">
        <v>46107</v>
      </c>
      <c r="C551" t="s">
        <v>169</v>
      </c>
      <c r="D551" s="38">
        <v>3</v>
      </c>
      <c r="E551" t="s">
        <v>169</v>
      </c>
      <c r="F551">
        <v>407185</v>
      </c>
      <c r="G551" t="s">
        <v>43</v>
      </c>
      <c r="H55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4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hidden="1" x14ac:dyDescent="0.25">
      <c r="A552" s="1">
        <v>46108</v>
      </c>
      <c r="B552" s="1">
        <v>46108</v>
      </c>
      <c r="C552" t="s">
        <v>169</v>
      </c>
      <c r="D552" s="38">
        <v>3</v>
      </c>
      <c r="E552" t="s">
        <v>169</v>
      </c>
      <c r="F552">
        <v>1901229</v>
      </c>
      <c r="G552" t="s">
        <v>125</v>
      </c>
      <c r="H552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2017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4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hidden="1" x14ac:dyDescent="0.25">
      <c r="A553" s="1">
        <v>46108</v>
      </c>
      <c r="B553" s="1">
        <v>46108</v>
      </c>
      <c r="C553" t="s">
        <v>169</v>
      </c>
      <c r="D553" s="38">
        <v>3</v>
      </c>
      <c r="E553" t="s">
        <v>169</v>
      </c>
      <c r="F553">
        <v>1901466</v>
      </c>
      <c r="G553" t="s">
        <v>398</v>
      </c>
      <c r="H553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4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hidden="1" x14ac:dyDescent="0.25">
      <c r="A554" s="1">
        <v>46108</v>
      </c>
      <c r="B554" s="1">
        <v>46108</v>
      </c>
      <c r="C554" t="s">
        <v>169</v>
      </c>
      <c r="D554" s="38">
        <v>3</v>
      </c>
      <c r="E554" t="s">
        <v>169</v>
      </c>
      <c r="F554">
        <v>407011</v>
      </c>
      <c r="G554" t="s">
        <v>30</v>
      </c>
      <c r="H554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4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hidden="1" x14ac:dyDescent="0.25">
      <c r="A555" s="1">
        <v>46108</v>
      </c>
      <c r="B555" s="1">
        <v>46108</v>
      </c>
      <c r="C555" t="s">
        <v>169</v>
      </c>
      <c r="D555" s="38">
        <v>3</v>
      </c>
      <c r="E555" t="s">
        <v>169</v>
      </c>
      <c r="F555">
        <v>701040</v>
      </c>
      <c r="G555" t="s">
        <v>19</v>
      </c>
      <c r="H555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4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hidden="1" x14ac:dyDescent="0.25">
      <c r="A556" s="1">
        <v>46108</v>
      </c>
      <c r="B556" s="1">
        <v>46108</v>
      </c>
      <c r="C556" t="s">
        <v>169</v>
      </c>
      <c r="D556" s="38">
        <v>3</v>
      </c>
      <c r="E556" t="s">
        <v>169</v>
      </c>
      <c r="F556">
        <v>701096</v>
      </c>
      <c r="G556" t="s">
        <v>204</v>
      </c>
      <c r="H556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4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hidden="1" x14ac:dyDescent="0.25">
      <c r="A557" s="1">
        <v>46108</v>
      </c>
      <c r="B557" s="1">
        <v>46108</v>
      </c>
      <c r="C557" t="s">
        <v>169</v>
      </c>
      <c r="D557" s="38">
        <v>3</v>
      </c>
      <c r="E557" t="s">
        <v>169</v>
      </c>
      <c r="F557">
        <v>1901038</v>
      </c>
      <c r="G557" t="s">
        <v>39</v>
      </c>
      <c r="H557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4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hidden="1" x14ac:dyDescent="0.25">
      <c r="A558" s="1">
        <v>46108</v>
      </c>
      <c r="B558" s="1">
        <v>46108</v>
      </c>
      <c r="C558" t="s">
        <v>169</v>
      </c>
      <c r="D558" s="38">
        <v>3</v>
      </c>
      <c r="E558" t="s">
        <v>169</v>
      </c>
      <c r="F558">
        <v>1901008</v>
      </c>
      <c r="G558" t="s">
        <v>278</v>
      </c>
      <c r="H558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4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hidden="1" x14ac:dyDescent="0.25">
      <c r="A559" s="1">
        <v>46108</v>
      </c>
      <c r="B559" s="1">
        <v>46108</v>
      </c>
      <c r="C559" t="s">
        <v>169</v>
      </c>
      <c r="D559" s="38">
        <v>3</v>
      </c>
      <c r="E559" t="s">
        <v>169</v>
      </c>
      <c r="F559">
        <v>1901086</v>
      </c>
      <c r="G559" t="s">
        <v>279</v>
      </c>
      <c r="H559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4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hidden="1" x14ac:dyDescent="0.25">
      <c r="A560" s="1">
        <v>46108</v>
      </c>
      <c r="B560" s="1">
        <v>46108</v>
      </c>
      <c r="C560" t="s">
        <v>169</v>
      </c>
      <c r="D560" s="38">
        <v>3</v>
      </c>
      <c r="E560" t="s">
        <v>169</v>
      </c>
      <c r="F560">
        <v>2302119</v>
      </c>
      <c r="G560" t="s">
        <v>74</v>
      </c>
      <c r="H560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4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hidden="1" x14ac:dyDescent="0.25">
      <c r="A561" s="1">
        <v>46108</v>
      </c>
      <c r="B561" s="1">
        <v>46108</v>
      </c>
      <c r="C561" t="s">
        <v>169</v>
      </c>
      <c r="D561" s="38">
        <v>3</v>
      </c>
      <c r="E561" t="s">
        <v>169</v>
      </c>
      <c r="F561">
        <v>412302</v>
      </c>
      <c r="G561" t="s">
        <v>165</v>
      </c>
      <c r="H56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4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hidden="1" x14ac:dyDescent="0.25">
      <c r="A562" s="1">
        <v>46108</v>
      </c>
      <c r="B562" s="1">
        <v>46108</v>
      </c>
      <c r="C562" t="s">
        <v>169</v>
      </c>
      <c r="D562" s="38">
        <v>3</v>
      </c>
      <c r="E562" t="s">
        <v>169</v>
      </c>
      <c r="F562">
        <v>404745</v>
      </c>
      <c r="G562" t="s">
        <v>442</v>
      </c>
      <c r="H562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4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hidden="1" x14ac:dyDescent="0.25">
      <c r="A563" s="1">
        <v>46108</v>
      </c>
      <c r="B563" s="1">
        <v>46108</v>
      </c>
      <c r="C563" t="s">
        <v>169</v>
      </c>
      <c r="D563" s="38">
        <v>3</v>
      </c>
      <c r="E563" t="s">
        <v>169</v>
      </c>
      <c r="F563">
        <v>412313</v>
      </c>
      <c r="G563" t="s">
        <v>253</v>
      </c>
      <c r="H563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4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hidden="1" x14ac:dyDescent="0.25">
      <c r="A564" s="1">
        <v>46108</v>
      </c>
      <c r="B564" s="1">
        <v>46108</v>
      </c>
      <c r="C564" t="s">
        <v>169</v>
      </c>
      <c r="D564" s="38">
        <v>3</v>
      </c>
      <c r="E564" t="s">
        <v>169</v>
      </c>
      <c r="F564">
        <v>407185</v>
      </c>
      <c r="G564" t="s">
        <v>43</v>
      </c>
      <c r="H564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4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hidden="1" x14ac:dyDescent="0.25">
      <c r="A565" s="1">
        <v>46108</v>
      </c>
      <c r="B565" s="1">
        <v>46108</v>
      </c>
      <c r="C565" t="s">
        <v>169</v>
      </c>
      <c r="D565" s="38">
        <v>3</v>
      </c>
      <c r="E565" t="s">
        <v>169</v>
      </c>
      <c r="F565">
        <v>412280</v>
      </c>
      <c r="G565" t="s">
        <v>40</v>
      </c>
      <c r="H565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4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hidden="1" x14ac:dyDescent="0.25">
      <c r="A566" s="1">
        <v>46108</v>
      </c>
      <c r="B566" s="1">
        <v>46108</v>
      </c>
      <c r="C566" t="s">
        <v>169</v>
      </c>
      <c r="D566" s="38">
        <v>3</v>
      </c>
      <c r="E566" t="s">
        <v>169</v>
      </c>
      <c r="F566">
        <v>412260</v>
      </c>
      <c r="G566" t="s">
        <v>41</v>
      </c>
      <c r="H566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4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hidden="1" x14ac:dyDescent="0.25">
      <c r="A567" s="1">
        <v>46108</v>
      </c>
      <c r="B567" s="1">
        <v>46108</v>
      </c>
      <c r="C567" t="s">
        <v>169</v>
      </c>
      <c r="D567" s="38">
        <v>3</v>
      </c>
      <c r="E567" t="s">
        <v>169</v>
      </c>
      <c r="F567">
        <v>304049</v>
      </c>
      <c r="G567" t="s">
        <v>318</v>
      </c>
      <c r="H567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2017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4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hidden="1" x14ac:dyDescent="0.25">
      <c r="A568" s="1">
        <v>46108</v>
      </c>
      <c r="B568" s="1">
        <v>46108</v>
      </c>
      <c r="C568" t="s">
        <v>169</v>
      </c>
      <c r="D568" s="38">
        <v>3</v>
      </c>
      <c r="E568" t="s">
        <v>169</v>
      </c>
      <c r="F568">
        <v>412630</v>
      </c>
      <c r="G568" t="s">
        <v>284</v>
      </c>
      <c r="H568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2017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4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hidden="1" x14ac:dyDescent="0.25">
      <c r="A569" s="1">
        <v>46108</v>
      </c>
      <c r="B569" s="1">
        <v>46108</v>
      </c>
      <c r="C569" t="s">
        <v>169</v>
      </c>
      <c r="D569" s="38">
        <v>3</v>
      </c>
      <c r="E569" t="s">
        <v>169</v>
      </c>
      <c r="F569">
        <v>608013</v>
      </c>
      <c r="G569" t="s">
        <v>328</v>
      </c>
      <c r="H569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4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hidden="1" x14ac:dyDescent="0.25">
      <c r="A570" s="1">
        <v>46108</v>
      </c>
      <c r="B570" s="1">
        <v>46108</v>
      </c>
      <c r="C570" t="s">
        <v>169</v>
      </c>
      <c r="D570" s="38">
        <v>3</v>
      </c>
      <c r="E570" t="s">
        <v>169</v>
      </c>
      <c r="F570">
        <v>408014</v>
      </c>
      <c r="G570" t="s">
        <v>108</v>
      </c>
      <c r="H570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4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hidden="1" x14ac:dyDescent="0.25">
      <c r="A571" s="1">
        <v>46108</v>
      </c>
      <c r="B571" s="1">
        <v>46108</v>
      </c>
      <c r="C571" t="s">
        <v>169</v>
      </c>
      <c r="D571" s="38">
        <v>3</v>
      </c>
      <c r="E571" t="s">
        <v>169</v>
      </c>
      <c r="F571">
        <v>408042</v>
      </c>
      <c r="G571" t="s">
        <v>144</v>
      </c>
      <c r="H57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2008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4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hidden="1" x14ac:dyDescent="0.25">
      <c r="A572" s="1">
        <v>46108</v>
      </c>
      <c r="B572" s="1">
        <v>46108</v>
      </c>
      <c r="C572" t="s">
        <v>169</v>
      </c>
      <c r="D572" s="38">
        <v>3</v>
      </c>
      <c r="E572" t="s">
        <v>169</v>
      </c>
      <c r="F572">
        <v>408017</v>
      </c>
      <c r="G572" t="s">
        <v>443</v>
      </c>
      <c r="H572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2017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4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hidden="1" x14ac:dyDescent="0.25">
      <c r="A573" s="1">
        <v>46111</v>
      </c>
      <c r="B573" s="1">
        <v>46111</v>
      </c>
      <c r="C573" t="s">
        <v>169</v>
      </c>
      <c r="D573" s="38">
        <v>3</v>
      </c>
      <c r="E573" t="s">
        <v>169</v>
      </c>
      <c r="F573">
        <v>701096</v>
      </c>
      <c r="G573" t="s">
        <v>204</v>
      </c>
      <c r="H573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2017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4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hidden="1" x14ac:dyDescent="0.25">
      <c r="A574" s="1">
        <v>46111</v>
      </c>
      <c r="B574" s="1">
        <v>46111</v>
      </c>
      <c r="C574" t="s">
        <v>169</v>
      </c>
      <c r="D574" s="38">
        <v>3</v>
      </c>
      <c r="E574" t="s">
        <v>169</v>
      </c>
      <c r="F574">
        <v>302046</v>
      </c>
      <c r="G574" t="s">
        <v>115</v>
      </c>
      <c r="H574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4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hidden="1" x14ac:dyDescent="0.25">
      <c r="A575" s="1">
        <v>46111</v>
      </c>
      <c r="B575" s="1">
        <v>46111</v>
      </c>
      <c r="C575" t="s">
        <v>169</v>
      </c>
      <c r="D575" s="38">
        <v>3</v>
      </c>
      <c r="E575" t="s">
        <v>169</v>
      </c>
      <c r="F575">
        <v>1902013</v>
      </c>
      <c r="G575" t="s">
        <v>338</v>
      </c>
      <c r="H575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4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hidden="1" x14ac:dyDescent="0.25">
      <c r="A576" s="1">
        <v>46111</v>
      </c>
      <c r="B576" s="1">
        <v>46111</v>
      </c>
      <c r="C576" t="s">
        <v>169</v>
      </c>
      <c r="D576" s="38">
        <v>3</v>
      </c>
      <c r="E576" t="s">
        <v>169</v>
      </c>
      <c r="F576" t="s">
        <v>386</v>
      </c>
      <c r="G576" t="s">
        <v>83</v>
      </c>
      <c r="H576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4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hidden="1" x14ac:dyDescent="0.25">
      <c r="A577" s="1">
        <v>46111</v>
      </c>
      <c r="B577" s="1">
        <v>46111</v>
      </c>
      <c r="C577" t="s">
        <v>169</v>
      </c>
      <c r="D577" s="38">
        <v>3</v>
      </c>
      <c r="E577" t="s">
        <v>169</v>
      </c>
      <c r="F577" t="s">
        <v>231</v>
      </c>
      <c r="G577" t="s">
        <v>180</v>
      </c>
      <c r="H577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4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hidden="1" x14ac:dyDescent="0.25">
      <c r="A578" s="1">
        <v>46111</v>
      </c>
      <c r="B578" s="1">
        <v>46111</v>
      </c>
      <c r="C578" t="s">
        <v>169</v>
      </c>
      <c r="D578" s="38">
        <v>3</v>
      </c>
      <c r="E578" t="s">
        <v>169</v>
      </c>
      <c r="F578">
        <v>1805340</v>
      </c>
      <c r="G578" t="s">
        <v>298</v>
      </c>
      <c r="H578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4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hidden="1" x14ac:dyDescent="0.25">
      <c r="A579" s="1">
        <v>46111</v>
      </c>
      <c r="B579" s="1">
        <v>46111</v>
      </c>
      <c r="C579" t="s">
        <v>169</v>
      </c>
      <c r="D579" s="38">
        <v>3</v>
      </c>
      <c r="E579" t="s">
        <v>169</v>
      </c>
      <c r="F579">
        <v>2302098</v>
      </c>
      <c r="G579" t="s">
        <v>24</v>
      </c>
      <c r="H579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4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hidden="1" x14ac:dyDescent="0.25">
      <c r="A580" s="1">
        <v>46111</v>
      </c>
      <c r="B580" s="1">
        <v>46111</v>
      </c>
      <c r="C580" t="s">
        <v>169</v>
      </c>
      <c r="D580" s="38">
        <v>3</v>
      </c>
      <c r="E580" t="s">
        <v>169</v>
      </c>
      <c r="F580">
        <v>304049</v>
      </c>
      <c r="G580" t="s">
        <v>318</v>
      </c>
      <c r="H580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4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hidden="1" x14ac:dyDescent="0.25">
      <c r="A581" s="1">
        <v>46111</v>
      </c>
      <c r="B581" s="1">
        <v>46111</v>
      </c>
      <c r="C581" t="s">
        <v>169</v>
      </c>
      <c r="D581" s="38">
        <v>3</v>
      </c>
      <c r="E581" t="s">
        <v>169</v>
      </c>
      <c r="F581">
        <v>408014</v>
      </c>
      <c r="G581" t="s">
        <v>108</v>
      </c>
      <c r="H5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4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hidden="1" x14ac:dyDescent="0.25">
      <c r="A582" s="1">
        <v>46111</v>
      </c>
      <c r="B582" s="1">
        <v>46111</v>
      </c>
      <c r="C582" t="s">
        <v>169</v>
      </c>
      <c r="D582" s="38">
        <v>3</v>
      </c>
      <c r="E582" t="s">
        <v>169</v>
      </c>
      <c r="F582">
        <v>704046</v>
      </c>
      <c r="G582" t="s">
        <v>255</v>
      </c>
      <c r="H582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4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hidden="1" x14ac:dyDescent="0.25">
      <c r="A583" s="1">
        <v>46111</v>
      </c>
      <c r="B583" s="1">
        <v>46111</v>
      </c>
      <c r="C583" t="s">
        <v>169</v>
      </c>
      <c r="D583" s="38">
        <v>3</v>
      </c>
      <c r="E583" t="s">
        <v>169</v>
      </c>
      <c r="F583">
        <v>410045</v>
      </c>
      <c r="G583" t="s">
        <v>110</v>
      </c>
      <c r="H583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4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hidden="1" x14ac:dyDescent="0.25">
      <c r="A584" s="1">
        <v>46111</v>
      </c>
      <c r="B584" s="1">
        <v>46111</v>
      </c>
      <c r="C584" t="s">
        <v>169</v>
      </c>
      <c r="D584" s="38">
        <v>3</v>
      </c>
      <c r="E584" t="s">
        <v>169</v>
      </c>
      <c r="F584">
        <v>410126</v>
      </c>
      <c r="G584" t="s">
        <v>159</v>
      </c>
      <c r="H584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4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hidden="1" x14ac:dyDescent="0.25">
      <c r="A585" s="1">
        <v>46111</v>
      </c>
      <c r="B585" s="1">
        <v>46111</v>
      </c>
      <c r="C585" t="s">
        <v>169</v>
      </c>
      <c r="D585" s="38">
        <v>3</v>
      </c>
      <c r="E585" t="s">
        <v>169</v>
      </c>
      <c r="F585">
        <v>701084</v>
      </c>
      <c r="G585" t="s">
        <v>38</v>
      </c>
      <c r="H585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4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hidden="1" x14ac:dyDescent="0.25">
      <c r="A586" s="1">
        <v>46111</v>
      </c>
      <c r="B586" s="1">
        <v>46111</v>
      </c>
      <c r="C586" t="s">
        <v>169</v>
      </c>
      <c r="D586" s="38">
        <v>3</v>
      </c>
      <c r="E586" t="s">
        <v>169</v>
      </c>
      <c r="F586">
        <v>407049</v>
      </c>
      <c r="G586" t="s">
        <v>232</v>
      </c>
      <c r="H586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4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hidden="1" x14ac:dyDescent="0.25">
      <c r="A587" s="1">
        <v>46111</v>
      </c>
      <c r="B587" s="1">
        <v>46111</v>
      </c>
      <c r="C587" t="s">
        <v>169</v>
      </c>
      <c r="D587" s="38">
        <v>3</v>
      </c>
      <c r="E587" t="s">
        <v>169</v>
      </c>
      <c r="F587">
        <v>407423</v>
      </c>
      <c r="G587" t="s">
        <v>106</v>
      </c>
      <c r="H587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4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hidden="1" x14ac:dyDescent="0.25">
      <c r="A588" s="1">
        <v>46111</v>
      </c>
      <c r="B588" s="1">
        <v>46111</v>
      </c>
      <c r="C588" t="s">
        <v>169</v>
      </c>
      <c r="D588" s="38">
        <v>3</v>
      </c>
      <c r="E588" t="s">
        <v>169</v>
      </c>
      <c r="F588">
        <v>408088</v>
      </c>
      <c r="G588" t="s">
        <v>109</v>
      </c>
      <c r="H588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4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hidden="1" x14ac:dyDescent="0.25">
      <c r="A589" s="1">
        <v>46111</v>
      </c>
      <c r="B589" s="1">
        <v>46111</v>
      </c>
      <c r="C589" t="s">
        <v>169</v>
      </c>
      <c r="D589" s="38">
        <v>3</v>
      </c>
      <c r="E589" t="s">
        <v>169</v>
      </c>
      <c r="F589" t="s">
        <v>21</v>
      </c>
      <c r="G589" t="s">
        <v>22</v>
      </c>
      <c r="H589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4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hidden="1" x14ac:dyDescent="0.25">
      <c r="A590" s="1">
        <v>46111</v>
      </c>
      <c r="B590" s="1">
        <v>46111</v>
      </c>
      <c r="C590" t="s">
        <v>169</v>
      </c>
      <c r="D590" s="38">
        <v>3</v>
      </c>
      <c r="E590" t="s">
        <v>169</v>
      </c>
      <c r="F590">
        <v>1805340</v>
      </c>
      <c r="G590" t="s">
        <v>298</v>
      </c>
      <c r="H590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2026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4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hidden="1" x14ac:dyDescent="0.25">
      <c r="A591" s="1">
        <v>46111</v>
      </c>
      <c r="B591" s="1">
        <v>46111</v>
      </c>
      <c r="C591" t="s">
        <v>169</v>
      </c>
      <c r="D591" s="38">
        <v>3</v>
      </c>
      <c r="E591" t="s">
        <v>169</v>
      </c>
      <c r="F591">
        <v>1610023</v>
      </c>
      <c r="G591" t="s">
        <v>351</v>
      </c>
      <c r="H59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2008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4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hidden="1" x14ac:dyDescent="0.25">
      <c r="A592" s="1">
        <v>46111</v>
      </c>
      <c r="B592" s="1">
        <v>46111</v>
      </c>
      <c r="C592" t="s">
        <v>169</v>
      </c>
      <c r="D592" s="38">
        <v>3</v>
      </c>
      <c r="E592" t="s">
        <v>169</v>
      </c>
      <c r="F592">
        <v>609008</v>
      </c>
      <c r="G592" t="s">
        <v>57</v>
      </c>
      <c r="H592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4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hidden="1" x14ac:dyDescent="0.25">
      <c r="A593" s="1">
        <v>46111</v>
      </c>
      <c r="B593" s="1">
        <v>46111</v>
      </c>
      <c r="C593" t="s">
        <v>169</v>
      </c>
      <c r="D593" s="38">
        <v>3</v>
      </c>
      <c r="E593" t="s">
        <v>169</v>
      </c>
      <c r="F593">
        <v>617016</v>
      </c>
      <c r="G593" t="s">
        <v>133</v>
      </c>
      <c r="H593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4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hidden="1" x14ac:dyDescent="0.25">
      <c r="A594" s="1">
        <v>46111</v>
      </c>
      <c r="B594" s="1">
        <v>46111</v>
      </c>
      <c r="C594" t="s">
        <v>169</v>
      </c>
      <c r="D594" s="38">
        <v>3</v>
      </c>
      <c r="E594" t="s">
        <v>169</v>
      </c>
      <c r="F594">
        <v>617057</v>
      </c>
      <c r="G594" t="s">
        <v>134</v>
      </c>
      <c r="H594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4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hidden="1" x14ac:dyDescent="0.25">
      <c r="A595" s="1">
        <v>46111</v>
      </c>
      <c r="B595" s="1">
        <v>46111</v>
      </c>
      <c r="C595" t="s">
        <v>169</v>
      </c>
      <c r="D595" s="38">
        <v>3</v>
      </c>
      <c r="E595" t="s">
        <v>169</v>
      </c>
      <c r="F595">
        <v>2304053</v>
      </c>
      <c r="G595" t="s">
        <v>213</v>
      </c>
      <c r="H595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4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hidden="1" x14ac:dyDescent="0.25">
      <c r="A596" s="1">
        <v>46111</v>
      </c>
      <c r="B596" s="1">
        <v>46111</v>
      </c>
      <c r="C596" t="s">
        <v>169</v>
      </c>
      <c r="D596" s="38">
        <v>3</v>
      </c>
      <c r="E596" t="s">
        <v>169</v>
      </c>
      <c r="F596">
        <v>907031</v>
      </c>
      <c r="G596" t="s">
        <v>256</v>
      </c>
      <c r="H596" t="s">
        <v>743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4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hidden="1" x14ac:dyDescent="0.25">
      <c r="A597" s="1">
        <v>46111</v>
      </c>
      <c r="B597" s="1">
        <v>46111</v>
      </c>
      <c r="C597" t="s">
        <v>169</v>
      </c>
      <c r="D597" s="38">
        <v>3</v>
      </c>
      <c r="E597" t="s">
        <v>169</v>
      </c>
      <c r="F597">
        <v>704021</v>
      </c>
      <c r="G597" t="s">
        <v>329</v>
      </c>
      <c r="H597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4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hidden="1" x14ac:dyDescent="0.25">
      <c r="A598" s="1">
        <v>46111</v>
      </c>
      <c r="B598" s="1">
        <v>46111</v>
      </c>
      <c r="C598" t="s">
        <v>169</v>
      </c>
      <c r="D598" s="38">
        <v>3</v>
      </c>
      <c r="E598" t="s">
        <v>169</v>
      </c>
      <c r="F598">
        <v>307033</v>
      </c>
      <c r="G598" t="s">
        <v>248</v>
      </c>
      <c r="H598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4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hidden="1" x14ac:dyDescent="0.25">
      <c r="A599" s="1">
        <v>46111</v>
      </c>
      <c r="B599" s="1">
        <v>46111</v>
      </c>
      <c r="C599" t="s">
        <v>169</v>
      </c>
      <c r="D599" s="38">
        <v>3</v>
      </c>
      <c r="E599" t="s">
        <v>169</v>
      </c>
      <c r="F599">
        <v>407185</v>
      </c>
      <c r="G599" t="s">
        <v>43</v>
      </c>
      <c r="H599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4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hidden="1" x14ac:dyDescent="0.25">
      <c r="A600" s="1">
        <v>46112</v>
      </c>
      <c r="B600" s="1">
        <v>46112</v>
      </c>
      <c r="C600" t="s">
        <v>169</v>
      </c>
      <c r="D600" s="38">
        <v>3</v>
      </c>
      <c r="E600" t="s">
        <v>169</v>
      </c>
      <c r="F600">
        <v>302048</v>
      </c>
      <c r="G600" t="s">
        <v>126</v>
      </c>
      <c r="H600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4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hidden="1" x14ac:dyDescent="0.25">
      <c r="A601" s="1">
        <v>46112</v>
      </c>
      <c r="B601" s="1">
        <v>46112</v>
      </c>
      <c r="C601" t="s">
        <v>169</v>
      </c>
      <c r="D601" s="38">
        <v>3</v>
      </c>
      <c r="E601" t="s">
        <v>169</v>
      </c>
      <c r="F601">
        <v>302028</v>
      </c>
      <c r="G601" t="s">
        <v>246</v>
      </c>
      <c r="H60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4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hidden="1" x14ac:dyDescent="0.25">
      <c r="A602" s="1">
        <v>46112</v>
      </c>
      <c r="B602" s="1">
        <v>46112</v>
      </c>
      <c r="C602" t="s">
        <v>169</v>
      </c>
      <c r="D602" s="38">
        <v>3</v>
      </c>
      <c r="E602" t="s">
        <v>169</v>
      </c>
      <c r="F602">
        <v>412301</v>
      </c>
      <c r="G602" t="s">
        <v>327</v>
      </c>
      <c r="H602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4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hidden="1" x14ac:dyDescent="0.25">
      <c r="A603" s="1">
        <v>46112</v>
      </c>
      <c r="B603" s="1">
        <v>46112</v>
      </c>
      <c r="C603" t="s">
        <v>169</v>
      </c>
      <c r="D603" s="38">
        <v>3</v>
      </c>
      <c r="E603" t="s">
        <v>169</v>
      </c>
      <c r="F603" t="s">
        <v>450</v>
      </c>
      <c r="G603" t="s">
        <v>451</v>
      </c>
      <c r="H603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4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hidden="1" x14ac:dyDescent="0.25">
      <c r="A604" s="1">
        <v>46112</v>
      </c>
      <c r="B604" s="1">
        <v>46112</v>
      </c>
      <c r="C604" t="s">
        <v>169</v>
      </c>
      <c r="D604" s="38">
        <v>3</v>
      </c>
      <c r="E604" t="s">
        <v>169</v>
      </c>
      <c r="F604">
        <v>701183</v>
      </c>
      <c r="G604" t="s">
        <v>136</v>
      </c>
      <c r="H604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4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hidden="1" x14ac:dyDescent="0.25">
      <c r="A605" s="1">
        <v>46112</v>
      </c>
      <c r="B605" s="1">
        <v>46112</v>
      </c>
      <c r="C605" t="s">
        <v>169</v>
      </c>
      <c r="D605" s="38">
        <v>3</v>
      </c>
      <c r="E605" t="s">
        <v>169</v>
      </c>
      <c r="F605">
        <v>602254</v>
      </c>
      <c r="G605" t="s">
        <v>214</v>
      </c>
      <c r="H605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4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hidden="1" x14ac:dyDescent="0.25">
      <c r="A606" s="1">
        <v>46112</v>
      </c>
      <c r="B606" s="1">
        <v>46112</v>
      </c>
      <c r="C606" t="s">
        <v>169</v>
      </c>
      <c r="D606" s="38">
        <v>3</v>
      </c>
      <c r="E606" t="s">
        <v>169</v>
      </c>
      <c r="F606">
        <v>602255</v>
      </c>
      <c r="G606" t="s">
        <v>203</v>
      </c>
      <c r="H606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4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hidden="1" x14ac:dyDescent="0.25">
      <c r="A607" s="1">
        <v>46112</v>
      </c>
      <c r="B607" s="1">
        <v>46112</v>
      </c>
      <c r="C607" t="s">
        <v>169</v>
      </c>
      <c r="D607" s="38">
        <v>3</v>
      </c>
      <c r="E607" t="s">
        <v>169</v>
      </c>
      <c r="F607">
        <v>1405040</v>
      </c>
      <c r="G607" t="s">
        <v>449</v>
      </c>
      <c r="H607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4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hidden="1" x14ac:dyDescent="0.25">
      <c r="A608" s="1">
        <v>46112</v>
      </c>
      <c r="B608" s="1">
        <v>46112</v>
      </c>
      <c r="C608" t="s">
        <v>169</v>
      </c>
      <c r="D608" s="38">
        <v>3</v>
      </c>
      <c r="E608" t="s">
        <v>169</v>
      </c>
      <c r="F608">
        <v>407011</v>
      </c>
      <c r="G608" t="s">
        <v>30</v>
      </c>
      <c r="H608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4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hidden="1" x14ac:dyDescent="0.25">
      <c r="A609" s="1">
        <v>46113</v>
      </c>
      <c r="B609" s="1">
        <v>46113</v>
      </c>
      <c r="C609" t="s">
        <v>169</v>
      </c>
      <c r="D609" s="38">
        <v>4</v>
      </c>
      <c r="E609" t="s">
        <v>169</v>
      </c>
      <c r="F609">
        <v>1902014</v>
      </c>
      <c r="G609" t="s">
        <v>316</v>
      </c>
      <c r="H609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 t="s">
        <v>2017</v>
      </c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4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hidden="1" x14ac:dyDescent="0.25">
      <c r="A610" s="1">
        <v>46113</v>
      </c>
      <c r="B610" s="1">
        <v>46113</v>
      </c>
      <c r="C610" t="s">
        <v>169</v>
      </c>
      <c r="D610" s="38">
        <v>4</v>
      </c>
      <c r="E610" t="s">
        <v>169</v>
      </c>
      <c r="F610">
        <v>412260</v>
      </c>
      <c r="G610" t="s">
        <v>41</v>
      </c>
      <c r="H610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4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hidden="1" x14ac:dyDescent="0.25">
      <c r="A611" s="1">
        <v>46113</v>
      </c>
      <c r="B611" s="1">
        <v>46113</v>
      </c>
      <c r="C611" t="s">
        <v>169</v>
      </c>
      <c r="D611" s="38">
        <v>4</v>
      </c>
      <c r="E611" t="s">
        <v>169</v>
      </c>
      <c r="F611">
        <v>412280</v>
      </c>
      <c r="G611" t="s">
        <v>40</v>
      </c>
      <c r="H61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4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hidden="1" x14ac:dyDescent="0.25">
      <c r="A612" s="1">
        <v>46113</v>
      </c>
      <c r="B612" s="1">
        <v>46113</v>
      </c>
      <c r="C612" t="s">
        <v>169</v>
      </c>
      <c r="D612" s="38">
        <v>4</v>
      </c>
      <c r="E612" t="s">
        <v>169</v>
      </c>
      <c r="F612">
        <v>1103074</v>
      </c>
      <c r="G612" t="s">
        <v>310</v>
      </c>
      <c r="H612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 t="s">
        <v>2008</v>
      </c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4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hidden="1" x14ac:dyDescent="0.25">
      <c r="A613" s="1">
        <v>46113</v>
      </c>
      <c r="B613" s="1">
        <v>46113</v>
      </c>
      <c r="C613" t="s">
        <v>169</v>
      </c>
      <c r="D613" s="38">
        <v>4</v>
      </c>
      <c r="E613" t="s">
        <v>169</v>
      </c>
      <c r="F613">
        <v>1103076</v>
      </c>
      <c r="G613" t="s">
        <v>311</v>
      </c>
      <c r="H613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4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hidden="1" x14ac:dyDescent="0.25">
      <c r="A614" s="1">
        <v>46113</v>
      </c>
      <c r="B614" s="1">
        <v>46113</v>
      </c>
      <c r="C614" t="s">
        <v>169</v>
      </c>
      <c r="D614" s="38">
        <v>4</v>
      </c>
      <c r="E614" t="s">
        <v>169</v>
      </c>
      <c r="F614">
        <v>701183</v>
      </c>
      <c r="G614" t="s">
        <v>136</v>
      </c>
      <c r="H614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4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hidden="1" x14ac:dyDescent="0.25">
      <c r="A615" s="1">
        <v>46113</v>
      </c>
      <c r="B615" s="1">
        <v>46113</v>
      </c>
      <c r="C615" t="s">
        <v>169</v>
      </c>
      <c r="D615" s="38">
        <v>4</v>
      </c>
      <c r="E615" t="s">
        <v>169</v>
      </c>
      <c r="F615">
        <v>704021</v>
      </c>
      <c r="G615" t="s">
        <v>329</v>
      </c>
      <c r="H615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4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hidden="1" x14ac:dyDescent="0.25">
      <c r="A616" s="1">
        <v>46113</v>
      </c>
      <c r="B616" s="1">
        <v>46113</v>
      </c>
      <c r="C616" t="s">
        <v>169</v>
      </c>
      <c r="D616" s="38">
        <v>4</v>
      </c>
      <c r="E616" t="s">
        <v>169</v>
      </c>
      <c r="F616">
        <v>307033</v>
      </c>
      <c r="G616" t="s">
        <v>248</v>
      </c>
      <c r="H616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4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hidden="1" x14ac:dyDescent="0.25">
      <c r="A617" s="1">
        <v>46113</v>
      </c>
      <c r="B617" s="1">
        <v>46113</v>
      </c>
      <c r="C617" t="s">
        <v>169</v>
      </c>
      <c r="D617" s="38">
        <v>4</v>
      </c>
      <c r="E617" t="s">
        <v>169</v>
      </c>
      <c r="F617">
        <v>408034</v>
      </c>
      <c r="G617" t="s">
        <v>250</v>
      </c>
      <c r="H617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4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hidden="1" x14ac:dyDescent="0.25">
      <c r="A618" s="1">
        <v>46113</v>
      </c>
      <c r="B618" s="1">
        <v>46113</v>
      </c>
      <c r="C618" t="s">
        <v>169</v>
      </c>
      <c r="D618" s="38">
        <v>4</v>
      </c>
      <c r="E618" t="s">
        <v>169</v>
      </c>
      <c r="F618">
        <v>2302024</v>
      </c>
      <c r="G618" t="s">
        <v>234</v>
      </c>
      <c r="H618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4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hidden="1" x14ac:dyDescent="0.25">
      <c r="A619" s="1">
        <v>46113</v>
      </c>
      <c r="B619" s="1">
        <v>46113</v>
      </c>
      <c r="C619" t="s">
        <v>169</v>
      </c>
      <c r="D619" s="38">
        <v>4</v>
      </c>
      <c r="E619" t="s">
        <v>169</v>
      </c>
      <c r="F619">
        <v>907031</v>
      </c>
      <c r="G619" t="s">
        <v>256</v>
      </c>
      <c r="H619" t="s">
        <v>743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4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hidden="1" x14ac:dyDescent="0.25">
      <c r="A620" s="1">
        <v>46113</v>
      </c>
      <c r="B620" s="1">
        <v>46113</v>
      </c>
      <c r="C620" t="s">
        <v>169</v>
      </c>
      <c r="D620" s="38">
        <v>4</v>
      </c>
      <c r="E620" t="s">
        <v>169</v>
      </c>
      <c r="F620">
        <v>304049</v>
      </c>
      <c r="G620" t="s">
        <v>318</v>
      </c>
      <c r="H620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 t="s">
        <v>2017</v>
      </c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4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hidden="1" x14ac:dyDescent="0.25">
      <c r="A621" s="1">
        <v>46113</v>
      </c>
      <c r="B621" s="1">
        <v>46113</v>
      </c>
      <c r="C621" t="s">
        <v>169</v>
      </c>
      <c r="D621" s="38">
        <v>4</v>
      </c>
      <c r="E621" t="s">
        <v>169</v>
      </c>
      <c r="F621">
        <v>407423</v>
      </c>
      <c r="G621" t="s">
        <v>106</v>
      </c>
      <c r="H62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4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hidden="1" x14ac:dyDescent="0.25">
      <c r="A622" s="1">
        <v>46113</v>
      </c>
      <c r="B622" s="1">
        <v>46113</v>
      </c>
      <c r="C622" t="s">
        <v>169</v>
      </c>
      <c r="D622" s="38">
        <v>4</v>
      </c>
      <c r="E622" t="s">
        <v>169</v>
      </c>
      <c r="F622">
        <v>408042</v>
      </c>
      <c r="G622" t="s">
        <v>144</v>
      </c>
      <c r="H622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4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hidden="1" x14ac:dyDescent="0.25">
      <c r="A623" s="1">
        <v>46113</v>
      </c>
      <c r="B623" s="1">
        <v>46113</v>
      </c>
      <c r="C623" t="s">
        <v>169</v>
      </c>
      <c r="D623" s="38">
        <v>4</v>
      </c>
      <c r="E623" t="s">
        <v>169</v>
      </c>
      <c r="F623">
        <v>304101</v>
      </c>
      <c r="G623" t="s">
        <v>17</v>
      </c>
      <c r="H623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4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hidden="1" x14ac:dyDescent="0.25">
      <c r="A624" s="1">
        <v>46113</v>
      </c>
      <c r="B624" s="1">
        <v>46113</v>
      </c>
      <c r="C624" t="s">
        <v>169</v>
      </c>
      <c r="D624" s="38">
        <v>4</v>
      </c>
      <c r="E624" t="s">
        <v>169</v>
      </c>
      <c r="F624">
        <v>407011</v>
      </c>
      <c r="G624" t="s">
        <v>30</v>
      </c>
      <c r="H624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4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hidden="1" x14ac:dyDescent="0.25">
      <c r="A625" s="1">
        <v>46114</v>
      </c>
      <c r="B625" s="1">
        <v>46114</v>
      </c>
      <c r="C625" t="s">
        <v>169</v>
      </c>
      <c r="D625" s="38">
        <v>4</v>
      </c>
      <c r="E625" t="s">
        <v>169</v>
      </c>
      <c r="F625">
        <v>106022</v>
      </c>
      <c r="G625" t="s">
        <v>245</v>
      </c>
      <c r="H625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 t="s">
        <v>2008</v>
      </c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4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hidden="1" x14ac:dyDescent="0.25">
      <c r="A626" s="1">
        <v>46114</v>
      </c>
      <c r="B626" s="1">
        <v>46114</v>
      </c>
      <c r="C626" t="s">
        <v>169</v>
      </c>
      <c r="D626" s="38">
        <v>4</v>
      </c>
      <c r="E626" t="s">
        <v>169</v>
      </c>
      <c r="F626" t="s">
        <v>461</v>
      </c>
      <c r="G626" t="s">
        <v>451</v>
      </c>
      <c r="H626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4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hidden="1" x14ac:dyDescent="0.25">
      <c r="A627" s="1">
        <v>46114</v>
      </c>
      <c r="B627" s="1">
        <v>46114</v>
      </c>
      <c r="C627" t="s">
        <v>169</v>
      </c>
      <c r="D627" s="38">
        <v>4</v>
      </c>
      <c r="E627" t="s">
        <v>169</v>
      </c>
      <c r="F627">
        <v>701183</v>
      </c>
      <c r="G627" t="s">
        <v>136</v>
      </c>
      <c r="H627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4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hidden="1" x14ac:dyDescent="0.25">
      <c r="A628" s="1">
        <v>46114</v>
      </c>
      <c r="B628" s="1">
        <v>46114</v>
      </c>
      <c r="C628" t="s">
        <v>169</v>
      </c>
      <c r="D628" s="38">
        <v>4</v>
      </c>
      <c r="E628" t="s">
        <v>169</v>
      </c>
      <c r="F628">
        <v>907031</v>
      </c>
      <c r="G628" t="s">
        <v>256</v>
      </c>
      <c r="H628" t="s">
        <v>743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4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hidden="1" x14ac:dyDescent="0.25">
      <c r="A629" s="1">
        <v>46114</v>
      </c>
      <c r="B629" s="1">
        <v>46114</v>
      </c>
      <c r="C629" t="s">
        <v>169</v>
      </c>
      <c r="D629" s="38">
        <v>4</v>
      </c>
      <c r="E629" t="s">
        <v>169</v>
      </c>
      <c r="F629">
        <v>407185</v>
      </c>
      <c r="G629" t="s">
        <v>43</v>
      </c>
      <c r="H629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4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hidden="1" x14ac:dyDescent="0.25">
      <c r="A630" s="1">
        <v>46114</v>
      </c>
      <c r="B630" s="1">
        <v>46114</v>
      </c>
      <c r="C630" t="s">
        <v>169</v>
      </c>
      <c r="D630" s="38">
        <v>4</v>
      </c>
      <c r="E630" t="s">
        <v>169</v>
      </c>
      <c r="F630">
        <v>704079</v>
      </c>
      <c r="G630" t="s">
        <v>209</v>
      </c>
      <c r="H630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4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hidden="1" x14ac:dyDescent="0.25">
      <c r="A631" s="1">
        <v>46114</v>
      </c>
      <c r="B631" s="1">
        <v>46114</v>
      </c>
      <c r="C631" t="s">
        <v>169</v>
      </c>
      <c r="D631" s="38">
        <v>4</v>
      </c>
      <c r="E631" t="s">
        <v>169</v>
      </c>
      <c r="F631">
        <v>602255</v>
      </c>
      <c r="G631" t="s">
        <v>203</v>
      </c>
      <c r="H63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4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hidden="1" x14ac:dyDescent="0.25">
      <c r="A632" s="1">
        <v>46114</v>
      </c>
      <c r="B632" s="1">
        <v>46114</v>
      </c>
      <c r="C632" t="s">
        <v>169</v>
      </c>
      <c r="D632" s="38">
        <v>4</v>
      </c>
      <c r="E632" t="s">
        <v>169</v>
      </c>
      <c r="F632">
        <v>602254</v>
      </c>
      <c r="G632" t="s">
        <v>214</v>
      </c>
      <c r="H632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4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hidden="1" x14ac:dyDescent="0.25">
      <c r="A633" s="1">
        <v>46114</v>
      </c>
      <c r="B633" s="1">
        <v>46114</v>
      </c>
      <c r="C633" t="s">
        <v>169</v>
      </c>
      <c r="D633" s="38">
        <v>4</v>
      </c>
      <c r="E633" t="s">
        <v>169</v>
      </c>
      <c r="F633">
        <v>2302017</v>
      </c>
      <c r="G633" t="s">
        <v>156</v>
      </c>
      <c r="H633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4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hidden="1" x14ac:dyDescent="0.25">
      <c r="A634" s="1">
        <v>46114</v>
      </c>
      <c r="B634" s="1">
        <v>46114</v>
      </c>
      <c r="C634" t="s">
        <v>169</v>
      </c>
      <c r="D634" s="38">
        <v>4</v>
      </c>
      <c r="E634" t="s">
        <v>169</v>
      </c>
      <c r="F634">
        <v>1801735</v>
      </c>
      <c r="G634" t="s">
        <v>73</v>
      </c>
      <c r="H634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4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hidden="1" x14ac:dyDescent="0.25">
      <c r="A635" s="1">
        <v>46114</v>
      </c>
      <c r="B635" s="1">
        <v>46114</v>
      </c>
      <c r="C635" t="s">
        <v>169</v>
      </c>
      <c r="D635" s="38">
        <v>4</v>
      </c>
      <c r="E635" t="s">
        <v>169</v>
      </c>
      <c r="F635">
        <v>1405040</v>
      </c>
      <c r="G635" t="s">
        <v>449</v>
      </c>
      <c r="H635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4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hidden="1" x14ac:dyDescent="0.25">
      <c r="A636" s="1">
        <v>46114</v>
      </c>
      <c r="B636" s="1">
        <v>46114</v>
      </c>
      <c r="C636" t="s">
        <v>169</v>
      </c>
      <c r="D636" s="38">
        <v>4</v>
      </c>
      <c r="E636" t="s">
        <v>169</v>
      </c>
      <c r="F636">
        <v>1405039</v>
      </c>
      <c r="G636" t="s">
        <v>314</v>
      </c>
      <c r="H636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4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hidden="1" x14ac:dyDescent="0.25">
      <c r="A637" s="1">
        <v>46114</v>
      </c>
      <c r="B637" s="1">
        <v>46114</v>
      </c>
      <c r="C637" t="s">
        <v>169</v>
      </c>
      <c r="D637" s="38">
        <v>4</v>
      </c>
      <c r="E637" t="s">
        <v>169</v>
      </c>
      <c r="F637">
        <v>1803045</v>
      </c>
      <c r="G637" t="s">
        <v>337</v>
      </c>
      <c r="H637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4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hidden="1" x14ac:dyDescent="0.25">
      <c r="A638" s="1">
        <v>46114</v>
      </c>
      <c r="B638" s="1">
        <v>46114</v>
      </c>
      <c r="C638" t="s">
        <v>169</v>
      </c>
      <c r="D638" s="38">
        <v>4</v>
      </c>
      <c r="E638" t="s">
        <v>169</v>
      </c>
      <c r="F638">
        <v>1803044</v>
      </c>
      <c r="G638" t="s">
        <v>336</v>
      </c>
      <c r="H638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4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hidden="1" x14ac:dyDescent="0.25">
      <c r="A639" s="1">
        <v>46114</v>
      </c>
      <c r="B639" s="1">
        <v>46114</v>
      </c>
      <c r="C639" t="s">
        <v>169</v>
      </c>
      <c r="D639" s="38">
        <v>4</v>
      </c>
      <c r="E639" t="s">
        <v>169</v>
      </c>
      <c r="F639">
        <v>704046</v>
      </c>
      <c r="G639" t="s">
        <v>255</v>
      </c>
      <c r="H639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 t="s">
        <v>2017</v>
      </c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4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hidden="1" x14ac:dyDescent="0.25">
      <c r="A640" s="1">
        <v>46114</v>
      </c>
      <c r="B640" s="1">
        <v>46114</v>
      </c>
      <c r="C640" t="s">
        <v>169</v>
      </c>
      <c r="D640" s="38">
        <v>4</v>
      </c>
      <c r="E640" t="s">
        <v>169</v>
      </c>
      <c r="F640">
        <v>2304016</v>
      </c>
      <c r="G640" t="s">
        <v>462</v>
      </c>
      <c r="H640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4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hidden="1" x14ac:dyDescent="0.25">
      <c r="A641" s="1">
        <v>46114</v>
      </c>
      <c r="B641" s="1">
        <v>46114</v>
      </c>
      <c r="C641" t="s">
        <v>169</v>
      </c>
      <c r="D641" s="38">
        <v>4</v>
      </c>
      <c r="E641" t="s">
        <v>169</v>
      </c>
      <c r="F641">
        <v>617055</v>
      </c>
      <c r="G641" t="s">
        <v>182</v>
      </c>
      <c r="H64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4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hidden="1" x14ac:dyDescent="0.25">
      <c r="A642" s="1">
        <v>46114</v>
      </c>
      <c r="B642" s="1">
        <v>46114</v>
      </c>
      <c r="C642" t="s">
        <v>169</v>
      </c>
      <c r="D642" s="38">
        <v>4</v>
      </c>
      <c r="E642" t="s">
        <v>169</v>
      </c>
      <c r="F642">
        <v>1902003</v>
      </c>
      <c r="G642" t="s">
        <v>155</v>
      </c>
      <c r="H642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4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hidden="1" x14ac:dyDescent="0.25">
      <c r="A643" s="1">
        <v>46114</v>
      </c>
      <c r="B643" s="1">
        <v>46114</v>
      </c>
      <c r="C643" t="s">
        <v>169</v>
      </c>
      <c r="D643" s="38">
        <v>4</v>
      </c>
      <c r="E643" t="s">
        <v>169</v>
      </c>
      <c r="F643">
        <v>1902013</v>
      </c>
      <c r="G643" t="s">
        <v>338</v>
      </c>
      <c r="H643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4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hidden="1" x14ac:dyDescent="0.25">
      <c r="A644" s="1">
        <v>46114</v>
      </c>
      <c r="B644" s="1">
        <v>46114</v>
      </c>
      <c r="C644" t="s">
        <v>169</v>
      </c>
      <c r="D644" s="38">
        <v>4</v>
      </c>
      <c r="E644" t="s">
        <v>169</v>
      </c>
      <c r="F644">
        <v>407222</v>
      </c>
      <c r="G644" t="s">
        <v>463</v>
      </c>
      <c r="H644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4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hidden="1" x14ac:dyDescent="0.25">
      <c r="A645" s="1">
        <v>46114</v>
      </c>
      <c r="B645" s="1">
        <v>46114</v>
      </c>
      <c r="C645" t="s">
        <v>169</v>
      </c>
      <c r="D645" s="38">
        <v>4</v>
      </c>
      <c r="E645" t="s">
        <v>169</v>
      </c>
      <c r="F645">
        <v>407307</v>
      </c>
      <c r="G645" t="s">
        <v>163</v>
      </c>
      <c r="H645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4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hidden="1" x14ac:dyDescent="0.25">
      <c r="A646" s="1">
        <v>46114</v>
      </c>
      <c r="B646" s="1">
        <v>46114</v>
      </c>
      <c r="C646" t="s">
        <v>169</v>
      </c>
      <c r="D646" s="38">
        <v>4</v>
      </c>
      <c r="E646" t="s">
        <v>169</v>
      </c>
      <c r="F646">
        <v>5309018</v>
      </c>
      <c r="G646" t="s">
        <v>112</v>
      </c>
      <c r="H646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4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hidden="1" x14ac:dyDescent="0.25">
      <c r="A647" s="1">
        <v>46114</v>
      </c>
      <c r="B647" s="1">
        <v>46114</v>
      </c>
      <c r="C647" t="s">
        <v>169</v>
      </c>
      <c r="D647" s="38">
        <v>4</v>
      </c>
      <c r="E647" t="s">
        <v>169</v>
      </c>
      <c r="F647">
        <v>5314002</v>
      </c>
      <c r="G647" t="s">
        <v>342</v>
      </c>
      <c r="H647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4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hidden="1" x14ac:dyDescent="0.25">
      <c r="A648" s="1">
        <v>46114</v>
      </c>
      <c r="B648" s="1">
        <v>46114</v>
      </c>
      <c r="C648" t="s">
        <v>169</v>
      </c>
      <c r="D648" s="38">
        <v>4</v>
      </c>
      <c r="E648" t="s">
        <v>169</v>
      </c>
      <c r="F648">
        <v>302048</v>
      </c>
      <c r="G648" t="s">
        <v>126</v>
      </c>
      <c r="H648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4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hidden="1" x14ac:dyDescent="0.25">
      <c r="A649" s="1">
        <v>46114</v>
      </c>
      <c r="B649" s="1">
        <v>46114</v>
      </c>
      <c r="C649" t="s">
        <v>169</v>
      </c>
      <c r="D649" s="38">
        <v>4</v>
      </c>
      <c r="E649" t="s">
        <v>169</v>
      </c>
      <c r="F649">
        <v>304002</v>
      </c>
      <c r="G649" t="s">
        <v>37</v>
      </c>
      <c r="H649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 t="s">
        <v>2008</v>
      </c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4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hidden="1" x14ac:dyDescent="0.25">
      <c r="A650" s="1">
        <v>46114</v>
      </c>
      <c r="B650" s="1">
        <v>46114</v>
      </c>
      <c r="C650" t="s">
        <v>169</v>
      </c>
      <c r="D650" s="38">
        <v>4</v>
      </c>
      <c r="E650" t="s">
        <v>169</v>
      </c>
      <c r="F650">
        <v>307032</v>
      </c>
      <c r="G650" t="s">
        <v>186</v>
      </c>
      <c r="H650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4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hidden="1" x14ac:dyDescent="0.25">
      <c r="A651" s="1">
        <v>46114</v>
      </c>
      <c r="B651" s="1">
        <v>46114</v>
      </c>
      <c r="C651" t="s">
        <v>169</v>
      </c>
      <c r="D651" s="38">
        <v>4</v>
      </c>
      <c r="E651" t="s">
        <v>169</v>
      </c>
      <c r="F651">
        <v>307096</v>
      </c>
      <c r="G651" t="s">
        <v>249</v>
      </c>
      <c r="H65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4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hidden="1" x14ac:dyDescent="0.25">
      <c r="A652" s="1">
        <v>46114</v>
      </c>
      <c r="B652" s="1">
        <v>46114</v>
      </c>
      <c r="C652" t="s">
        <v>169</v>
      </c>
      <c r="D652" s="38">
        <v>4</v>
      </c>
      <c r="E652" t="s">
        <v>169</v>
      </c>
      <c r="F652">
        <v>704022</v>
      </c>
      <c r="G652" t="s">
        <v>330</v>
      </c>
      <c r="H652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4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hidden="1" x14ac:dyDescent="0.25">
      <c r="A653" s="1">
        <v>46114</v>
      </c>
      <c r="B653" s="1">
        <v>46114</v>
      </c>
      <c r="C653" t="s">
        <v>169</v>
      </c>
      <c r="D653" s="38">
        <v>4</v>
      </c>
      <c r="E653" t="s">
        <v>169</v>
      </c>
      <c r="F653">
        <v>704024</v>
      </c>
      <c r="G653" t="s">
        <v>332</v>
      </c>
      <c r="H653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4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hidden="1" x14ac:dyDescent="0.25">
      <c r="A654" s="1">
        <v>46114</v>
      </c>
      <c r="B654" s="1">
        <v>46114</v>
      </c>
      <c r="C654" t="s">
        <v>169</v>
      </c>
      <c r="D654" s="38">
        <v>4</v>
      </c>
      <c r="E654" t="s">
        <v>169</v>
      </c>
      <c r="F654">
        <v>704025</v>
      </c>
      <c r="G654" t="s">
        <v>333</v>
      </c>
      <c r="H654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4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hidden="1" x14ac:dyDescent="0.25">
      <c r="A655" s="1">
        <v>46114</v>
      </c>
      <c r="B655" s="1">
        <v>46114</v>
      </c>
      <c r="C655" t="s">
        <v>169</v>
      </c>
      <c r="D655" s="38">
        <v>4</v>
      </c>
      <c r="E655" t="s">
        <v>169</v>
      </c>
      <c r="F655">
        <v>307031</v>
      </c>
      <c r="G655" t="s">
        <v>65</v>
      </c>
      <c r="H655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4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hidden="1" x14ac:dyDescent="0.25">
      <c r="A656" s="1">
        <v>46114</v>
      </c>
      <c r="B656" s="1">
        <v>46114</v>
      </c>
      <c r="C656" t="s">
        <v>169</v>
      </c>
      <c r="D656" s="38">
        <v>4</v>
      </c>
      <c r="E656" t="s">
        <v>169</v>
      </c>
      <c r="F656">
        <v>1103074</v>
      </c>
      <c r="G656" t="s">
        <v>310</v>
      </c>
      <c r="H656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4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hidden="1" x14ac:dyDescent="0.25">
      <c r="A657" s="1">
        <v>46114</v>
      </c>
      <c r="B657" s="1">
        <v>46114</v>
      </c>
      <c r="C657" t="s">
        <v>169</v>
      </c>
      <c r="D657" s="38">
        <v>4</v>
      </c>
      <c r="E657" t="s">
        <v>169</v>
      </c>
      <c r="F657">
        <v>1103076</v>
      </c>
      <c r="G657" t="s">
        <v>311</v>
      </c>
      <c r="H657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4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hidden="1" x14ac:dyDescent="0.25">
      <c r="A658" s="1">
        <v>46114</v>
      </c>
      <c r="B658" s="1">
        <v>46114</v>
      </c>
      <c r="C658" t="s">
        <v>169</v>
      </c>
      <c r="D658" s="38">
        <v>4</v>
      </c>
      <c r="E658" t="s">
        <v>169</v>
      </c>
      <c r="F658">
        <v>1801735</v>
      </c>
      <c r="G658" t="s">
        <v>73</v>
      </c>
      <c r="H658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4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hidden="1" x14ac:dyDescent="0.25">
      <c r="A659" s="1">
        <v>46118</v>
      </c>
      <c r="B659" s="1">
        <v>46118</v>
      </c>
      <c r="C659" t="s">
        <v>169</v>
      </c>
      <c r="D659" s="38">
        <v>4</v>
      </c>
      <c r="E659" t="s">
        <v>169</v>
      </c>
      <c r="F659">
        <v>407011</v>
      </c>
      <c r="G659" t="s">
        <v>30</v>
      </c>
      <c r="H659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 t="s">
        <v>2017</v>
      </c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4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hidden="1" x14ac:dyDescent="0.25">
      <c r="A660" s="1">
        <v>46118</v>
      </c>
      <c r="B660" s="1">
        <v>46118</v>
      </c>
      <c r="C660" t="s">
        <v>169</v>
      </c>
      <c r="D660" s="38">
        <v>4</v>
      </c>
      <c r="E660" t="s">
        <v>169</v>
      </c>
      <c r="F660">
        <v>1901008</v>
      </c>
      <c r="G660" t="s">
        <v>278</v>
      </c>
      <c r="H660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4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hidden="1" x14ac:dyDescent="0.25">
      <c r="A661" s="1">
        <v>46118</v>
      </c>
      <c r="B661" s="1">
        <v>46118</v>
      </c>
      <c r="C661" t="s">
        <v>169</v>
      </c>
      <c r="D661" s="38">
        <v>4</v>
      </c>
      <c r="E661" t="s">
        <v>169</v>
      </c>
      <c r="F661">
        <v>1901038</v>
      </c>
      <c r="G661" t="s">
        <v>39</v>
      </c>
      <c r="H66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4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hidden="1" x14ac:dyDescent="0.25">
      <c r="A662" s="1">
        <v>46118</v>
      </c>
      <c r="B662" s="1">
        <v>46118</v>
      </c>
      <c r="C662" t="s">
        <v>169</v>
      </c>
      <c r="D662" s="38">
        <v>4</v>
      </c>
      <c r="E662" t="s">
        <v>169</v>
      </c>
      <c r="F662">
        <v>1901086</v>
      </c>
      <c r="G662" t="s">
        <v>279</v>
      </c>
      <c r="H662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4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hidden="1" x14ac:dyDescent="0.25">
      <c r="A663" s="1">
        <v>46118</v>
      </c>
      <c r="B663" s="1">
        <v>46118</v>
      </c>
      <c r="C663" t="s">
        <v>169</v>
      </c>
      <c r="D663" s="38">
        <v>4</v>
      </c>
      <c r="E663" t="s">
        <v>169</v>
      </c>
      <c r="F663" t="s">
        <v>386</v>
      </c>
      <c r="G663" t="s">
        <v>83</v>
      </c>
      <c r="H663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4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hidden="1" x14ac:dyDescent="0.25">
      <c r="A664" s="1">
        <v>46118</v>
      </c>
      <c r="B664" s="1">
        <v>46118</v>
      </c>
      <c r="C664" t="s">
        <v>169</v>
      </c>
      <c r="D664" s="38">
        <v>4</v>
      </c>
      <c r="E664" t="s">
        <v>169</v>
      </c>
      <c r="F664">
        <v>1901466</v>
      </c>
      <c r="G664" t="s">
        <v>398</v>
      </c>
      <c r="H664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4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hidden="1" x14ac:dyDescent="0.25">
      <c r="A665" s="1">
        <v>46118</v>
      </c>
      <c r="B665" s="1">
        <v>46118</v>
      </c>
      <c r="C665" t="s">
        <v>169</v>
      </c>
      <c r="D665" s="38">
        <v>4</v>
      </c>
      <c r="E665" t="s">
        <v>169</v>
      </c>
      <c r="F665">
        <v>1808148</v>
      </c>
      <c r="G665" t="s">
        <v>276</v>
      </c>
      <c r="H665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 t="s">
        <v>2021</v>
      </c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4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hidden="1" x14ac:dyDescent="0.25">
      <c r="A666" s="1">
        <v>46118</v>
      </c>
      <c r="B666" s="1">
        <v>46118</v>
      </c>
      <c r="C666" t="s">
        <v>169</v>
      </c>
      <c r="D666" s="38">
        <v>4</v>
      </c>
      <c r="E666" t="s">
        <v>169</v>
      </c>
      <c r="F666">
        <v>1808145</v>
      </c>
      <c r="G666" t="s">
        <v>273</v>
      </c>
      <c r="H666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4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hidden="1" x14ac:dyDescent="0.25">
      <c r="A667" s="1">
        <v>46118</v>
      </c>
      <c r="B667" s="1">
        <v>46118</v>
      </c>
      <c r="C667" t="s">
        <v>169</v>
      </c>
      <c r="D667" s="38">
        <v>4</v>
      </c>
      <c r="E667" t="s">
        <v>169</v>
      </c>
      <c r="F667">
        <v>1808144</v>
      </c>
      <c r="G667" t="s">
        <v>272</v>
      </c>
      <c r="H667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4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hidden="1" x14ac:dyDescent="0.25">
      <c r="A668" s="1">
        <v>46118</v>
      </c>
      <c r="B668" s="1">
        <v>46118</v>
      </c>
      <c r="C668" t="s">
        <v>169</v>
      </c>
      <c r="D668" s="38">
        <v>4</v>
      </c>
      <c r="E668" t="s">
        <v>169</v>
      </c>
      <c r="F668">
        <v>407795</v>
      </c>
      <c r="G668" t="s">
        <v>325</v>
      </c>
      <c r="H668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4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hidden="1" x14ac:dyDescent="0.25">
      <c r="A669" s="1">
        <v>46118</v>
      </c>
      <c r="B669" s="1">
        <v>46118</v>
      </c>
      <c r="C669" t="s">
        <v>169</v>
      </c>
      <c r="D669" s="38">
        <v>4</v>
      </c>
      <c r="E669" t="s">
        <v>169</v>
      </c>
      <c r="F669">
        <v>1808146</v>
      </c>
      <c r="G669" t="s">
        <v>274</v>
      </c>
      <c r="H669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4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hidden="1" x14ac:dyDescent="0.25">
      <c r="A670" s="1">
        <v>46118</v>
      </c>
      <c r="B670" s="1">
        <v>46118</v>
      </c>
      <c r="C670" t="s">
        <v>169</v>
      </c>
      <c r="D670" s="38">
        <v>4</v>
      </c>
      <c r="E670" t="s">
        <v>169</v>
      </c>
      <c r="F670">
        <v>2508988</v>
      </c>
      <c r="G670" t="s">
        <v>467</v>
      </c>
      <c r="H670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4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hidden="1" x14ac:dyDescent="0.25">
      <c r="A671" s="1">
        <v>46118</v>
      </c>
      <c r="B671" s="1">
        <v>46118</v>
      </c>
      <c r="C671" t="s">
        <v>169</v>
      </c>
      <c r="D671" s="38">
        <v>4</v>
      </c>
      <c r="E671" t="s">
        <v>169</v>
      </c>
      <c r="F671">
        <v>2508987</v>
      </c>
      <c r="G671" t="s">
        <v>305</v>
      </c>
      <c r="H67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4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hidden="1" x14ac:dyDescent="0.25">
      <c r="A672" s="1">
        <v>46118</v>
      </c>
      <c r="B672" s="1">
        <v>46118</v>
      </c>
      <c r="C672" t="s">
        <v>169</v>
      </c>
      <c r="D672" s="38">
        <v>4</v>
      </c>
      <c r="E672" t="s">
        <v>169</v>
      </c>
      <c r="F672">
        <v>4212234</v>
      </c>
      <c r="G672" t="s">
        <v>54</v>
      </c>
      <c r="H672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4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hidden="1" x14ac:dyDescent="0.25">
      <c r="A673" s="1">
        <v>46118</v>
      </c>
      <c r="B673" s="1">
        <v>46118</v>
      </c>
      <c r="C673" t="s">
        <v>169</v>
      </c>
      <c r="D673" s="38">
        <v>4</v>
      </c>
      <c r="E673" t="s">
        <v>169</v>
      </c>
      <c r="F673">
        <v>5316509</v>
      </c>
      <c r="G673" t="s">
        <v>56</v>
      </c>
      <c r="H673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4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hidden="1" x14ac:dyDescent="0.25">
      <c r="A674" s="1">
        <v>46118</v>
      </c>
      <c r="B674" s="1">
        <v>46118</v>
      </c>
      <c r="C674" t="s">
        <v>169</v>
      </c>
      <c r="D674" s="38">
        <v>4</v>
      </c>
      <c r="E674" t="s">
        <v>169</v>
      </c>
      <c r="F674">
        <v>5316508</v>
      </c>
      <c r="G674" t="s">
        <v>468</v>
      </c>
      <c r="H674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4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hidden="1" x14ac:dyDescent="0.25">
      <c r="A675" s="1">
        <v>46118</v>
      </c>
      <c r="B675" s="1">
        <v>46118</v>
      </c>
      <c r="C675" t="s">
        <v>169</v>
      </c>
      <c r="D675" s="38">
        <v>4</v>
      </c>
      <c r="E675" t="s">
        <v>169</v>
      </c>
      <c r="F675">
        <v>5316507</v>
      </c>
      <c r="G675" t="s">
        <v>55</v>
      </c>
      <c r="H675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4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hidden="1" x14ac:dyDescent="0.25">
      <c r="A676" s="1">
        <v>46118</v>
      </c>
      <c r="B676" s="1">
        <v>46118</v>
      </c>
      <c r="C676" t="s">
        <v>169</v>
      </c>
      <c r="D676" s="38">
        <v>4</v>
      </c>
      <c r="E676" t="s">
        <v>169</v>
      </c>
      <c r="F676">
        <v>1802166</v>
      </c>
      <c r="G676" t="s">
        <v>283</v>
      </c>
      <c r="H676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4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hidden="1" x14ac:dyDescent="0.25">
      <c r="A677" s="1">
        <v>46118</v>
      </c>
      <c r="B677" s="1">
        <v>46118</v>
      </c>
      <c r="C677" t="s">
        <v>169</v>
      </c>
      <c r="D677" s="38">
        <v>4</v>
      </c>
      <c r="E677" t="s">
        <v>169</v>
      </c>
      <c r="F677">
        <v>1703006</v>
      </c>
      <c r="G677" t="s">
        <v>48</v>
      </c>
      <c r="H677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4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hidden="1" x14ac:dyDescent="0.25">
      <c r="A678" s="1">
        <v>46118</v>
      </c>
      <c r="B678" s="1">
        <v>46118</v>
      </c>
      <c r="C678" t="s">
        <v>169</v>
      </c>
      <c r="D678" s="38">
        <v>4</v>
      </c>
      <c r="E678" t="s">
        <v>169</v>
      </c>
      <c r="F678">
        <v>5316484</v>
      </c>
      <c r="G678" t="s">
        <v>96</v>
      </c>
      <c r="H678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 t="s">
        <v>2021</v>
      </c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4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hidden="1" x14ac:dyDescent="0.25">
      <c r="A679" s="1">
        <v>46118</v>
      </c>
      <c r="B679" s="1">
        <v>46118</v>
      </c>
      <c r="C679" t="s">
        <v>169</v>
      </c>
      <c r="D679" s="38">
        <v>4</v>
      </c>
      <c r="E679" t="s">
        <v>169</v>
      </c>
      <c r="F679">
        <v>5316483</v>
      </c>
      <c r="G679" t="s">
        <v>97</v>
      </c>
      <c r="H679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4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hidden="1" x14ac:dyDescent="0.25">
      <c r="A680" s="1">
        <v>46118</v>
      </c>
      <c r="B680" s="1">
        <v>46118</v>
      </c>
      <c r="C680" t="s">
        <v>169</v>
      </c>
      <c r="D680" s="38">
        <v>4</v>
      </c>
      <c r="E680" t="s">
        <v>169</v>
      </c>
      <c r="F680">
        <v>2304002</v>
      </c>
      <c r="G680" t="s">
        <v>212</v>
      </c>
      <c r="H680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4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hidden="1" x14ac:dyDescent="0.25">
      <c r="A681" s="1">
        <v>46118</v>
      </c>
      <c r="B681" s="1">
        <v>46118</v>
      </c>
      <c r="C681" t="s">
        <v>169</v>
      </c>
      <c r="D681" s="38">
        <v>4</v>
      </c>
      <c r="E681" t="s">
        <v>169</v>
      </c>
      <c r="F681">
        <v>1802170</v>
      </c>
      <c r="G681" t="s">
        <v>264</v>
      </c>
      <c r="H6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4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hidden="1" x14ac:dyDescent="0.25">
      <c r="A682" s="1">
        <v>46118</v>
      </c>
      <c r="B682" s="1">
        <v>46118</v>
      </c>
      <c r="C682" t="s">
        <v>169</v>
      </c>
      <c r="D682" s="38">
        <v>4</v>
      </c>
      <c r="E682" t="s">
        <v>169</v>
      </c>
      <c r="F682">
        <v>1802169</v>
      </c>
      <c r="G682" t="s">
        <v>263</v>
      </c>
      <c r="H682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4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hidden="1" x14ac:dyDescent="0.25">
      <c r="A683" s="1">
        <v>46118</v>
      </c>
      <c r="B683" s="1">
        <v>46118</v>
      </c>
      <c r="C683" t="s">
        <v>169</v>
      </c>
      <c r="D683" s="38">
        <v>4</v>
      </c>
      <c r="E683" t="s">
        <v>169</v>
      </c>
      <c r="F683">
        <v>1808156</v>
      </c>
      <c r="G683" t="s">
        <v>277</v>
      </c>
      <c r="H683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4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hidden="1" x14ac:dyDescent="0.25">
      <c r="A684" s="1">
        <v>46118</v>
      </c>
      <c r="B684" s="1">
        <v>46118</v>
      </c>
      <c r="C684" t="s">
        <v>169</v>
      </c>
      <c r="D684" s="38">
        <v>4</v>
      </c>
      <c r="E684" t="s">
        <v>169</v>
      </c>
      <c r="F684">
        <v>1808006</v>
      </c>
      <c r="G684" t="s">
        <v>194</v>
      </c>
      <c r="H684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4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hidden="1" x14ac:dyDescent="0.25">
      <c r="A685" s="1">
        <v>46118</v>
      </c>
      <c r="B685" s="1">
        <v>46118</v>
      </c>
      <c r="C685" t="s">
        <v>169</v>
      </c>
      <c r="D685" s="38">
        <v>4</v>
      </c>
      <c r="E685" t="s">
        <v>169</v>
      </c>
      <c r="F685">
        <v>1808003</v>
      </c>
      <c r="G685" t="s">
        <v>195</v>
      </c>
      <c r="H685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4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hidden="1" x14ac:dyDescent="0.25">
      <c r="A686" s="1">
        <v>46118</v>
      </c>
      <c r="B686" s="1">
        <v>46118</v>
      </c>
      <c r="C686" t="s">
        <v>169</v>
      </c>
      <c r="D686" s="38">
        <v>4</v>
      </c>
      <c r="E686" t="s">
        <v>169</v>
      </c>
      <c r="F686">
        <v>1802517</v>
      </c>
      <c r="G686" t="s">
        <v>141</v>
      </c>
      <c r="H686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4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hidden="1" x14ac:dyDescent="0.25">
      <c r="A687" s="1">
        <v>46118</v>
      </c>
      <c r="B687" s="1">
        <v>46118</v>
      </c>
      <c r="C687" t="s">
        <v>169</v>
      </c>
      <c r="D687" s="38">
        <v>4</v>
      </c>
      <c r="E687" t="s">
        <v>169</v>
      </c>
      <c r="F687">
        <v>1802172</v>
      </c>
      <c r="G687" t="s">
        <v>266</v>
      </c>
      <c r="H687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4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hidden="1" x14ac:dyDescent="0.25">
      <c r="A688" s="1">
        <v>46118</v>
      </c>
      <c r="B688" s="1">
        <v>46118</v>
      </c>
      <c r="C688" t="s">
        <v>169</v>
      </c>
      <c r="D688" s="38">
        <v>4</v>
      </c>
      <c r="E688" t="s">
        <v>169</v>
      </c>
      <c r="F688">
        <v>1802171</v>
      </c>
      <c r="G688" t="s">
        <v>265</v>
      </c>
      <c r="H688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4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hidden="1" x14ac:dyDescent="0.25">
      <c r="A689" s="1">
        <v>46118</v>
      </c>
      <c r="B689" s="1">
        <v>46118</v>
      </c>
      <c r="C689" t="s">
        <v>169</v>
      </c>
      <c r="D689" s="38">
        <v>4</v>
      </c>
      <c r="E689" t="s">
        <v>169</v>
      </c>
      <c r="F689">
        <v>1206002</v>
      </c>
      <c r="G689" t="s">
        <v>192</v>
      </c>
      <c r="H689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4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hidden="1" x14ac:dyDescent="0.25">
      <c r="A690" s="1">
        <v>46118</v>
      </c>
      <c r="B690" s="1">
        <v>46118</v>
      </c>
      <c r="C690" t="s">
        <v>169</v>
      </c>
      <c r="D690" s="38">
        <v>4</v>
      </c>
      <c r="E690" t="s">
        <v>169</v>
      </c>
      <c r="F690">
        <v>1802177</v>
      </c>
      <c r="G690" t="s">
        <v>270</v>
      </c>
      <c r="H690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4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hidden="1" x14ac:dyDescent="0.25">
      <c r="A691" s="1">
        <v>46118</v>
      </c>
      <c r="B691" s="1">
        <v>46118</v>
      </c>
      <c r="C691" t="s">
        <v>169</v>
      </c>
      <c r="D691" s="38">
        <v>4</v>
      </c>
      <c r="E691" t="s">
        <v>169</v>
      </c>
      <c r="F691">
        <v>1802176</v>
      </c>
      <c r="G691" t="s">
        <v>196</v>
      </c>
      <c r="H69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4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hidden="1" x14ac:dyDescent="0.25">
      <c r="A692" s="1">
        <v>46118</v>
      </c>
      <c r="B692" s="1">
        <v>46118</v>
      </c>
      <c r="C692" t="s">
        <v>169</v>
      </c>
      <c r="D692" s="38">
        <v>4</v>
      </c>
      <c r="E692" t="s">
        <v>169</v>
      </c>
      <c r="F692">
        <v>1802175</v>
      </c>
      <c r="G692" t="s">
        <v>269</v>
      </c>
      <c r="H692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4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hidden="1" x14ac:dyDescent="0.25">
      <c r="A693" s="1">
        <v>46118</v>
      </c>
      <c r="B693" s="1">
        <v>46118</v>
      </c>
      <c r="C693" t="s">
        <v>169</v>
      </c>
      <c r="D693" s="38">
        <v>4</v>
      </c>
      <c r="E693" t="s">
        <v>169</v>
      </c>
      <c r="F693">
        <v>1802174</v>
      </c>
      <c r="G693" t="s">
        <v>268</v>
      </c>
      <c r="H693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4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hidden="1" x14ac:dyDescent="0.25">
      <c r="A694" s="1">
        <v>46118</v>
      </c>
      <c r="B694" s="1">
        <v>46118</v>
      </c>
      <c r="C694" t="s">
        <v>169</v>
      </c>
      <c r="D694" s="38">
        <v>4</v>
      </c>
      <c r="E694" t="s">
        <v>169</v>
      </c>
      <c r="F694">
        <v>1802173</v>
      </c>
      <c r="G694" t="s">
        <v>267</v>
      </c>
      <c r="H694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4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hidden="1" x14ac:dyDescent="0.25">
      <c r="A695" s="1">
        <v>46118</v>
      </c>
      <c r="B695" s="1">
        <v>46118</v>
      </c>
      <c r="C695" t="s">
        <v>169</v>
      </c>
      <c r="D695" s="38">
        <v>4</v>
      </c>
      <c r="E695" t="s">
        <v>169</v>
      </c>
      <c r="F695">
        <v>1802165</v>
      </c>
      <c r="G695" t="s">
        <v>261</v>
      </c>
      <c r="H695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4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hidden="1" x14ac:dyDescent="0.25">
      <c r="A696" s="1">
        <v>46118</v>
      </c>
      <c r="B696" s="1">
        <v>46118</v>
      </c>
      <c r="C696" t="s">
        <v>169</v>
      </c>
      <c r="D696" s="38">
        <v>4</v>
      </c>
      <c r="E696" t="s">
        <v>169</v>
      </c>
      <c r="F696">
        <v>1701071</v>
      </c>
      <c r="G696" t="s">
        <v>257</v>
      </c>
      <c r="H696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4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hidden="1" x14ac:dyDescent="0.25">
      <c r="A697" s="1">
        <v>46118</v>
      </c>
      <c r="B697" s="1">
        <v>46118</v>
      </c>
      <c r="C697" t="s">
        <v>169</v>
      </c>
      <c r="D697" s="38">
        <v>4</v>
      </c>
      <c r="E697" t="s">
        <v>169</v>
      </c>
      <c r="F697" t="s">
        <v>45</v>
      </c>
      <c r="G697" t="s">
        <v>360</v>
      </c>
      <c r="H697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 t="s">
        <v>2008</v>
      </c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4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hidden="1" x14ac:dyDescent="0.25">
      <c r="A698" s="1">
        <v>46118</v>
      </c>
      <c r="B698" s="1">
        <v>46118</v>
      </c>
      <c r="C698" t="s">
        <v>169</v>
      </c>
      <c r="D698" s="38">
        <v>4</v>
      </c>
      <c r="E698" t="s">
        <v>169</v>
      </c>
      <c r="F698">
        <v>907031</v>
      </c>
      <c r="G698" t="s">
        <v>256</v>
      </c>
      <c r="H698" t="s">
        <v>743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4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hidden="1" x14ac:dyDescent="0.25">
      <c r="A699" s="1">
        <v>46118</v>
      </c>
      <c r="B699" s="1">
        <v>46118</v>
      </c>
      <c r="C699" t="s">
        <v>169</v>
      </c>
      <c r="D699" s="38">
        <v>4</v>
      </c>
      <c r="E699" t="s">
        <v>169</v>
      </c>
      <c r="F699">
        <v>2302024</v>
      </c>
      <c r="G699" t="s">
        <v>234</v>
      </c>
      <c r="H699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4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hidden="1" x14ac:dyDescent="0.25">
      <c r="A700" s="1">
        <v>46118</v>
      </c>
      <c r="B700" s="1">
        <v>46118</v>
      </c>
      <c r="C700" t="s">
        <v>169</v>
      </c>
      <c r="D700" s="38">
        <v>4</v>
      </c>
      <c r="E700" t="s">
        <v>169</v>
      </c>
      <c r="F700">
        <v>408034</v>
      </c>
      <c r="G700" t="s">
        <v>250</v>
      </c>
      <c r="H700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4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hidden="1" x14ac:dyDescent="0.25">
      <c r="A701" s="1">
        <v>46118</v>
      </c>
      <c r="B701" s="1">
        <v>46118</v>
      </c>
      <c r="C701" t="s">
        <v>169</v>
      </c>
      <c r="D701" s="38">
        <v>4</v>
      </c>
      <c r="E701" t="s">
        <v>169</v>
      </c>
      <c r="F701">
        <v>307033</v>
      </c>
      <c r="G701" t="s">
        <v>248</v>
      </c>
      <c r="H70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4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hidden="1" x14ac:dyDescent="0.25">
      <c r="A702" s="1">
        <v>46118</v>
      </c>
      <c r="B702" s="1">
        <v>46118</v>
      </c>
      <c r="C702" t="s">
        <v>169</v>
      </c>
      <c r="D702" s="38">
        <v>4</v>
      </c>
      <c r="E702" t="s">
        <v>169</v>
      </c>
      <c r="F702">
        <v>704021</v>
      </c>
      <c r="G702" t="s">
        <v>329</v>
      </c>
      <c r="H702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4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hidden="1" x14ac:dyDescent="0.25">
      <c r="A703" s="1">
        <v>46118</v>
      </c>
      <c r="B703" s="1">
        <v>46118</v>
      </c>
      <c r="C703" t="s">
        <v>169</v>
      </c>
      <c r="D703" s="38">
        <v>4</v>
      </c>
      <c r="E703" t="s">
        <v>169</v>
      </c>
      <c r="F703">
        <v>1103076</v>
      </c>
      <c r="G703" t="s">
        <v>311</v>
      </c>
      <c r="H703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4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hidden="1" x14ac:dyDescent="0.25">
      <c r="A704" s="1">
        <v>46118</v>
      </c>
      <c r="B704" s="1">
        <v>46118</v>
      </c>
      <c r="C704" t="s">
        <v>169</v>
      </c>
      <c r="D704" s="38">
        <v>4</v>
      </c>
      <c r="E704" t="s">
        <v>169</v>
      </c>
      <c r="F704">
        <v>1103074</v>
      </c>
      <c r="G704" t="s">
        <v>310</v>
      </c>
      <c r="H704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4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hidden="1" x14ac:dyDescent="0.25">
      <c r="A705" s="1">
        <v>46118</v>
      </c>
      <c r="B705" s="1">
        <v>46118</v>
      </c>
      <c r="C705" t="s">
        <v>169</v>
      </c>
      <c r="D705" s="38">
        <v>4</v>
      </c>
      <c r="E705" t="s">
        <v>169</v>
      </c>
      <c r="F705">
        <v>1801735</v>
      </c>
      <c r="G705" t="s">
        <v>73</v>
      </c>
      <c r="H705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4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hidden="1" x14ac:dyDescent="0.25">
      <c r="A706" s="1">
        <v>46118</v>
      </c>
      <c r="B706" s="1">
        <v>46118</v>
      </c>
      <c r="C706" t="s">
        <v>169</v>
      </c>
      <c r="D706" s="38">
        <v>4</v>
      </c>
      <c r="E706" t="s">
        <v>169</v>
      </c>
      <c r="F706">
        <v>701183</v>
      </c>
      <c r="G706" t="s">
        <v>136</v>
      </c>
      <c r="H706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4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hidden="1" x14ac:dyDescent="0.25">
      <c r="A707" s="1">
        <v>46118</v>
      </c>
      <c r="B707" s="1">
        <v>46118</v>
      </c>
      <c r="C707" t="s">
        <v>169</v>
      </c>
      <c r="D707" s="38">
        <v>4</v>
      </c>
      <c r="E707" t="s">
        <v>169</v>
      </c>
      <c r="F707">
        <v>1701071</v>
      </c>
      <c r="G707" t="s">
        <v>257</v>
      </c>
      <c r="H707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 t="s">
        <v>2017</v>
      </c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4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hidden="1" x14ac:dyDescent="0.25">
      <c r="A708" s="1">
        <v>46118</v>
      </c>
      <c r="B708" s="1">
        <v>46118</v>
      </c>
      <c r="C708" t="s">
        <v>169</v>
      </c>
      <c r="D708" s="38">
        <v>4</v>
      </c>
      <c r="E708" t="s">
        <v>169</v>
      </c>
      <c r="F708">
        <v>1802165</v>
      </c>
      <c r="G708" t="s">
        <v>261</v>
      </c>
      <c r="H708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4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hidden="1" x14ac:dyDescent="0.25">
      <c r="A709" s="1">
        <v>46118</v>
      </c>
      <c r="B709" s="1">
        <v>46118</v>
      </c>
      <c r="C709" t="s">
        <v>169</v>
      </c>
      <c r="D709" s="38">
        <v>4</v>
      </c>
      <c r="E709" t="s">
        <v>169</v>
      </c>
      <c r="F709">
        <v>1206002</v>
      </c>
      <c r="G709" t="s">
        <v>192</v>
      </c>
      <c r="H709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4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hidden="1" x14ac:dyDescent="0.25">
      <c r="A710" s="1">
        <v>46118</v>
      </c>
      <c r="B710" s="1">
        <v>46118</v>
      </c>
      <c r="C710" t="s">
        <v>169</v>
      </c>
      <c r="D710" s="38">
        <v>4</v>
      </c>
      <c r="E710" t="s">
        <v>169</v>
      </c>
      <c r="F710">
        <v>1802171</v>
      </c>
      <c r="G710" t="s">
        <v>265</v>
      </c>
      <c r="H710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4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hidden="1" x14ac:dyDescent="0.25">
      <c r="A711" s="1">
        <v>46118</v>
      </c>
      <c r="B711" s="1">
        <v>46118</v>
      </c>
      <c r="C711" t="s">
        <v>169</v>
      </c>
      <c r="D711" s="38">
        <v>4</v>
      </c>
      <c r="E711" t="s">
        <v>169</v>
      </c>
      <c r="F711">
        <v>1802172</v>
      </c>
      <c r="G711" t="s">
        <v>266</v>
      </c>
      <c r="H71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4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hidden="1" x14ac:dyDescent="0.25">
      <c r="A712" s="1">
        <v>46118</v>
      </c>
      <c r="B712" s="1">
        <v>46118</v>
      </c>
      <c r="C712" t="s">
        <v>169</v>
      </c>
      <c r="D712" s="38">
        <v>4</v>
      </c>
      <c r="E712" t="s">
        <v>169</v>
      </c>
      <c r="F712">
        <v>1802517</v>
      </c>
      <c r="G712" t="s">
        <v>141</v>
      </c>
      <c r="H712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4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hidden="1" x14ac:dyDescent="0.25">
      <c r="A713" s="1">
        <v>46118</v>
      </c>
      <c r="B713" s="1">
        <v>46118</v>
      </c>
      <c r="C713" t="s">
        <v>169</v>
      </c>
      <c r="D713" s="38">
        <v>4</v>
      </c>
      <c r="E713" t="s">
        <v>169</v>
      </c>
      <c r="F713">
        <v>1808003</v>
      </c>
      <c r="G713" t="s">
        <v>195</v>
      </c>
      <c r="H713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4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hidden="1" x14ac:dyDescent="0.25">
      <c r="A714" s="1">
        <v>46118</v>
      </c>
      <c r="B714" s="1">
        <v>46118</v>
      </c>
      <c r="C714" t="s">
        <v>169</v>
      </c>
      <c r="D714" s="38">
        <v>4</v>
      </c>
      <c r="E714" t="s">
        <v>169</v>
      </c>
      <c r="F714">
        <v>1808006</v>
      </c>
      <c r="G714" t="s">
        <v>194</v>
      </c>
      <c r="H714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4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hidden="1" x14ac:dyDescent="0.25">
      <c r="A715" s="1">
        <v>46118</v>
      </c>
      <c r="B715" s="1">
        <v>46118</v>
      </c>
      <c r="C715" t="s">
        <v>169</v>
      </c>
      <c r="D715" s="38">
        <v>4</v>
      </c>
      <c r="E715" t="s">
        <v>169</v>
      </c>
      <c r="F715">
        <v>1808156</v>
      </c>
      <c r="G715" t="s">
        <v>277</v>
      </c>
      <c r="H715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4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hidden="1" x14ac:dyDescent="0.25">
      <c r="A716" s="1">
        <v>46118</v>
      </c>
      <c r="B716" s="1">
        <v>46118</v>
      </c>
      <c r="C716" t="s">
        <v>169</v>
      </c>
      <c r="D716" s="38">
        <v>4</v>
      </c>
      <c r="E716" t="s">
        <v>169</v>
      </c>
      <c r="F716">
        <v>1802169</v>
      </c>
      <c r="G716" t="s">
        <v>263</v>
      </c>
      <c r="H716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4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hidden="1" x14ac:dyDescent="0.25">
      <c r="A717" s="1">
        <v>46118</v>
      </c>
      <c r="B717" s="1">
        <v>46118</v>
      </c>
      <c r="C717" t="s">
        <v>169</v>
      </c>
      <c r="D717" s="38">
        <v>4</v>
      </c>
      <c r="E717" t="s">
        <v>169</v>
      </c>
      <c r="F717">
        <v>1802170</v>
      </c>
      <c r="G717" t="s">
        <v>264</v>
      </c>
      <c r="H717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4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hidden="1" x14ac:dyDescent="0.25">
      <c r="A718" s="1">
        <v>46118</v>
      </c>
      <c r="B718" s="1">
        <v>46118</v>
      </c>
      <c r="C718" t="s">
        <v>169</v>
      </c>
      <c r="D718" s="38">
        <v>4</v>
      </c>
      <c r="E718" t="s">
        <v>169</v>
      </c>
      <c r="F718">
        <v>5316483</v>
      </c>
      <c r="G718" t="s">
        <v>97</v>
      </c>
      <c r="H718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4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hidden="1" x14ac:dyDescent="0.25">
      <c r="A719" s="1">
        <v>46118</v>
      </c>
      <c r="B719" s="1">
        <v>46118</v>
      </c>
      <c r="C719" t="s">
        <v>169</v>
      </c>
      <c r="D719" s="38">
        <v>4</v>
      </c>
      <c r="E719" t="s">
        <v>169</v>
      </c>
      <c r="F719">
        <v>5316484</v>
      </c>
      <c r="G719" t="s">
        <v>96</v>
      </c>
      <c r="H719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4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hidden="1" x14ac:dyDescent="0.25">
      <c r="A720" s="1">
        <v>46118</v>
      </c>
      <c r="B720" s="1">
        <v>46118</v>
      </c>
      <c r="C720" t="s">
        <v>169</v>
      </c>
      <c r="D720" s="38">
        <v>4</v>
      </c>
      <c r="E720" t="s">
        <v>169</v>
      </c>
      <c r="F720">
        <v>1902014</v>
      </c>
      <c r="G720" t="s">
        <v>316</v>
      </c>
      <c r="H720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4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hidden="1" x14ac:dyDescent="0.25">
      <c r="A721" s="1">
        <v>46118</v>
      </c>
      <c r="B721" s="1">
        <v>46118</v>
      </c>
      <c r="C721" t="s">
        <v>169</v>
      </c>
      <c r="D721" s="38">
        <v>4</v>
      </c>
      <c r="E721" t="s">
        <v>169</v>
      </c>
      <c r="F721">
        <v>409011</v>
      </c>
      <c r="G721" t="s">
        <v>251</v>
      </c>
      <c r="H72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 t="s">
        <v>2008</v>
      </c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4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hidden="1" x14ac:dyDescent="0.25">
      <c r="A722" s="1">
        <v>46118</v>
      </c>
      <c r="B722" s="1">
        <v>46118</v>
      </c>
      <c r="C722" t="s">
        <v>169</v>
      </c>
      <c r="D722" s="38">
        <v>4</v>
      </c>
      <c r="E722" t="s">
        <v>169</v>
      </c>
      <c r="F722" t="s">
        <v>345</v>
      </c>
      <c r="G722" t="s">
        <v>167</v>
      </c>
      <c r="H722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4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hidden="1" x14ac:dyDescent="0.25">
      <c r="A723" s="1">
        <v>46119</v>
      </c>
      <c r="B723" s="1">
        <v>46119</v>
      </c>
      <c r="C723" t="s">
        <v>169</v>
      </c>
      <c r="D723" s="38">
        <v>4</v>
      </c>
      <c r="E723" t="s">
        <v>169</v>
      </c>
      <c r="F723">
        <v>407185</v>
      </c>
      <c r="G723" t="s">
        <v>43</v>
      </c>
      <c r="H723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 t="s">
        <v>2017</v>
      </c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4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hidden="1" x14ac:dyDescent="0.25">
      <c r="A724" s="1">
        <v>46119</v>
      </c>
      <c r="B724" s="1">
        <v>46119</v>
      </c>
      <c r="C724" t="s">
        <v>169</v>
      </c>
      <c r="D724" s="38">
        <v>4</v>
      </c>
      <c r="E724" t="s">
        <v>169</v>
      </c>
      <c r="F724">
        <v>407423</v>
      </c>
      <c r="G724" t="s">
        <v>106</v>
      </c>
      <c r="H724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4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hidden="1" x14ac:dyDescent="0.25">
      <c r="A725" s="1">
        <v>46119</v>
      </c>
      <c r="B725" s="1">
        <v>46119</v>
      </c>
      <c r="C725" t="s">
        <v>169</v>
      </c>
      <c r="D725" s="38">
        <v>4</v>
      </c>
      <c r="E725" t="s">
        <v>169</v>
      </c>
      <c r="F725">
        <v>704046</v>
      </c>
      <c r="G725" t="s">
        <v>255</v>
      </c>
      <c r="H725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4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hidden="1" x14ac:dyDescent="0.25">
      <c r="A726" s="1">
        <v>46119</v>
      </c>
      <c r="B726" s="1">
        <v>46119</v>
      </c>
      <c r="C726" t="s">
        <v>169</v>
      </c>
      <c r="D726" s="38">
        <v>4</v>
      </c>
      <c r="E726" t="s">
        <v>169</v>
      </c>
      <c r="F726">
        <v>2302118</v>
      </c>
      <c r="G726" t="s">
        <v>228</v>
      </c>
      <c r="H726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4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hidden="1" x14ac:dyDescent="0.25">
      <c r="A727" s="1">
        <v>46119</v>
      </c>
      <c r="B727" s="1">
        <v>46119</v>
      </c>
      <c r="C727" t="s">
        <v>169</v>
      </c>
      <c r="D727" s="38">
        <v>4</v>
      </c>
      <c r="E727" t="s">
        <v>169</v>
      </c>
      <c r="F727">
        <v>1802167</v>
      </c>
      <c r="G727" t="s">
        <v>262</v>
      </c>
      <c r="H727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4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hidden="1" x14ac:dyDescent="0.25">
      <c r="A728" s="1">
        <v>46119</v>
      </c>
      <c r="B728" s="1">
        <v>46119</v>
      </c>
      <c r="C728" t="s">
        <v>169</v>
      </c>
      <c r="D728" s="38">
        <v>4</v>
      </c>
      <c r="E728" t="s">
        <v>169</v>
      </c>
      <c r="F728" t="s">
        <v>21</v>
      </c>
      <c r="G728" t="s">
        <v>22</v>
      </c>
      <c r="H728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4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hidden="1" x14ac:dyDescent="0.25">
      <c r="A729" s="1">
        <v>46119</v>
      </c>
      <c r="B729" s="1">
        <v>46119</v>
      </c>
      <c r="C729" t="s">
        <v>169</v>
      </c>
      <c r="D729" s="38">
        <v>4</v>
      </c>
      <c r="E729" t="s">
        <v>169</v>
      </c>
      <c r="F729" t="s">
        <v>179</v>
      </c>
      <c r="G729" t="s">
        <v>180</v>
      </c>
      <c r="H729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4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hidden="1" x14ac:dyDescent="0.25">
      <c r="A730" s="1">
        <v>46119</v>
      </c>
      <c r="B730" s="1">
        <v>46119</v>
      </c>
      <c r="C730" t="s">
        <v>169</v>
      </c>
      <c r="D730" s="38">
        <v>4</v>
      </c>
      <c r="E730" t="s">
        <v>169</v>
      </c>
      <c r="F730">
        <v>412313</v>
      </c>
      <c r="G730" t="s">
        <v>253</v>
      </c>
      <c r="H730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4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hidden="1" x14ac:dyDescent="0.25">
      <c r="A731" s="1">
        <v>46119</v>
      </c>
      <c r="B731" s="1">
        <v>46119</v>
      </c>
      <c r="C731" t="s">
        <v>169</v>
      </c>
      <c r="D731" s="38">
        <v>4</v>
      </c>
      <c r="E731" t="s">
        <v>169</v>
      </c>
      <c r="F731">
        <v>404745</v>
      </c>
      <c r="G731" t="s">
        <v>442</v>
      </c>
      <c r="H73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4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hidden="1" x14ac:dyDescent="0.25">
      <c r="A732" s="1">
        <v>46119</v>
      </c>
      <c r="B732" s="1">
        <v>46119</v>
      </c>
      <c r="C732" t="s">
        <v>169</v>
      </c>
      <c r="D732" s="38">
        <v>4</v>
      </c>
      <c r="E732" t="s">
        <v>169</v>
      </c>
      <c r="F732">
        <v>1801229</v>
      </c>
      <c r="G732" t="s">
        <v>259</v>
      </c>
      <c r="H732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4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hidden="1" x14ac:dyDescent="0.25">
      <c r="A733" s="1">
        <v>46119</v>
      </c>
      <c r="B733" s="1">
        <v>46119</v>
      </c>
      <c r="C733" t="s">
        <v>169</v>
      </c>
      <c r="D733" s="38">
        <v>4</v>
      </c>
      <c r="E733" t="s">
        <v>169</v>
      </c>
      <c r="F733">
        <v>1902003</v>
      </c>
      <c r="G733" t="s">
        <v>155</v>
      </c>
      <c r="H733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4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hidden="1" x14ac:dyDescent="0.25">
      <c r="A734" s="1">
        <v>46119</v>
      </c>
      <c r="B734" s="1">
        <v>46119</v>
      </c>
      <c r="C734" t="s">
        <v>169</v>
      </c>
      <c r="D734" s="38">
        <v>4</v>
      </c>
      <c r="E734" t="s">
        <v>169</v>
      </c>
      <c r="F734">
        <v>304101</v>
      </c>
      <c r="G734" t="s">
        <v>17</v>
      </c>
      <c r="H734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4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hidden="1" x14ac:dyDescent="0.25">
      <c r="A735" s="1">
        <v>46119</v>
      </c>
      <c r="B735" s="1">
        <v>46119</v>
      </c>
      <c r="C735" t="s">
        <v>169</v>
      </c>
      <c r="D735" s="38">
        <v>4</v>
      </c>
      <c r="E735" t="s">
        <v>169</v>
      </c>
      <c r="F735">
        <v>304049</v>
      </c>
      <c r="G735" t="s">
        <v>318</v>
      </c>
      <c r="H735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4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hidden="1" x14ac:dyDescent="0.25">
      <c r="A736" s="1">
        <v>46119</v>
      </c>
      <c r="B736" s="1">
        <v>46119</v>
      </c>
      <c r="C736" t="s">
        <v>169</v>
      </c>
      <c r="D736" s="38">
        <v>4</v>
      </c>
      <c r="E736" t="s">
        <v>169</v>
      </c>
      <c r="F736">
        <v>2302098</v>
      </c>
      <c r="G736" t="s">
        <v>24</v>
      </c>
      <c r="H736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 t="s">
        <v>2008</v>
      </c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4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hidden="1" x14ac:dyDescent="0.25">
      <c r="A737" s="1">
        <v>46119</v>
      </c>
      <c r="B737" s="1">
        <v>46119</v>
      </c>
      <c r="C737" t="s">
        <v>169</v>
      </c>
      <c r="D737" s="38">
        <v>4</v>
      </c>
      <c r="E737" t="s">
        <v>169</v>
      </c>
      <c r="F737">
        <v>617016</v>
      </c>
      <c r="G737" t="s">
        <v>133</v>
      </c>
      <c r="H737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4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hidden="1" x14ac:dyDescent="0.25">
      <c r="A738" s="1">
        <v>46119</v>
      </c>
      <c r="B738" s="1">
        <v>46119</v>
      </c>
      <c r="C738" t="s">
        <v>169</v>
      </c>
      <c r="D738" s="38">
        <v>4</v>
      </c>
      <c r="E738" t="s">
        <v>169</v>
      </c>
      <c r="F738">
        <v>617057</v>
      </c>
      <c r="G738" t="s">
        <v>134</v>
      </c>
      <c r="H738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4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hidden="1" x14ac:dyDescent="0.25">
      <c r="A739" s="1">
        <v>46119</v>
      </c>
      <c r="B739" s="1">
        <v>46119</v>
      </c>
      <c r="C739" t="s">
        <v>169</v>
      </c>
      <c r="D739" s="38">
        <v>4</v>
      </c>
      <c r="E739" t="s">
        <v>169</v>
      </c>
      <c r="F739">
        <v>617055</v>
      </c>
      <c r="G739" t="s">
        <v>182</v>
      </c>
      <c r="H739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4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hidden="1" x14ac:dyDescent="0.25">
      <c r="A740" s="1">
        <v>46119</v>
      </c>
      <c r="B740" s="1">
        <v>46119</v>
      </c>
      <c r="C740" t="s">
        <v>169</v>
      </c>
      <c r="D740" s="38">
        <v>4</v>
      </c>
      <c r="E740" t="s">
        <v>169</v>
      </c>
      <c r="F740">
        <v>407185</v>
      </c>
      <c r="G740" t="s">
        <v>43</v>
      </c>
      <c r="H740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4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hidden="1" x14ac:dyDescent="0.25">
      <c r="A741" s="1">
        <v>46119</v>
      </c>
      <c r="B741" s="1">
        <v>46119</v>
      </c>
      <c r="C741" t="s">
        <v>169</v>
      </c>
      <c r="D741" s="38">
        <v>4</v>
      </c>
      <c r="E741" t="s">
        <v>169</v>
      </c>
      <c r="F741">
        <v>404252</v>
      </c>
      <c r="G741" t="s">
        <v>181</v>
      </c>
      <c r="H74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4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hidden="1" x14ac:dyDescent="0.25">
      <c r="A742" s="1">
        <v>46119</v>
      </c>
      <c r="B742" s="1">
        <v>46119</v>
      </c>
      <c r="C742" t="s">
        <v>169</v>
      </c>
      <c r="D742" s="38">
        <v>4</v>
      </c>
      <c r="E742" t="s">
        <v>169</v>
      </c>
      <c r="F742">
        <v>2304053</v>
      </c>
      <c r="G742" t="s">
        <v>213</v>
      </c>
      <c r="H742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4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hidden="1" x14ac:dyDescent="0.25">
      <c r="A743" s="1">
        <v>46119</v>
      </c>
      <c r="B743" s="1">
        <v>46119</v>
      </c>
      <c r="C743" t="s">
        <v>169</v>
      </c>
      <c r="D743" s="38">
        <v>4</v>
      </c>
      <c r="E743" t="s">
        <v>169</v>
      </c>
      <c r="F743">
        <v>2302119</v>
      </c>
      <c r="G743" t="s">
        <v>74</v>
      </c>
      <c r="H743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4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hidden="1" x14ac:dyDescent="0.25">
      <c r="A744" s="1">
        <v>46119</v>
      </c>
      <c r="B744" s="1">
        <v>46119</v>
      </c>
      <c r="C744" t="s">
        <v>169</v>
      </c>
      <c r="D744" s="38">
        <v>4</v>
      </c>
      <c r="E744" t="s">
        <v>169</v>
      </c>
      <c r="F744">
        <v>307096</v>
      </c>
      <c r="G744" t="s">
        <v>249</v>
      </c>
      <c r="H744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4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hidden="1" x14ac:dyDescent="0.25">
      <c r="A745" s="1">
        <v>46119</v>
      </c>
      <c r="B745" s="1">
        <v>46119</v>
      </c>
      <c r="C745" t="s">
        <v>169</v>
      </c>
      <c r="D745" s="38">
        <v>4</v>
      </c>
      <c r="E745" t="s">
        <v>169</v>
      </c>
      <c r="F745">
        <v>304002</v>
      </c>
      <c r="G745" t="s">
        <v>37</v>
      </c>
      <c r="H745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 t="s">
        <v>2020</v>
      </c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4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hidden="1" x14ac:dyDescent="0.25">
      <c r="A746" s="1">
        <v>46120</v>
      </c>
      <c r="B746" s="1">
        <v>46120</v>
      </c>
      <c r="C746" t="s">
        <v>169</v>
      </c>
      <c r="D746" s="38">
        <v>4</v>
      </c>
      <c r="E746" t="s">
        <v>169</v>
      </c>
      <c r="F746">
        <v>1808147</v>
      </c>
      <c r="G746" t="s">
        <v>275</v>
      </c>
      <c r="H746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 t="s">
        <v>2013</v>
      </c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4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hidden="1" x14ac:dyDescent="0.25">
      <c r="A747" s="1">
        <v>46120</v>
      </c>
      <c r="B747" s="1">
        <v>46120</v>
      </c>
      <c r="C747" t="s">
        <v>169</v>
      </c>
      <c r="D747" s="38">
        <v>4</v>
      </c>
      <c r="E747" t="s">
        <v>169</v>
      </c>
      <c r="F747">
        <v>407423</v>
      </c>
      <c r="G747" t="s">
        <v>106</v>
      </c>
      <c r="H747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4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hidden="1" x14ac:dyDescent="0.25">
      <c r="A748" s="1">
        <v>46120</v>
      </c>
      <c r="B748" s="1">
        <v>46120</v>
      </c>
      <c r="C748" t="s">
        <v>169</v>
      </c>
      <c r="D748" s="38">
        <v>4</v>
      </c>
      <c r="E748" t="s">
        <v>169</v>
      </c>
      <c r="F748">
        <v>408042</v>
      </c>
      <c r="G748" t="s">
        <v>144</v>
      </c>
      <c r="H748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 t="s">
        <v>2008</v>
      </c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4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hidden="1" x14ac:dyDescent="0.25">
      <c r="A749" s="1">
        <v>46120</v>
      </c>
      <c r="B749" s="1">
        <v>46120</v>
      </c>
      <c r="C749" t="s">
        <v>169</v>
      </c>
      <c r="D749" s="38">
        <v>4</v>
      </c>
      <c r="E749" t="s">
        <v>169</v>
      </c>
      <c r="F749">
        <v>106022</v>
      </c>
      <c r="G749" t="s">
        <v>245</v>
      </c>
      <c r="H749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4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hidden="1" x14ac:dyDescent="0.25">
      <c r="A750" s="1">
        <v>46120</v>
      </c>
      <c r="B750" s="1">
        <v>46120</v>
      </c>
      <c r="C750" t="s">
        <v>169</v>
      </c>
      <c r="D750" s="38">
        <v>4</v>
      </c>
      <c r="E750" t="s">
        <v>169</v>
      </c>
      <c r="F750">
        <v>2304053</v>
      </c>
      <c r="G750" t="s">
        <v>213</v>
      </c>
      <c r="H750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4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hidden="1" x14ac:dyDescent="0.25">
      <c r="A751" s="1">
        <v>46120</v>
      </c>
      <c r="B751" s="1">
        <v>46120</v>
      </c>
      <c r="C751" t="s">
        <v>169</v>
      </c>
      <c r="D751" s="38">
        <v>4</v>
      </c>
      <c r="E751" t="s">
        <v>169</v>
      </c>
      <c r="F751">
        <v>1902003</v>
      </c>
      <c r="G751" t="s">
        <v>155</v>
      </c>
      <c r="H75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4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hidden="1" x14ac:dyDescent="0.25">
      <c r="A752" s="1">
        <v>46120</v>
      </c>
      <c r="B752" s="1">
        <v>46120</v>
      </c>
      <c r="C752" t="s">
        <v>169</v>
      </c>
      <c r="D752" s="38">
        <v>4</v>
      </c>
      <c r="E752" t="s">
        <v>169</v>
      </c>
      <c r="F752">
        <v>307031</v>
      </c>
      <c r="G752" t="s">
        <v>65</v>
      </c>
      <c r="H752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4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hidden="1" x14ac:dyDescent="0.25">
      <c r="A753" s="1">
        <v>46120</v>
      </c>
      <c r="B753" s="1">
        <v>46120</v>
      </c>
      <c r="C753" t="s">
        <v>169</v>
      </c>
      <c r="D753" s="38">
        <v>4</v>
      </c>
      <c r="E753" t="s">
        <v>169</v>
      </c>
      <c r="F753">
        <v>704022</v>
      </c>
      <c r="G753" t="s">
        <v>330</v>
      </c>
      <c r="H753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4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hidden="1" x14ac:dyDescent="0.25">
      <c r="A754" s="1">
        <v>46120</v>
      </c>
      <c r="B754" s="1">
        <v>46120</v>
      </c>
      <c r="C754" t="s">
        <v>169</v>
      </c>
      <c r="D754" s="38">
        <v>4</v>
      </c>
      <c r="E754" t="s">
        <v>169</v>
      </c>
      <c r="F754">
        <v>704024</v>
      </c>
      <c r="G754" t="s">
        <v>332</v>
      </c>
      <c r="H754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4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hidden="1" x14ac:dyDescent="0.25">
      <c r="A755" s="1">
        <v>46120</v>
      </c>
      <c r="B755" s="1">
        <v>46120</v>
      </c>
      <c r="C755" t="s">
        <v>169</v>
      </c>
      <c r="D755" s="38">
        <v>4</v>
      </c>
      <c r="E755" t="s">
        <v>169</v>
      </c>
      <c r="F755">
        <v>601047</v>
      </c>
      <c r="G755" t="s">
        <v>129</v>
      </c>
      <c r="H755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4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hidden="1" x14ac:dyDescent="0.25">
      <c r="A756" s="1">
        <v>46120</v>
      </c>
      <c r="B756" s="1">
        <v>46120</v>
      </c>
      <c r="C756" t="s">
        <v>169</v>
      </c>
      <c r="D756" s="38">
        <v>4</v>
      </c>
      <c r="E756" t="s">
        <v>169</v>
      </c>
      <c r="F756">
        <v>304002</v>
      </c>
      <c r="G756" t="s">
        <v>37</v>
      </c>
      <c r="H756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 t="s">
        <v>2020</v>
      </c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4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hidden="1" x14ac:dyDescent="0.25">
      <c r="A757" s="1">
        <v>46121</v>
      </c>
      <c r="B757" s="1">
        <v>46121</v>
      </c>
      <c r="C757" t="s">
        <v>169</v>
      </c>
      <c r="D757" s="38">
        <v>4</v>
      </c>
      <c r="E757" t="s">
        <v>169</v>
      </c>
      <c r="F757">
        <v>1902014</v>
      </c>
      <c r="G757" t="s">
        <v>316</v>
      </c>
      <c r="H757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 t="s">
        <v>2017</v>
      </c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4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hidden="1" x14ac:dyDescent="0.25">
      <c r="A758" s="1">
        <v>46121</v>
      </c>
      <c r="B758" s="1">
        <v>46121</v>
      </c>
      <c r="C758" t="s">
        <v>169</v>
      </c>
      <c r="D758" s="38">
        <v>4</v>
      </c>
      <c r="E758" t="s">
        <v>169</v>
      </c>
      <c r="F758">
        <v>408017</v>
      </c>
      <c r="G758" t="s">
        <v>443</v>
      </c>
      <c r="H758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4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hidden="1" x14ac:dyDescent="0.25">
      <c r="A759" s="1">
        <v>46121</v>
      </c>
      <c r="B759" s="1">
        <v>46121</v>
      </c>
      <c r="C759" t="s">
        <v>169</v>
      </c>
      <c r="D759" s="38">
        <v>4</v>
      </c>
      <c r="E759" t="s">
        <v>169</v>
      </c>
      <c r="F759">
        <v>701043</v>
      </c>
      <c r="G759" t="s">
        <v>197</v>
      </c>
      <c r="H759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4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hidden="1" x14ac:dyDescent="0.25">
      <c r="A760" s="1">
        <v>46121</v>
      </c>
      <c r="B760" s="1">
        <v>46121</v>
      </c>
      <c r="C760" t="s">
        <v>169</v>
      </c>
      <c r="D760" s="38">
        <v>4</v>
      </c>
      <c r="E760" t="s">
        <v>169</v>
      </c>
      <c r="F760">
        <v>408042</v>
      </c>
      <c r="G760" t="s">
        <v>144</v>
      </c>
      <c r="H760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4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hidden="1" x14ac:dyDescent="0.25">
      <c r="A761" s="1">
        <v>46121</v>
      </c>
      <c r="B761" s="1">
        <v>46121</v>
      </c>
      <c r="C761" t="s">
        <v>169</v>
      </c>
      <c r="D761" s="38">
        <v>4</v>
      </c>
      <c r="E761" t="s">
        <v>169</v>
      </c>
      <c r="F761">
        <v>1610023</v>
      </c>
      <c r="G761" t="s">
        <v>351</v>
      </c>
      <c r="H76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 t="s">
        <v>2017</v>
      </c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4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hidden="1" x14ac:dyDescent="0.25">
      <c r="A762" s="1">
        <v>46121</v>
      </c>
      <c r="B762" s="1">
        <v>46121</v>
      </c>
      <c r="C762" t="s">
        <v>169</v>
      </c>
      <c r="D762" s="38">
        <v>4</v>
      </c>
      <c r="E762" t="s">
        <v>169</v>
      </c>
      <c r="F762">
        <v>1610007</v>
      </c>
      <c r="G762" t="s">
        <v>334</v>
      </c>
      <c r="H762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4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hidden="1" x14ac:dyDescent="0.25">
      <c r="A763" s="1">
        <v>46121</v>
      </c>
      <c r="B763" s="1">
        <v>46121</v>
      </c>
      <c r="C763" t="s">
        <v>169</v>
      </c>
      <c r="D763" s="38">
        <v>4</v>
      </c>
      <c r="E763" t="s">
        <v>169</v>
      </c>
      <c r="F763">
        <v>302249</v>
      </c>
      <c r="G763" t="s">
        <v>178</v>
      </c>
      <c r="H763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4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hidden="1" x14ac:dyDescent="0.25">
      <c r="A764" s="1">
        <v>46121</v>
      </c>
      <c r="B764" s="1">
        <v>46121</v>
      </c>
      <c r="C764" t="s">
        <v>169</v>
      </c>
      <c r="D764" s="38">
        <v>4</v>
      </c>
      <c r="E764" t="s">
        <v>169</v>
      </c>
      <c r="F764">
        <v>412313</v>
      </c>
      <c r="G764" t="s">
        <v>253</v>
      </c>
      <c r="H764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4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hidden="1" x14ac:dyDescent="0.25">
      <c r="A765" s="1">
        <v>46121</v>
      </c>
      <c r="B765" s="1">
        <v>46121</v>
      </c>
      <c r="C765" t="s">
        <v>169</v>
      </c>
      <c r="D765" s="38">
        <v>4</v>
      </c>
      <c r="E765" t="s">
        <v>169</v>
      </c>
      <c r="F765">
        <v>407185</v>
      </c>
      <c r="G765" t="s">
        <v>43</v>
      </c>
      <c r="H765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4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hidden="1" x14ac:dyDescent="0.25">
      <c r="A766" s="1">
        <v>46121</v>
      </c>
      <c r="B766" s="1">
        <v>46121</v>
      </c>
      <c r="C766" t="s">
        <v>169</v>
      </c>
      <c r="D766" s="38">
        <v>4</v>
      </c>
      <c r="E766" t="s">
        <v>169</v>
      </c>
      <c r="F766">
        <v>407423</v>
      </c>
      <c r="G766" t="s">
        <v>106</v>
      </c>
      <c r="H766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4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hidden="1" x14ac:dyDescent="0.25">
      <c r="A767" s="1">
        <v>46121</v>
      </c>
      <c r="B767" s="1">
        <v>46121</v>
      </c>
      <c r="C767" t="s">
        <v>169</v>
      </c>
      <c r="D767" s="38">
        <v>4</v>
      </c>
      <c r="E767" t="s">
        <v>169</v>
      </c>
      <c r="F767">
        <v>1901086</v>
      </c>
      <c r="G767" t="s">
        <v>279</v>
      </c>
      <c r="H767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4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hidden="1" x14ac:dyDescent="0.25">
      <c r="A768" s="1">
        <v>46121</v>
      </c>
      <c r="B768" s="1">
        <v>46121</v>
      </c>
      <c r="C768" t="s">
        <v>169</v>
      </c>
      <c r="D768" s="38">
        <v>4</v>
      </c>
      <c r="E768" t="s">
        <v>169</v>
      </c>
      <c r="F768">
        <v>1901038</v>
      </c>
      <c r="G768" t="s">
        <v>39</v>
      </c>
      <c r="H768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4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hidden="1" x14ac:dyDescent="0.25">
      <c r="A769" s="1">
        <v>46121</v>
      </c>
      <c r="B769" s="1">
        <v>46121</v>
      </c>
      <c r="C769" t="s">
        <v>169</v>
      </c>
      <c r="D769" s="38">
        <v>4</v>
      </c>
      <c r="E769" t="s">
        <v>169</v>
      </c>
      <c r="F769">
        <v>1901008</v>
      </c>
      <c r="G769" t="s">
        <v>278</v>
      </c>
      <c r="H769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4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hidden="1" x14ac:dyDescent="0.25">
      <c r="A770" s="1">
        <v>46121</v>
      </c>
      <c r="B770" s="1">
        <v>46121</v>
      </c>
      <c r="C770" t="s">
        <v>169</v>
      </c>
      <c r="D770" s="38">
        <v>4</v>
      </c>
      <c r="E770" t="s">
        <v>169</v>
      </c>
      <c r="F770">
        <v>602258</v>
      </c>
      <c r="G770" t="s">
        <v>495</v>
      </c>
      <c r="H770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4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hidden="1" x14ac:dyDescent="0.25">
      <c r="A771" s="1">
        <v>46121</v>
      </c>
      <c r="B771" s="1">
        <v>46121</v>
      </c>
      <c r="C771" t="s">
        <v>169</v>
      </c>
      <c r="D771" s="38">
        <v>4</v>
      </c>
      <c r="E771" t="s">
        <v>169</v>
      </c>
      <c r="F771">
        <v>602257</v>
      </c>
      <c r="G771" t="s">
        <v>494</v>
      </c>
      <c r="H77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4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hidden="1" x14ac:dyDescent="0.25">
      <c r="A772" s="1">
        <v>46121</v>
      </c>
      <c r="B772" s="1">
        <v>46121</v>
      </c>
      <c r="C772" t="s">
        <v>169</v>
      </c>
      <c r="D772" s="38">
        <v>4</v>
      </c>
      <c r="E772" t="s">
        <v>169</v>
      </c>
      <c r="F772">
        <v>602256</v>
      </c>
      <c r="G772" t="s">
        <v>493</v>
      </c>
      <c r="H772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4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hidden="1" x14ac:dyDescent="0.25">
      <c r="A773" s="1">
        <v>46121</v>
      </c>
      <c r="B773" s="1">
        <v>46121</v>
      </c>
      <c r="C773" t="s">
        <v>169</v>
      </c>
      <c r="D773" s="38">
        <v>4</v>
      </c>
      <c r="E773" t="s">
        <v>169</v>
      </c>
      <c r="F773">
        <v>302054</v>
      </c>
      <c r="G773" t="s">
        <v>356</v>
      </c>
      <c r="H773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4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hidden="1" x14ac:dyDescent="0.25">
      <c r="A774" s="1">
        <v>46121</v>
      </c>
      <c r="B774" s="1">
        <v>46121</v>
      </c>
      <c r="C774" t="s">
        <v>169</v>
      </c>
      <c r="D774" s="38">
        <v>4</v>
      </c>
      <c r="E774" t="s">
        <v>169</v>
      </c>
      <c r="F774">
        <v>302028</v>
      </c>
      <c r="G774" t="s">
        <v>246</v>
      </c>
      <c r="H774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4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hidden="1" x14ac:dyDescent="0.25">
      <c r="A775" s="1">
        <v>46121</v>
      </c>
      <c r="B775" s="1">
        <v>46121</v>
      </c>
      <c r="C775" t="s">
        <v>169</v>
      </c>
      <c r="D775" s="38">
        <v>4</v>
      </c>
      <c r="E775" t="s">
        <v>169</v>
      </c>
      <c r="F775">
        <v>302048</v>
      </c>
      <c r="G775" t="s">
        <v>126</v>
      </c>
      <c r="H775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4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hidden="1" x14ac:dyDescent="0.25">
      <c r="A776" s="1">
        <v>46121</v>
      </c>
      <c r="B776" s="1">
        <v>46121</v>
      </c>
      <c r="C776" t="s">
        <v>169</v>
      </c>
      <c r="D776" s="38">
        <v>4</v>
      </c>
      <c r="E776" t="s">
        <v>169</v>
      </c>
      <c r="F776" t="s">
        <v>21</v>
      </c>
      <c r="G776" t="s">
        <v>22</v>
      </c>
      <c r="H776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4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hidden="1" x14ac:dyDescent="0.25">
      <c r="A777" s="1">
        <v>46121</v>
      </c>
      <c r="B777" s="1">
        <v>46121</v>
      </c>
      <c r="C777" t="s">
        <v>169</v>
      </c>
      <c r="D777" s="38">
        <v>4</v>
      </c>
      <c r="E777" t="s">
        <v>169</v>
      </c>
      <c r="F777">
        <v>1103105</v>
      </c>
      <c r="G777" t="s">
        <v>555</v>
      </c>
      <c r="H777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 t="s">
        <v>2022</v>
      </c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4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hidden="1" x14ac:dyDescent="0.25">
      <c r="A778" s="1">
        <v>46121</v>
      </c>
      <c r="B778" s="1">
        <v>46121</v>
      </c>
      <c r="C778" t="s">
        <v>169</v>
      </c>
      <c r="D778" s="38">
        <v>4</v>
      </c>
      <c r="E778" t="s">
        <v>169</v>
      </c>
      <c r="F778">
        <v>1103107</v>
      </c>
      <c r="G778" t="s">
        <v>556</v>
      </c>
      <c r="H778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4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hidden="1" x14ac:dyDescent="0.25">
      <c r="A779" s="1">
        <v>46121</v>
      </c>
      <c r="B779" s="1">
        <v>46121</v>
      </c>
      <c r="C779" t="s">
        <v>169</v>
      </c>
      <c r="D779" s="38">
        <v>4</v>
      </c>
      <c r="E779" t="s">
        <v>169</v>
      </c>
      <c r="F779">
        <v>1103086</v>
      </c>
      <c r="G779" t="s">
        <v>557</v>
      </c>
      <c r="H779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 t="s">
        <v>2022</v>
      </c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4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hidden="1" x14ac:dyDescent="0.25">
      <c r="A780" s="1">
        <v>46121</v>
      </c>
      <c r="B780" s="1">
        <v>46121</v>
      </c>
      <c r="C780" t="s">
        <v>169</v>
      </c>
      <c r="D780" s="38">
        <v>4</v>
      </c>
      <c r="E780" t="s">
        <v>169</v>
      </c>
      <c r="F780">
        <v>1103087</v>
      </c>
      <c r="G780" t="s">
        <v>558</v>
      </c>
      <c r="H780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4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hidden="1" x14ac:dyDescent="0.25">
      <c r="A781" s="1">
        <v>46122</v>
      </c>
      <c r="B781" s="1">
        <v>46122</v>
      </c>
      <c r="C781" t="s">
        <v>169</v>
      </c>
      <c r="D781" s="38">
        <v>4</v>
      </c>
      <c r="E781" t="s">
        <v>169</v>
      </c>
      <c r="F781">
        <v>2304008</v>
      </c>
      <c r="G781" t="s">
        <v>704</v>
      </c>
      <c r="H7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 t="s">
        <v>2008</v>
      </c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4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hidden="1" x14ac:dyDescent="0.25">
      <c r="A782" s="1">
        <v>46122</v>
      </c>
      <c r="B782" s="1">
        <v>46122</v>
      </c>
      <c r="C782" t="s">
        <v>169</v>
      </c>
      <c r="D782" s="38">
        <v>4</v>
      </c>
      <c r="E782" t="s">
        <v>169</v>
      </c>
      <c r="F782">
        <v>304002</v>
      </c>
      <c r="G782" t="s">
        <v>37</v>
      </c>
      <c r="H782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4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hidden="1" x14ac:dyDescent="0.25">
      <c r="A783" s="1">
        <v>46122</v>
      </c>
      <c r="B783" s="1">
        <v>46122</v>
      </c>
      <c r="C783" t="s">
        <v>169</v>
      </c>
      <c r="D783" s="38">
        <v>4</v>
      </c>
      <c r="E783" t="s">
        <v>169</v>
      </c>
      <c r="F783">
        <v>407185</v>
      </c>
      <c r="G783" t="s">
        <v>43</v>
      </c>
      <c r="H783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4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hidden="1" x14ac:dyDescent="0.25">
      <c r="A784" s="1">
        <v>46122</v>
      </c>
      <c r="B784" s="1">
        <v>46122</v>
      </c>
      <c r="C784" t="s">
        <v>169</v>
      </c>
      <c r="D784" s="38">
        <v>4</v>
      </c>
      <c r="E784" t="s">
        <v>169</v>
      </c>
      <c r="F784">
        <v>907031</v>
      </c>
      <c r="G784" t="s">
        <v>256</v>
      </c>
      <c r="H784" t="s">
        <v>743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4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hidden="1" x14ac:dyDescent="0.25">
      <c r="A785" s="1">
        <v>46122</v>
      </c>
      <c r="B785" s="1">
        <v>46122</v>
      </c>
      <c r="C785" t="s">
        <v>169</v>
      </c>
      <c r="D785" s="38">
        <v>4</v>
      </c>
      <c r="E785" t="s">
        <v>169</v>
      </c>
      <c r="F785">
        <v>2304002</v>
      </c>
      <c r="G785" t="s">
        <v>212</v>
      </c>
      <c r="H785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4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hidden="1" x14ac:dyDescent="0.25">
      <c r="A786" s="1">
        <v>46122</v>
      </c>
      <c r="B786" s="1">
        <v>46122</v>
      </c>
      <c r="C786" t="s">
        <v>169</v>
      </c>
      <c r="D786" s="38">
        <v>4</v>
      </c>
      <c r="E786" t="s">
        <v>169</v>
      </c>
      <c r="F786" t="s">
        <v>559</v>
      </c>
      <c r="G786" t="s">
        <v>705</v>
      </c>
      <c r="H786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4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hidden="1" x14ac:dyDescent="0.25">
      <c r="A787" s="1">
        <v>46122</v>
      </c>
      <c r="B787" s="1">
        <v>46122</v>
      </c>
      <c r="C787" t="s">
        <v>169</v>
      </c>
      <c r="D787" s="38">
        <v>4</v>
      </c>
      <c r="E787" t="s">
        <v>169</v>
      </c>
      <c r="F787">
        <v>408042</v>
      </c>
      <c r="G787" t="s">
        <v>144</v>
      </c>
      <c r="H787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 t="s">
        <v>2017</v>
      </c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4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hidden="1" x14ac:dyDescent="0.25">
      <c r="A788" s="1">
        <v>46122</v>
      </c>
      <c r="B788" s="1">
        <v>46122</v>
      </c>
      <c r="C788" t="s">
        <v>169</v>
      </c>
      <c r="D788" s="38">
        <v>4</v>
      </c>
      <c r="E788" t="s">
        <v>169</v>
      </c>
      <c r="F788">
        <v>407011</v>
      </c>
      <c r="G788" t="s">
        <v>30</v>
      </c>
      <c r="H788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4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hidden="1" x14ac:dyDescent="0.25">
      <c r="A789" s="1">
        <v>46122</v>
      </c>
      <c r="B789" s="1">
        <v>46122</v>
      </c>
      <c r="C789" t="s">
        <v>169</v>
      </c>
      <c r="D789" s="38">
        <v>4</v>
      </c>
      <c r="E789" t="s">
        <v>169</v>
      </c>
      <c r="F789">
        <v>304101</v>
      </c>
      <c r="G789" t="s">
        <v>17</v>
      </c>
      <c r="H789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4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hidden="1" x14ac:dyDescent="0.25">
      <c r="A790" s="1">
        <v>46122</v>
      </c>
      <c r="B790" s="1">
        <v>46122</v>
      </c>
      <c r="C790" t="s">
        <v>169</v>
      </c>
      <c r="D790" s="38">
        <v>4</v>
      </c>
      <c r="E790" t="s">
        <v>169</v>
      </c>
      <c r="F790">
        <v>304049</v>
      </c>
      <c r="G790" t="s">
        <v>318</v>
      </c>
      <c r="H790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4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hidden="1" x14ac:dyDescent="0.25">
      <c r="A791" s="1">
        <v>46122</v>
      </c>
      <c r="B791" s="1">
        <v>46122</v>
      </c>
      <c r="C791" t="s">
        <v>169</v>
      </c>
      <c r="D791" s="38">
        <v>4</v>
      </c>
      <c r="E791" t="s">
        <v>169</v>
      </c>
      <c r="F791">
        <v>1405006</v>
      </c>
      <c r="G791" t="s">
        <v>199</v>
      </c>
      <c r="H79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4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hidden="1" x14ac:dyDescent="0.25">
      <c r="A792" s="1">
        <v>46122</v>
      </c>
      <c r="B792" s="1">
        <v>46122</v>
      </c>
      <c r="C792" t="s">
        <v>169</v>
      </c>
      <c r="D792" s="38">
        <v>4</v>
      </c>
      <c r="E792" t="s">
        <v>169</v>
      </c>
      <c r="F792">
        <v>2302118</v>
      </c>
      <c r="G792" t="s">
        <v>228</v>
      </c>
      <c r="H792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4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hidden="1" x14ac:dyDescent="0.25">
      <c r="A793" s="1">
        <v>46122</v>
      </c>
      <c r="B793" s="1">
        <v>46122</v>
      </c>
      <c r="C793" t="s">
        <v>169</v>
      </c>
      <c r="D793" s="38">
        <v>4</v>
      </c>
      <c r="E793" t="s">
        <v>169</v>
      </c>
      <c r="F793">
        <v>1901229</v>
      </c>
      <c r="G793" t="s">
        <v>125</v>
      </c>
      <c r="H793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4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hidden="1" x14ac:dyDescent="0.25">
      <c r="A794" s="1">
        <v>46122</v>
      </c>
      <c r="B794" s="1">
        <v>46122</v>
      </c>
      <c r="C794" t="s">
        <v>169</v>
      </c>
      <c r="D794" s="38">
        <v>4</v>
      </c>
      <c r="E794" t="s">
        <v>169</v>
      </c>
      <c r="F794">
        <v>2302119</v>
      </c>
      <c r="G794" t="s">
        <v>74</v>
      </c>
      <c r="H794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4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hidden="1" x14ac:dyDescent="0.25">
      <c r="A795" s="1">
        <v>46122</v>
      </c>
      <c r="B795" s="1">
        <v>46122</v>
      </c>
      <c r="C795" t="s">
        <v>169</v>
      </c>
      <c r="D795" s="38">
        <v>4</v>
      </c>
      <c r="E795" t="s">
        <v>169</v>
      </c>
      <c r="F795">
        <v>307031</v>
      </c>
      <c r="G795" t="s">
        <v>65</v>
      </c>
      <c r="H795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 t="s">
        <v>2008</v>
      </c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4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hidden="1" x14ac:dyDescent="0.25">
      <c r="A796" s="1">
        <v>46122</v>
      </c>
      <c r="B796" s="1">
        <v>46122</v>
      </c>
      <c r="C796" t="s">
        <v>169</v>
      </c>
      <c r="D796" s="38">
        <v>4</v>
      </c>
      <c r="E796" t="s">
        <v>169</v>
      </c>
      <c r="F796">
        <v>704024</v>
      </c>
      <c r="G796" t="s">
        <v>332</v>
      </c>
      <c r="H796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4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hidden="1" x14ac:dyDescent="0.25">
      <c r="A797" s="1">
        <v>46122</v>
      </c>
      <c r="B797" s="1">
        <v>46122</v>
      </c>
      <c r="C797" t="s">
        <v>169</v>
      </c>
      <c r="D797" s="38">
        <v>4</v>
      </c>
      <c r="E797" t="s">
        <v>169</v>
      </c>
      <c r="F797">
        <v>704022</v>
      </c>
      <c r="G797" t="s">
        <v>330</v>
      </c>
      <c r="H797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4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hidden="1" x14ac:dyDescent="0.25">
      <c r="A798" s="1">
        <v>46122</v>
      </c>
      <c r="B798" s="1">
        <v>46122</v>
      </c>
      <c r="C798" t="s">
        <v>169</v>
      </c>
      <c r="D798" s="38">
        <v>4</v>
      </c>
      <c r="E798" t="s">
        <v>169</v>
      </c>
      <c r="F798">
        <v>407185</v>
      </c>
      <c r="G798" t="s">
        <v>43</v>
      </c>
      <c r="H798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4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hidden="1" x14ac:dyDescent="0.25">
      <c r="A799" s="1">
        <v>46122</v>
      </c>
      <c r="B799" s="1">
        <v>46122</v>
      </c>
      <c r="C799" t="s">
        <v>169</v>
      </c>
      <c r="D799" s="38">
        <v>4</v>
      </c>
      <c r="E799" t="s">
        <v>169</v>
      </c>
      <c r="F799">
        <v>609008</v>
      </c>
      <c r="G799" t="s">
        <v>57</v>
      </c>
      <c r="H799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4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hidden="1" x14ac:dyDescent="0.25">
      <c r="A800" s="1">
        <v>46122</v>
      </c>
      <c r="B800" s="1">
        <v>46122</v>
      </c>
      <c r="C800" t="s">
        <v>169</v>
      </c>
      <c r="D800" s="38">
        <v>4</v>
      </c>
      <c r="E800" t="s">
        <v>169</v>
      </c>
      <c r="F800">
        <v>1610023</v>
      </c>
      <c r="G800" t="s">
        <v>351</v>
      </c>
      <c r="H800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4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hidden="1" x14ac:dyDescent="0.25">
      <c r="A801" s="1">
        <v>46122</v>
      </c>
      <c r="B801" s="1">
        <v>46122</v>
      </c>
      <c r="C801" t="s">
        <v>169</v>
      </c>
      <c r="D801" s="38">
        <v>4</v>
      </c>
      <c r="E801" t="s">
        <v>169</v>
      </c>
      <c r="F801">
        <v>617016</v>
      </c>
      <c r="G801" t="s">
        <v>133</v>
      </c>
      <c r="H80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4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hidden="1" x14ac:dyDescent="0.25">
      <c r="A802" s="1">
        <v>46122</v>
      </c>
      <c r="B802" s="1">
        <v>46122</v>
      </c>
      <c r="C802" t="s">
        <v>169</v>
      </c>
      <c r="D802" s="38">
        <v>4</v>
      </c>
      <c r="E802" t="s">
        <v>169</v>
      </c>
      <c r="F802">
        <v>617057</v>
      </c>
      <c r="G802" t="s">
        <v>134</v>
      </c>
      <c r="H802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4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hidden="1" x14ac:dyDescent="0.25">
      <c r="A803" s="1">
        <v>46122</v>
      </c>
      <c r="B803" s="1">
        <v>46122</v>
      </c>
      <c r="C803" t="s">
        <v>169</v>
      </c>
      <c r="D803" s="38">
        <v>4</v>
      </c>
      <c r="E803" t="s">
        <v>169</v>
      </c>
      <c r="F803">
        <v>617055</v>
      </c>
      <c r="G803" t="s">
        <v>182</v>
      </c>
      <c r="H803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4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hidden="1" x14ac:dyDescent="0.25">
      <c r="A804" s="1">
        <v>46122</v>
      </c>
      <c r="B804" s="1">
        <v>46122</v>
      </c>
      <c r="C804" t="s">
        <v>169</v>
      </c>
      <c r="D804" s="38">
        <v>4</v>
      </c>
      <c r="E804" t="s">
        <v>169</v>
      </c>
      <c r="F804">
        <v>601047</v>
      </c>
      <c r="G804" t="s">
        <v>129</v>
      </c>
      <c r="H804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4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hidden="1" x14ac:dyDescent="0.25">
      <c r="A805" s="1">
        <v>46122</v>
      </c>
      <c r="B805" s="1">
        <v>46122</v>
      </c>
      <c r="C805" t="s">
        <v>169</v>
      </c>
      <c r="D805" s="38">
        <v>4</v>
      </c>
      <c r="E805" t="s">
        <v>169</v>
      </c>
      <c r="F805">
        <v>404252</v>
      </c>
      <c r="G805" t="s">
        <v>181</v>
      </c>
      <c r="H805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4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hidden="1" x14ac:dyDescent="0.25">
      <c r="A806" s="1">
        <v>46125</v>
      </c>
      <c r="B806" s="1">
        <v>46125</v>
      </c>
      <c r="C806" t="s">
        <v>169</v>
      </c>
      <c r="D806" s="38">
        <v>4</v>
      </c>
      <c r="E806" t="s">
        <v>169</v>
      </c>
      <c r="F806">
        <v>307096</v>
      </c>
      <c r="G806" t="s">
        <v>249</v>
      </c>
      <c r="H806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 t="s">
        <v>2008</v>
      </c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4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hidden="1" x14ac:dyDescent="0.25">
      <c r="A807" s="1">
        <v>46125</v>
      </c>
      <c r="B807" s="1">
        <v>46125</v>
      </c>
      <c r="C807" t="s">
        <v>169</v>
      </c>
      <c r="D807" s="38">
        <v>4</v>
      </c>
      <c r="E807" t="s">
        <v>169</v>
      </c>
      <c r="F807">
        <v>2304053</v>
      </c>
      <c r="G807" t="s">
        <v>213</v>
      </c>
      <c r="H807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4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hidden="1" x14ac:dyDescent="0.25">
      <c r="A808" s="1">
        <v>46125</v>
      </c>
      <c r="B808" s="1">
        <v>46125</v>
      </c>
      <c r="C808" t="s">
        <v>169</v>
      </c>
      <c r="D808" s="38">
        <v>4</v>
      </c>
      <c r="E808" t="s">
        <v>169</v>
      </c>
      <c r="F808">
        <v>602254</v>
      </c>
      <c r="G808" t="s">
        <v>214</v>
      </c>
      <c r="H808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4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hidden="1" x14ac:dyDescent="0.25">
      <c r="A809" s="1">
        <v>46125</v>
      </c>
      <c r="B809" s="1">
        <v>46125</v>
      </c>
      <c r="C809" t="s">
        <v>169</v>
      </c>
      <c r="D809" s="38">
        <v>4</v>
      </c>
      <c r="E809" t="s">
        <v>169</v>
      </c>
      <c r="F809">
        <v>602255</v>
      </c>
      <c r="G809" t="s">
        <v>203</v>
      </c>
      <c r="H809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4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hidden="1" x14ac:dyDescent="0.25">
      <c r="A810" s="1">
        <v>46125</v>
      </c>
      <c r="B810" s="1">
        <v>46125</v>
      </c>
      <c r="C810" t="s">
        <v>169</v>
      </c>
      <c r="D810" s="38">
        <v>4</v>
      </c>
      <c r="E810" t="s">
        <v>169</v>
      </c>
      <c r="F810">
        <v>601047</v>
      </c>
      <c r="G810" t="s">
        <v>129</v>
      </c>
      <c r="H810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4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hidden="1" x14ac:dyDescent="0.25">
      <c r="A811" s="1">
        <v>46125</v>
      </c>
      <c r="B811" s="1">
        <v>46125</v>
      </c>
      <c r="C811" t="s">
        <v>169</v>
      </c>
      <c r="D811" s="38">
        <v>4</v>
      </c>
      <c r="E811" t="s">
        <v>169</v>
      </c>
      <c r="F811">
        <v>2508986</v>
      </c>
      <c r="G811" t="s">
        <v>706</v>
      </c>
      <c r="H81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 t="s">
        <v>2008</v>
      </c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4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hidden="1" x14ac:dyDescent="0.25">
      <c r="A812" s="1">
        <v>46125</v>
      </c>
      <c r="B812" s="1">
        <v>46125</v>
      </c>
      <c r="C812" t="s">
        <v>169</v>
      </c>
      <c r="D812" s="38">
        <v>4</v>
      </c>
      <c r="E812" t="s">
        <v>169</v>
      </c>
      <c r="F812">
        <v>2508990</v>
      </c>
      <c r="G812" t="s">
        <v>482</v>
      </c>
      <c r="H812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4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hidden="1" x14ac:dyDescent="0.25">
      <c r="A813" s="1">
        <v>46125</v>
      </c>
      <c r="B813" s="1">
        <v>46125</v>
      </c>
      <c r="C813" t="s">
        <v>169</v>
      </c>
      <c r="D813" s="38">
        <v>4</v>
      </c>
      <c r="E813" t="s">
        <v>169</v>
      </c>
      <c r="F813">
        <v>2508991</v>
      </c>
      <c r="G813" t="s">
        <v>483</v>
      </c>
      <c r="H813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4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hidden="1" x14ac:dyDescent="0.25">
      <c r="A814" s="1">
        <v>46125</v>
      </c>
      <c r="B814" s="1">
        <v>46125</v>
      </c>
      <c r="C814" t="s">
        <v>169</v>
      </c>
      <c r="D814" s="38">
        <v>4</v>
      </c>
      <c r="E814" t="s">
        <v>169</v>
      </c>
      <c r="F814">
        <v>2508992</v>
      </c>
      <c r="G814" t="s">
        <v>484</v>
      </c>
      <c r="H814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4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hidden="1" x14ac:dyDescent="0.25">
      <c r="A815" s="1">
        <v>46125</v>
      </c>
      <c r="B815" s="1">
        <v>46125</v>
      </c>
      <c r="C815" t="s">
        <v>169</v>
      </c>
      <c r="D815" s="38">
        <v>4</v>
      </c>
      <c r="E815" t="s">
        <v>169</v>
      </c>
      <c r="F815">
        <v>2508993</v>
      </c>
      <c r="G815" t="s">
        <v>485</v>
      </c>
      <c r="H815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4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hidden="1" x14ac:dyDescent="0.25">
      <c r="A816" s="1">
        <v>46125</v>
      </c>
      <c r="B816" s="1">
        <v>46125</v>
      </c>
      <c r="C816" t="s">
        <v>169</v>
      </c>
      <c r="D816" s="38">
        <v>4</v>
      </c>
      <c r="E816" t="s">
        <v>169</v>
      </c>
      <c r="F816">
        <v>2508994</v>
      </c>
      <c r="G816" t="s">
        <v>486</v>
      </c>
      <c r="H816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4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hidden="1" x14ac:dyDescent="0.25">
      <c r="A817" s="1">
        <v>46125</v>
      </c>
      <c r="B817" s="1">
        <v>46125</v>
      </c>
      <c r="C817" t="s">
        <v>169</v>
      </c>
      <c r="D817" s="38">
        <v>4</v>
      </c>
      <c r="E817" t="s">
        <v>169</v>
      </c>
      <c r="F817">
        <v>307032</v>
      </c>
      <c r="G817" t="s">
        <v>186</v>
      </c>
      <c r="H817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4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hidden="1" x14ac:dyDescent="0.25">
      <c r="A818" s="1">
        <v>46125</v>
      </c>
      <c r="B818" s="1">
        <v>46125</v>
      </c>
      <c r="C818" t="s">
        <v>169</v>
      </c>
      <c r="D818" s="38">
        <v>4</v>
      </c>
      <c r="E818" t="s">
        <v>169</v>
      </c>
      <c r="F818">
        <v>704021</v>
      </c>
      <c r="G818" t="s">
        <v>329</v>
      </c>
      <c r="H818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4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hidden="1" x14ac:dyDescent="0.25">
      <c r="A819" s="1">
        <v>46125</v>
      </c>
      <c r="B819" s="1">
        <v>46125</v>
      </c>
      <c r="C819" t="s">
        <v>169</v>
      </c>
      <c r="D819" s="38">
        <v>4</v>
      </c>
      <c r="E819" t="s">
        <v>169</v>
      </c>
      <c r="F819">
        <v>307030</v>
      </c>
      <c r="G819" t="s">
        <v>64</v>
      </c>
      <c r="H819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 t="s">
        <v>2008</v>
      </c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4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hidden="1" x14ac:dyDescent="0.25">
      <c r="A820" s="1">
        <v>46125</v>
      </c>
      <c r="B820" s="1">
        <v>46125</v>
      </c>
      <c r="C820" t="s">
        <v>169</v>
      </c>
      <c r="D820" s="38">
        <v>4</v>
      </c>
      <c r="E820" t="s">
        <v>169</v>
      </c>
      <c r="F820">
        <v>704024</v>
      </c>
      <c r="G820" t="s">
        <v>332</v>
      </c>
      <c r="H820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4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hidden="1" x14ac:dyDescent="0.25">
      <c r="A821" s="1">
        <v>46125</v>
      </c>
      <c r="B821" s="1">
        <v>46125</v>
      </c>
      <c r="C821" t="s">
        <v>169</v>
      </c>
      <c r="D821" s="38">
        <v>4</v>
      </c>
      <c r="E821" t="s">
        <v>169</v>
      </c>
      <c r="F821">
        <v>704022</v>
      </c>
      <c r="G821" t="s">
        <v>330</v>
      </c>
      <c r="H82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4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hidden="1" x14ac:dyDescent="0.25">
      <c r="A822" s="1">
        <v>46125</v>
      </c>
      <c r="B822" s="1">
        <v>46125</v>
      </c>
      <c r="C822" t="s">
        <v>169</v>
      </c>
      <c r="D822" s="38">
        <v>4</v>
      </c>
      <c r="E822" t="s">
        <v>169</v>
      </c>
      <c r="F822">
        <v>704025</v>
      </c>
      <c r="G822" t="s">
        <v>333</v>
      </c>
      <c r="H822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4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hidden="1" x14ac:dyDescent="0.25">
      <c r="A823" s="1">
        <v>46125</v>
      </c>
      <c r="B823" s="1">
        <v>46125</v>
      </c>
      <c r="C823" t="s">
        <v>169</v>
      </c>
      <c r="D823" s="38">
        <v>4</v>
      </c>
      <c r="E823" t="s">
        <v>169</v>
      </c>
      <c r="F823">
        <v>704023</v>
      </c>
      <c r="G823" t="s">
        <v>331</v>
      </c>
      <c r="H823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4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hidden="1" x14ac:dyDescent="0.25">
      <c r="A824" s="1">
        <v>46125</v>
      </c>
      <c r="B824" s="1">
        <v>46125</v>
      </c>
      <c r="C824" t="s">
        <v>169</v>
      </c>
      <c r="D824" s="38">
        <v>4</v>
      </c>
      <c r="E824" t="s">
        <v>169</v>
      </c>
      <c r="F824">
        <v>407115</v>
      </c>
      <c r="G824" t="s">
        <v>282</v>
      </c>
      <c r="H824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 t="s">
        <v>2017</v>
      </c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4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hidden="1" x14ac:dyDescent="0.25">
      <c r="A825" s="1">
        <v>46125</v>
      </c>
      <c r="B825" s="1">
        <v>46125</v>
      </c>
      <c r="C825" t="s">
        <v>169</v>
      </c>
      <c r="D825" s="38">
        <v>4</v>
      </c>
      <c r="E825" t="s">
        <v>169</v>
      </c>
      <c r="F825">
        <v>701084</v>
      </c>
      <c r="G825" t="s">
        <v>38</v>
      </c>
      <c r="H825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4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hidden="1" x14ac:dyDescent="0.25">
      <c r="A826" s="1">
        <v>46125</v>
      </c>
      <c r="B826" s="1">
        <v>46125</v>
      </c>
      <c r="C826" t="s">
        <v>169</v>
      </c>
      <c r="D826" s="38">
        <v>4</v>
      </c>
      <c r="E826" t="s">
        <v>169</v>
      </c>
      <c r="F826">
        <v>1901086</v>
      </c>
      <c r="G826" t="s">
        <v>279</v>
      </c>
      <c r="H826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4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hidden="1" x14ac:dyDescent="0.25">
      <c r="A827" s="1">
        <v>46126</v>
      </c>
      <c r="B827" s="1">
        <v>46126</v>
      </c>
      <c r="C827" t="s">
        <v>169</v>
      </c>
      <c r="D827" s="38">
        <v>4</v>
      </c>
      <c r="E827" t="s">
        <v>169</v>
      </c>
      <c r="F827">
        <v>704092</v>
      </c>
      <c r="G827" t="s">
        <v>116</v>
      </c>
      <c r="H827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 t="s">
        <v>2008</v>
      </c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4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hidden="1" x14ac:dyDescent="0.25">
      <c r="A828" s="1">
        <v>46126</v>
      </c>
      <c r="B828" s="1">
        <v>46126</v>
      </c>
      <c r="C828" t="s">
        <v>169</v>
      </c>
      <c r="D828" s="38">
        <v>4</v>
      </c>
      <c r="E828" t="s">
        <v>169</v>
      </c>
      <c r="F828">
        <v>1405025</v>
      </c>
      <c r="G828" t="s">
        <v>189</v>
      </c>
      <c r="H828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4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hidden="1" x14ac:dyDescent="0.25">
      <c r="A829" s="1">
        <v>46126</v>
      </c>
      <c r="B829" s="1">
        <v>46126</v>
      </c>
      <c r="C829" t="s">
        <v>169</v>
      </c>
      <c r="D829" s="38">
        <v>4</v>
      </c>
      <c r="E829" t="s">
        <v>169</v>
      </c>
      <c r="F829">
        <v>304012</v>
      </c>
      <c r="G829" t="s">
        <v>707</v>
      </c>
      <c r="H829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 t="s">
        <v>2008</v>
      </c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4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hidden="1" x14ac:dyDescent="0.25">
      <c r="A830" s="1">
        <v>46126</v>
      </c>
      <c r="B830" s="1">
        <v>46126</v>
      </c>
      <c r="C830" t="s">
        <v>169</v>
      </c>
      <c r="D830" s="38">
        <v>4</v>
      </c>
      <c r="E830" t="s">
        <v>169</v>
      </c>
      <c r="F830">
        <v>701096</v>
      </c>
      <c r="G830" t="s">
        <v>204</v>
      </c>
      <c r="H830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4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hidden="1" x14ac:dyDescent="0.25">
      <c r="A831" s="1">
        <v>46126</v>
      </c>
      <c r="B831" s="1">
        <v>46126</v>
      </c>
      <c r="C831" t="s">
        <v>169</v>
      </c>
      <c r="D831" s="38">
        <v>4</v>
      </c>
      <c r="E831" t="s">
        <v>169</v>
      </c>
      <c r="F831">
        <v>408042</v>
      </c>
      <c r="G831" t="s">
        <v>144</v>
      </c>
      <c r="H83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4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hidden="1" x14ac:dyDescent="0.25">
      <c r="A832" s="1">
        <v>46126</v>
      </c>
      <c r="B832" s="1">
        <v>46126</v>
      </c>
      <c r="C832" t="s">
        <v>169</v>
      </c>
      <c r="D832" s="38">
        <v>4</v>
      </c>
      <c r="E832" t="s">
        <v>169</v>
      </c>
      <c r="F832">
        <v>2302045</v>
      </c>
      <c r="G832" t="s">
        <v>441</v>
      </c>
      <c r="H832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4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hidden="1" x14ac:dyDescent="0.25">
      <c r="A833" s="1">
        <v>46126</v>
      </c>
      <c r="B833" s="1">
        <v>46126</v>
      </c>
      <c r="C833" t="s">
        <v>169</v>
      </c>
      <c r="D833" s="38">
        <v>4</v>
      </c>
      <c r="E833" t="s">
        <v>169</v>
      </c>
      <c r="F833">
        <v>2302044</v>
      </c>
      <c r="G833" t="s">
        <v>439</v>
      </c>
      <c r="H833" t="s">
        <v>440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4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hidden="1" x14ac:dyDescent="0.25">
      <c r="A834" s="1">
        <v>46126</v>
      </c>
      <c r="B834" s="1">
        <v>46126</v>
      </c>
      <c r="C834" t="s">
        <v>169</v>
      </c>
      <c r="D834" s="38">
        <v>4</v>
      </c>
      <c r="E834" t="s">
        <v>169</v>
      </c>
      <c r="F834">
        <v>304101</v>
      </c>
      <c r="G834" t="s">
        <v>17</v>
      </c>
      <c r="H834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4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hidden="1" x14ac:dyDescent="0.25">
      <c r="A835" s="1">
        <v>46126</v>
      </c>
      <c r="B835" s="1">
        <v>46126</v>
      </c>
      <c r="C835" t="s">
        <v>169</v>
      </c>
      <c r="D835" s="38">
        <v>4</v>
      </c>
      <c r="E835" t="s">
        <v>169</v>
      </c>
      <c r="F835">
        <v>412280</v>
      </c>
      <c r="G835" t="s">
        <v>40</v>
      </c>
      <c r="H835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4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hidden="1" x14ac:dyDescent="0.25">
      <c r="A836" s="1">
        <v>46126</v>
      </c>
      <c r="B836" s="1">
        <v>46126</v>
      </c>
      <c r="C836" t="s">
        <v>169</v>
      </c>
      <c r="D836" s="38">
        <v>4</v>
      </c>
      <c r="E836" t="s">
        <v>169</v>
      </c>
      <c r="F836">
        <v>412260</v>
      </c>
      <c r="G836" t="s">
        <v>41</v>
      </c>
      <c r="H836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4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hidden="1" x14ac:dyDescent="0.25">
      <c r="A837" s="1">
        <v>46126</v>
      </c>
      <c r="B837" s="1">
        <v>46126</v>
      </c>
      <c r="C837" t="s">
        <v>169</v>
      </c>
      <c r="D837" s="38">
        <v>4</v>
      </c>
      <c r="E837" t="s">
        <v>169</v>
      </c>
      <c r="F837">
        <v>302054</v>
      </c>
      <c r="G837" t="s">
        <v>356</v>
      </c>
      <c r="H837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4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hidden="1" x14ac:dyDescent="0.25">
      <c r="A838" s="1">
        <v>46126</v>
      </c>
      <c r="B838" s="1">
        <v>46126</v>
      </c>
      <c r="C838" t="s">
        <v>169</v>
      </c>
      <c r="D838" s="38">
        <v>4</v>
      </c>
      <c r="E838" t="s">
        <v>169</v>
      </c>
      <c r="F838">
        <v>5309018</v>
      </c>
      <c r="G838" t="s">
        <v>112</v>
      </c>
      <c r="H838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4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hidden="1" x14ac:dyDescent="0.25">
      <c r="A839" s="1">
        <v>46126</v>
      </c>
      <c r="B839" s="1">
        <v>46126</v>
      </c>
      <c r="C839" t="s">
        <v>169</v>
      </c>
      <c r="D839" s="38">
        <v>4</v>
      </c>
      <c r="E839" t="s">
        <v>169</v>
      </c>
      <c r="F839">
        <v>304002</v>
      </c>
      <c r="G839" t="s">
        <v>37</v>
      </c>
      <c r="H839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 t="s">
        <v>2020</v>
      </c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4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hidden="1" x14ac:dyDescent="0.25">
      <c r="A840" s="1">
        <v>46126</v>
      </c>
      <c r="B840" s="1">
        <v>46126</v>
      </c>
      <c r="C840" t="s">
        <v>169</v>
      </c>
      <c r="D840" s="38">
        <v>4</v>
      </c>
      <c r="E840" t="s">
        <v>169</v>
      </c>
      <c r="F840">
        <v>5316509</v>
      </c>
      <c r="G840" t="s">
        <v>56</v>
      </c>
      <c r="H840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 t="s">
        <v>2012</v>
      </c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4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hidden="1" x14ac:dyDescent="0.25">
      <c r="A841" s="1">
        <v>46126</v>
      </c>
      <c r="B841" s="1">
        <v>46126</v>
      </c>
      <c r="C841" t="s">
        <v>169</v>
      </c>
      <c r="D841" s="38">
        <v>4</v>
      </c>
      <c r="E841" t="s">
        <v>169</v>
      </c>
      <c r="F841">
        <v>5316507</v>
      </c>
      <c r="G841" t="s">
        <v>55</v>
      </c>
      <c r="H84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4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hidden="1" x14ac:dyDescent="0.25">
      <c r="A842" s="1">
        <v>46126</v>
      </c>
      <c r="B842" s="1">
        <v>46126</v>
      </c>
      <c r="C842" t="s">
        <v>169</v>
      </c>
      <c r="D842" s="38">
        <v>4</v>
      </c>
      <c r="E842" t="s">
        <v>169</v>
      </c>
      <c r="F842">
        <v>5316484</v>
      </c>
      <c r="G842" t="s">
        <v>96</v>
      </c>
      <c r="H842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4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hidden="1" x14ac:dyDescent="0.25">
      <c r="A843" s="1">
        <v>46126</v>
      </c>
      <c r="B843" s="1">
        <v>46126</v>
      </c>
      <c r="C843" t="s">
        <v>169</v>
      </c>
      <c r="D843" s="38">
        <v>4</v>
      </c>
      <c r="E843" t="s">
        <v>169</v>
      </c>
      <c r="F843">
        <v>5316483</v>
      </c>
      <c r="G843" t="s">
        <v>97</v>
      </c>
      <c r="H843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4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hidden="1" x14ac:dyDescent="0.25">
      <c r="A844" s="1">
        <v>46126</v>
      </c>
      <c r="B844" s="1">
        <v>46126</v>
      </c>
      <c r="C844" t="s">
        <v>169</v>
      </c>
      <c r="D844" s="38">
        <v>4</v>
      </c>
      <c r="E844" t="s">
        <v>169</v>
      </c>
      <c r="F844">
        <v>2505426</v>
      </c>
      <c r="G844" t="s">
        <v>708</v>
      </c>
      <c r="H844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4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hidden="1" x14ac:dyDescent="0.25">
      <c r="A845" s="1">
        <v>46126</v>
      </c>
      <c r="B845" s="1">
        <v>46126</v>
      </c>
      <c r="C845" t="s">
        <v>169</v>
      </c>
      <c r="D845" s="38">
        <v>4</v>
      </c>
      <c r="E845" t="s">
        <v>169</v>
      </c>
      <c r="F845">
        <v>1808147</v>
      </c>
      <c r="G845" t="s">
        <v>275</v>
      </c>
      <c r="H845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4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hidden="1" x14ac:dyDescent="0.25">
      <c r="A846" s="1">
        <v>46126</v>
      </c>
      <c r="B846" s="1">
        <v>46126</v>
      </c>
      <c r="C846" t="s">
        <v>169</v>
      </c>
      <c r="D846" s="38">
        <v>4</v>
      </c>
      <c r="E846" t="s">
        <v>169</v>
      </c>
      <c r="F846">
        <v>1808146</v>
      </c>
      <c r="G846" t="s">
        <v>274</v>
      </c>
      <c r="H846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4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hidden="1" x14ac:dyDescent="0.25">
      <c r="A847" s="1">
        <v>46126</v>
      </c>
      <c r="B847" s="1">
        <v>46126</v>
      </c>
      <c r="C847" t="s">
        <v>169</v>
      </c>
      <c r="D847" s="38">
        <v>4</v>
      </c>
      <c r="E847" t="s">
        <v>169</v>
      </c>
      <c r="F847">
        <v>1808145</v>
      </c>
      <c r="G847" t="s">
        <v>273</v>
      </c>
      <c r="H847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4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hidden="1" x14ac:dyDescent="0.25">
      <c r="A848" s="1">
        <v>46126</v>
      </c>
      <c r="B848" s="1">
        <v>46126</v>
      </c>
      <c r="C848" t="s">
        <v>169</v>
      </c>
      <c r="D848" s="38">
        <v>4</v>
      </c>
      <c r="E848" t="s">
        <v>169</v>
      </c>
      <c r="F848">
        <v>1808144</v>
      </c>
      <c r="G848" t="s">
        <v>272</v>
      </c>
      <c r="H848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4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hidden="1" x14ac:dyDescent="0.25">
      <c r="A849" s="1">
        <v>46126</v>
      </c>
      <c r="B849" s="1">
        <v>46126</v>
      </c>
      <c r="C849" t="s">
        <v>169</v>
      </c>
      <c r="D849" s="38">
        <v>4</v>
      </c>
      <c r="E849" t="s">
        <v>169</v>
      </c>
      <c r="F849">
        <v>1802176</v>
      </c>
      <c r="G849" t="s">
        <v>196</v>
      </c>
      <c r="H849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4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hidden="1" x14ac:dyDescent="0.25">
      <c r="A850" s="1">
        <v>46126</v>
      </c>
      <c r="B850" s="1">
        <v>46126</v>
      </c>
      <c r="C850" t="s">
        <v>169</v>
      </c>
      <c r="D850" s="38">
        <v>4</v>
      </c>
      <c r="E850" t="s">
        <v>169</v>
      </c>
      <c r="F850">
        <v>1802175</v>
      </c>
      <c r="G850" t="s">
        <v>269</v>
      </c>
      <c r="H850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4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hidden="1" x14ac:dyDescent="0.25">
      <c r="A851" s="1">
        <v>46126</v>
      </c>
      <c r="B851" s="1">
        <v>46126</v>
      </c>
      <c r="C851" t="s">
        <v>169</v>
      </c>
      <c r="D851" s="38">
        <v>4</v>
      </c>
      <c r="E851" t="s">
        <v>169</v>
      </c>
      <c r="F851">
        <v>1802174</v>
      </c>
      <c r="G851" t="s">
        <v>268</v>
      </c>
      <c r="H85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4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hidden="1" x14ac:dyDescent="0.25">
      <c r="A852" s="1">
        <v>46126</v>
      </c>
      <c r="B852" s="1">
        <v>46126</v>
      </c>
      <c r="C852" t="s">
        <v>169</v>
      </c>
      <c r="D852" s="38">
        <v>4</v>
      </c>
      <c r="E852" t="s">
        <v>169</v>
      </c>
      <c r="F852">
        <v>1802173</v>
      </c>
      <c r="G852" t="s">
        <v>267</v>
      </c>
      <c r="H852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4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hidden="1" x14ac:dyDescent="0.25">
      <c r="A853" s="1">
        <v>46126</v>
      </c>
      <c r="B853" s="1">
        <v>46126</v>
      </c>
      <c r="C853" t="s">
        <v>169</v>
      </c>
      <c r="D853" s="38">
        <v>4</v>
      </c>
      <c r="E853" t="s">
        <v>169</v>
      </c>
      <c r="F853">
        <v>1802169</v>
      </c>
      <c r="G853" t="s">
        <v>263</v>
      </c>
      <c r="H853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4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hidden="1" x14ac:dyDescent="0.25">
      <c r="A854" s="1">
        <v>46126</v>
      </c>
      <c r="B854" s="1">
        <v>46126</v>
      </c>
      <c r="C854" t="s">
        <v>169</v>
      </c>
      <c r="D854" s="38">
        <v>4</v>
      </c>
      <c r="E854" t="s">
        <v>169</v>
      </c>
      <c r="F854">
        <v>1802167</v>
      </c>
      <c r="G854" t="s">
        <v>262</v>
      </c>
      <c r="H854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4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hidden="1" x14ac:dyDescent="0.25">
      <c r="A855" s="1">
        <v>46126</v>
      </c>
      <c r="B855" s="1">
        <v>46126</v>
      </c>
      <c r="C855" t="s">
        <v>169</v>
      </c>
      <c r="D855" s="38">
        <v>4</v>
      </c>
      <c r="E855" t="s">
        <v>169</v>
      </c>
      <c r="F855">
        <v>1802166</v>
      </c>
      <c r="G855" t="s">
        <v>283</v>
      </c>
      <c r="H855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4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hidden="1" x14ac:dyDescent="0.25">
      <c r="A856" s="1">
        <v>46126</v>
      </c>
      <c r="B856" s="1">
        <v>46126</v>
      </c>
      <c r="C856" t="s">
        <v>169</v>
      </c>
      <c r="D856" s="38">
        <v>4</v>
      </c>
      <c r="E856" t="s">
        <v>169</v>
      </c>
      <c r="F856">
        <v>1802165</v>
      </c>
      <c r="G856" t="s">
        <v>261</v>
      </c>
      <c r="H856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4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hidden="1" x14ac:dyDescent="0.25">
      <c r="A857" s="1">
        <v>46126</v>
      </c>
      <c r="B857" s="1">
        <v>46126</v>
      </c>
      <c r="C857" t="s">
        <v>169</v>
      </c>
      <c r="D857" s="38">
        <v>4</v>
      </c>
      <c r="E857" t="s">
        <v>169</v>
      </c>
      <c r="F857">
        <v>1801229</v>
      </c>
      <c r="G857" t="s">
        <v>259</v>
      </c>
      <c r="H857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4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hidden="1" x14ac:dyDescent="0.25">
      <c r="A858" s="1">
        <v>46126</v>
      </c>
      <c r="B858" s="1">
        <v>46126</v>
      </c>
      <c r="C858" t="s">
        <v>169</v>
      </c>
      <c r="D858" s="38">
        <v>4</v>
      </c>
      <c r="E858" t="s">
        <v>169</v>
      </c>
      <c r="F858">
        <v>1801161</v>
      </c>
      <c r="G858" t="s">
        <v>709</v>
      </c>
      <c r="H858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4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hidden="1" x14ac:dyDescent="0.25">
      <c r="A859" s="1">
        <v>46126</v>
      </c>
      <c r="B859" s="1">
        <v>46126</v>
      </c>
      <c r="C859" t="s">
        <v>169</v>
      </c>
      <c r="D859" s="38">
        <v>4</v>
      </c>
      <c r="E859" t="s">
        <v>169</v>
      </c>
      <c r="F859">
        <v>1703006</v>
      </c>
      <c r="G859" t="s">
        <v>48</v>
      </c>
      <c r="H859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4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hidden="1" x14ac:dyDescent="0.25">
      <c r="A860" s="1">
        <v>46126</v>
      </c>
      <c r="B860" s="1">
        <v>46126</v>
      </c>
      <c r="C860" t="s">
        <v>169</v>
      </c>
      <c r="D860" s="38">
        <v>4</v>
      </c>
      <c r="E860" t="s">
        <v>169</v>
      </c>
      <c r="F860">
        <v>1701154</v>
      </c>
      <c r="G860" t="s">
        <v>710</v>
      </c>
      <c r="H860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4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hidden="1" x14ac:dyDescent="0.25">
      <c r="A861" s="1">
        <v>46126</v>
      </c>
      <c r="B861" s="1">
        <v>46126</v>
      </c>
      <c r="C861" t="s">
        <v>169</v>
      </c>
      <c r="D861" s="38">
        <v>4</v>
      </c>
      <c r="E861" t="s">
        <v>169</v>
      </c>
      <c r="F861">
        <v>407795</v>
      </c>
      <c r="G861" t="s">
        <v>325</v>
      </c>
      <c r="H86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4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hidden="1" x14ac:dyDescent="0.25">
      <c r="A862" s="1">
        <v>46127</v>
      </c>
      <c r="B862" s="1">
        <v>46127</v>
      </c>
      <c r="C862" t="s">
        <v>169</v>
      </c>
      <c r="D862" s="38">
        <v>4</v>
      </c>
      <c r="E862" t="s">
        <v>169</v>
      </c>
      <c r="F862" t="s">
        <v>94</v>
      </c>
      <c r="G862" t="s">
        <v>95</v>
      </c>
      <c r="H862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 t="s">
        <v>2008</v>
      </c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4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hidden="1" x14ac:dyDescent="0.25">
      <c r="A863" s="1">
        <v>46127</v>
      </c>
      <c r="B863" s="1">
        <v>46127</v>
      </c>
      <c r="C863" t="s">
        <v>169</v>
      </c>
      <c r="D863" s="38">
        <v>4</v>
      </c>
      <c r="E863" t="s">
        <v>169</v>
      </c>
      <c r="F863">
        <v>1405040</v>
      </c>
      <c r="G863" t="s">
        <v>449</v>
      </c>
      <c r="H863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4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hidden="1" x14ac:dyDescent="0.25">
      <c r="A864" s="1">
        <v>46127</v>
      </c>
      <c r="B864" s="1">
        <v>46127</v>
      </c>
      <c r="C864" t="s">
        <v>169</v>
      </c>
      <c r="D864" s="38">
        <v>4</v>
      </c>
      <c r="E864" t="s">
        <v>169</v>
      </c>
      <c r="F864">
        <v>617016</v>
      </c>
      <c r="G864" t="s">
        <v>133</v>
      </c>
      <c r="H864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4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hidden="1" x14ac:dyDescent="0.25">
      <c r="A865" s="1">
        <v>46127</v>
      </c>
      <c r="B865" s="1">
        <v>46127</v>
      </c>
      <c r="C865" t="s">
        <v>169</v>
      </c>
      <c r="D865" s="38">
        <v>4</v>
      </c>
      <c r="E865" t="s">
        <v>169</v>
      </c>
      <c r="F865">
        <v>617057</v>
      </c>
      <c r="G865" t="s">
        <v>134</v>
      </c>
      <c r="H865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4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hidden="1" x14ac:dyDescent="0.25">
      <c r="A866" s="1">
        <v>46127</v>
      </c>
      <c r="B866" s="1">
        <v>46127</v>
      </c>
      <c r="C866" t="s">
        <v>169</v>
      </c>
      <c r="D866" s="38">
        <v>4</v>
      </c>
      <c r="E866" t="s">
        <v>169</v>
      </c>
      <c r="F866">
        <v>1610023</v>
      </c>
      <c r="G866" t="s">
        <v>351</v>
      </c>
      <c r="H866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4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hidden="1" x14ac:dyDescent="0.25">
      <c r="A867" s="1">
        <v>46127</v>
      </c>
      <c r="B867" s="1">
        <v>46127</v>
      </c>
      <c r="C867" t="s">
        <v>169</v>
      </c>
      <c r="D867" s="38">
        <v>4</v>
      </c>
      <c r="E867" t="s">
        <v>169</v>
      </c>
      <c r="F867">
        <v>307031</v>
      </c>
      <c r="G867" t="s">
        <v>65</v>
      </c>
      <c r="H867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4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hidden="1" x14ac:dyDescent="0.25">
      <c r="A868" s="1">
        <v>46127</v>
      </c>
      <c r="B868" s="1">
        <v>46127</v>
      </c>
      <c r="C868" t="s">
        <v>169</v>
      </c>
      <c r="D868" s="38">
        <v>4</v>
      </c>
      <c r="E868" t="s">
        <v>169</v>
      </c>
      <c r="F868">
        <v>307096</v>
      </c>
      <c r="G868" t="s">
        <v>249</v>
      </c>
      <c r="H868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4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hidden="1" x14ac:dyDescent="0.25">
      <c r="A869" s="1">
        <v>46127</v>
      </c>
      <c r="B869" s="1">
        <v>46127</v>
      </c>
      <c r="C869" t="s">
        <v>169</v>
      </c>
      <c r="D869" s="38">
        <v>4</v>
      </c>
      <c r="E869" t="s">
        <v>169</v>
      </c>
      <c r="F869">
        <v>2508994</v>
      </c>
      <c r="G869" t="s">
        <v>486</v>
      </c>
      <c r="H869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4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hidden="1" x14ac:dyDescent="0.25">
      <c r="A870" s="1">
        <v>46127</v>
      </c>
      <c r="B870" s="1">
        <v>46127</v>
      </c>
      <c r="C870" t="s">
        <v>169</v>
      </c>
      <c r="D870" s="38">
        <v>4</v>
      </c>
      <c r="E870" t="s">
        <v>169</v>
      </c>
      <c r="F870">
        <v>2508993</v>
      </c>
      <c r="G870" t="s">
        <v>485</v>
      </c>
      <c r="H870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4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hidden="1" x14ac:dyDescent="0.25">
      <c r="A871" s="1">
        <v>46127</v>
      </c>
      <c r="B871" s="1">
        <v>46127</v>
      </c>
      <c r="C871" t="s">
        <v>169</v>
      </c>
      <c r="D871" s="38">
        <v>4</v>
      </c>
      <c r="E871" t="s">
        <v>169</v>
      </c>
      <c r="F871">
        <v>2508992</v>
      </c>
      <c r="G871" t="s">
        <v>484</v>
      </c>
      <c r="H87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4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hidden="1" x14ac:dyDescent="0.25">
      <c r="A872" s="1">
        <v>46127</v>
      </c>
      <c r="B872" s="1">
        <v>46127</v>
      </c>
      <c r="C872" t="s">
        <v>169</v>
      </c>
      <c r="D872" s="38">
        <v>4</v>
      </c>
      <c r="E872" t="s">
        <v>169</v>
      </c>
      <c r="F872">
        <v>2508991</v>
      </c>
      <c r="G872" t="s">
        <v>483</v>
      </c>
      <c r="H872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4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hidden="1" x14ac:dyDescent="0.25">
      <c r="A873" s="1">
        <v>46127</v>
      </c>
      <c r="B873" s="1">
        <v>46127</v>
      </c>
      <c r="C873" t="s">
        <v>169</v>
      </c>
      <c r="D873" s="38">
        <v>4</v>
      </c>
      <c r="E873" t="s">
        <v>169</v>
      </c>
      <c r="F873">
        <v>2508990</v>
      </c>
      <c r="G873" t="s">
        <v>482</v>
      </c>
      <c r="H873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4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hidden="1" x14ac:dyDescent="0.25">
      <c r="A874" s="1">
        <v>46127</v>
      </c>
      <c r="B874" s="1">
        <v>46127</v>
      </c>
      <c r="C874" t="s">
        <v>169</v>
      </c>
      <c r="D874" s="38">
        <v>4</v>
      </c>
      <c r="E874" t="s">
        <v>169</v>
      </c>
      <c r="F874">
        <v>1405025</v>
      </c>
      <c r="G874" t="s">
        <v>189</v>
      </c>
      <c r="H874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4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hidden="1" x14ac:dyDescent="0.25">
      <c r="A875" s="1">
        <v>46127</v>
      </c>
      <c r="B875" s="1">
        <v>46127</v>
      </c>
      <c r="C875" t="s">
        <v>169</v>
      </c>
      <c r="D875" s="38">
        <v>4</v>
      </c>
      <c r="E875" t="s">
        <v>169</v>
      </c>
      <c r="F875">
        <v>2508986</v>
      </c>
      <c r="G875" t="s">
        <v>706</v>
      </c>
      <c r="H875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4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hidden="1" x14ac:dyDescent="0.25">
      <c r="A876" s="1">
        <v>46127</v>
      </c>
      <c r="B876" s="1">
        <v>46127</v>
      </c>
      <c r="C876" t="s">
        <v>169</v>
      </c>
      <c r="D876" s="38">
        <v>4</v>
      </c>
      <c r="E876" t="s">
        <v>169</v>
      </c>
      <c r="F876">
        <v>2508985</v>
      </c>
      <c r="G876" t="s">
        <v>304</v>
      </c>
      <c r="H876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4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hidden="1" x14ac:dyDescent="0.25">
      <c r="A877" s="1">
        <v>46127</v>
      </c>
      <c r="B877" s="1">
        <v>46127</v>
      </c>
      <c r="C877" t="s">
        <v>169</v>
      </c>
      <c r="D877" s="38">
        <v>4</v>
      </c>
      <c r="E877" t="s">
        <v>169</v>
      </c>
      <c r="F877">
        <v>407307</v>
      </c>
      <c r="G877" t="s">
        <v>163</v>
      </c>
      <c r="H877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 t="s">
        <v>2017</v>
      </c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4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hidden="1" x14ac:dyDescent="0.25">
      <c r="A878" s="1">
        <v>46127</v>
      </c>
      <c r="B878" s="1">
        <v>46127</v>
      </c>
      <c r="C878" t="s">
        <v>169</v>
      </c>
      <c r="D878" s="38">
        <v>4</v>
      </c>
      <c r="E878" t="s">
        <v>169</v>
      </c>
      <c r="F878">
        <v>1901086</v>
      </c>
      <c r="G878" t="s">
        <v>279</v>
      </c>
      <c r="H878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4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hidden="1" x14ac:dyDescent="0.25">
      <c r="A879" s="1">
        <v>46127</v>
      </c>
      <c r="B879" s="1">
        <v>46127</v>
      </c>
      <c r="C879" t="s">
        <v>169</v>
      </c>
      <c r="D879" s="38">
        <v>4</v>
      </c>
      <c r="E879" t="s">
        <v>169</v>
      </c>
      <c r="F879">
        <v>1901038</v>
      </c>
      <c r="G879" t="s">
        <v>39</v>
      </c>
      <c r="H879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4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hidden="1" x14ac:dyDescent="0.25">
      <c r="A880" s="1">
        <v>46127</v>
      </c>
      <c r="B880" s="1">
        <v>46127</v>
      </c>
      <c r="C880" t="s">
        <v>169</v>
      </c>
      <c r="D880" s="38">
        <v>4</v>
      </c>
      <c r="E880" t="s">
        <v>169</v>
      </c>
      <c r="F880">
        <v>1901008</v>
      </c>
      <c r="G880" t="s">
        <v>278</v>
      </c>
      <c r="H880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4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hidden="1" x14ac:dyDescent="0.25">
      <c r="A881" s="1">
        <v>46127</v>
      </c>
      <c r="B881" s="1">
        <v>46127</v>
      </c>
      <c r="C881" t="s">
        <v>169</v>
      </c>
      <c r="D881" s="38">
        <v>4</v>
      </c>
      <c r="E881" t="s">
        <v>169</v>
      </c>
      <c r="F881">
        <v>1902003</v>
      </c>
      <c r="G881" t="s">
        <v>155</v>
      </c>
      <c r="H8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4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hidden="1" x14ac:dyDescent="0.25">
      <c r="A882" s="1">
        <v>46127</v>
      </c>
      <c r="B882" s="1">
        <v>46127</v>
      </c>
      <c r="C882" t="s">
        <v>169</v>
      </c>
      <c r="D882" s="38">
        <v>4</v>
      </c>
      <c r="E882" t="s">
        <v>169</v>
      </c>
      <c r="F882">
        <v>1902013</v>
      </c>
      <c r="G882" t="s">
        <v>338</v>
      </c>
      <c r="H882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4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hidden="1" x14ac:dyDescent="0.25">
      <c r="A883" s="1">
        <v>46127</v>
      </c>
      <c r="B883" s="1">
        <v>46127</v>
      </c>
      <c r="C883" t="s">
        <v>169</v>
      </c>
      <c r="D883" s="38">
        <v>4</v>
      </c>
      <c r="E883" t="s">
        <v>169</v>
      </c>
      <c r="F883">
        <v>2304016</v>
      </c>
      <c r="G883" t="s">
        <v>462</v>
      </c>
      <c r="H883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4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hidden="1" x14ac:dyDescent="0.25">
      <c r="A884" s="1">
        <v>46127</v>
      </c>
      <c r="B884" s="1">
        <v>46127</v>
      </c>
      <c r="C884" t="s">
        <v>169</v>
      </c>
      <c r="D884" s="38">
        <v>4</v>
      </c>
      <c r="E884" t="s">
        <v>169</v>
      </c>
      <c r="F884">
        <v>2302119</v>
      </c>
      <c r="G884" t="s">
        <v>74</v>
      </c>
      <c r="H884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4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hidden="1" x14ac:dyDescent="0.25">
      <c r="A885" s="1">
        <v>46127</v>
      </c>
      <c r="B885" s="1">
        <v>46127</v>
      </c>
      <c r="C885" t="s">
        <v>169</v>
      </c>
      <c r="D885" s="38">
        <v>4</v>
      </c>
      <c r="E885" t="s">
        <v>169</v>
      </c>
      <c r="F885">
        <v>410126</v>
      </c>
      <c r="G885" t="s">
        <v>159</v>
      </c>
      <c r="H885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4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hidden="1" x14ac:dyDescent="0.25">
      <c r="A886" s="1">
        <v>46127</v>
      </c>
      <c r="B886" s="1">
        <v>46127</v>
      </c>
      <c r="C886" t="s">
        <v>169</v>
      </c>
      <c r="D886" s="38">
        <v>4</v>
      </c>
      <c r="E886" t="s">
        <v>169</v>
      </c>
      <c r="F886">
        <v>410046</v>
      </c>
      <c r="G886" t="s">
        <v>361</v>
      </c>
      <c r="H886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4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hidden="1" x14ac:dyDescent="0.25">
      <c r="A887" s="1">
        <v>46127</v>
      </c>
      <c r="B887" s="1">
        <v>46127</v>
      </c>
      <c r="C887" t="s">
        <v>169</v>
      </c>
      <c r="D887" s="38">
        <v>4</v>
      </c>
      <c r="E887" t="s">
        <v>169</v>
      </c>
      <c r="F887">
        <v>410045</v>
      </c>
      <c r="G887" t="s">
        <v>110</v>
      </c>
      <c r="H887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4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hidden="1" x14ac:dyDescent="0.25">
      <c r="A888" s="1">
        <v>46127</v>
      </c>
      <c r="B888" s="1">
        <v>46127</v>
      </c>
      <c r="C888" t="s">
        <v>169</v>
      </c>
      <c r="D888" s="38">
        <v>4</v>
      </c>
      <c r="E888" t="s">
        <v>169</v>
      </c>
      <c r="F888">
        <v>701043</v>
      </c>
      <c r="G888" t="s">
        <v>197</v>
      </c>
      <c r="H888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4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hidden="1" x14ac:dyDescent="0.25">
      <c r="A889" s="1">
        <v>46128</v>
      </c>
      <c r="B889" s="1">
        <v>46128</v>
      </c>
      <c r="C889" t="s">
        <v>169</v>
      </c>
      <c r="D889" s="38">
        <v>4</v>
      </c>
      <c r="E889" t="s">
        <v>169</v>
      </c>
      <c r="F889">
        <v>304002</v>
      </c>
      <c r="G889" t="s">
        <v>37</v>
      </c>
      <c r="H889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 t="s">
        <v>2008</v>
      </c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4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hidden="1" x14ac:dyDescent="0.25">
      <c r="A890" s="1">
        <v>46128</v>
      </c>
      <c r="B890" s="1">
        <v>46128</v>
      </c>
      <c r="C890" t="s">
        <v>169</v>
      </c>
      <c r="D890" s="38">
        <v>4</v>
      </c>
      <c r="E890" t="s">
        <v>169</v>
      </c>
      <c r="F890">
        <v>307096</v>
      </c>
      <c r="G890" t="s">
        <v>249</v>
      </c>
      <c r="H890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4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hidden="1" x14ac:dyDescent="0.25">
      <c r="A891" s="1">
        <v>46128</v>
      </c>
      <c r="B891" s="1">
        <v>46128</v>
      </c>
      <c r="C891" t="s">
        <v>169</v>
      </c>
      <c r="D891" s="38">
        <v>4</v>
      </c>
      <c r="E891" t="s">
        <v>169</v>
      </c>
      <c r="F891">
        <v>704021</v>
      </c>
      <c r="G891" t="s">
        <v>329</v>
      </c>
      <c r="H89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4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hidden="1" x14ac:dyDescent="0.25">
      <c r="A892" s="1">
        <v>46128</v>
      </c>
      <c r="B892" s="1">
        <v>46128</v>
      </c>
      <c r="C892" t="s">
        <v>169</v>
      </c>
      <c r="D892" s="38">
        <v>4</v>
      </c>
      <c r="E892" t="s">
        <v>169</v>
      </c>
      <c r="F892">
        <v>602255</v>
      </c>
      <c r="G892" t="s">
        <v>203</v>
      </c>
      <c r="H892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4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hidden="1" x14ac:dyDescent="0.25">
      <c r="A893" s="1">
        <v>46128</v>
      </c>
      <c r="B893" s="1">
        <v>46128</v>
      </c>
      <c r="C893" t="s">
        <v>169</v>
      </c>
      <c r="D893" s="38">
        <v>4</v>
      </c>
      <c r="E893" t="s">
        <v>169</v>
      </c>
      <c r="F893">
        <v>602254</v>
      </c>
      <c r="G893" t="s">
        <v>214</v>
      </c>
      <c r="H893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4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hidden="1" x14ac:dyDescent="0.25">
      <c r="A894" s="1">
        <v>46128</v>
      </c>
      <c r="B894" s="1">
        <v>46128</v>
      </c>
      <c r="C894" t="s">
        <v>169</v>
      </c>
      <c r="D894" s="38">
        <v>4</v>
      </c>
      <c r="E894" t="s">
        <v>169</v>
      </c>
      <c r="F894">
        <v>2505058</v>
      </c>
      <c r="G894" t="s">
        <v>142</v>
      </c>
      <c r="H894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4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hidden="1" x14ac:dyDescent="0.25">
      <c r="A895" s="1">
        <v>46128</v>
      </c>
      <c r="B895" s="1">
        <v>46128</v>
      </c>
      <c r="C895" t="s">
        <v>169</v>
      </c>
      <c r="D895" s="38">
        <v>4</v>
      </c>
      <c r="E895" t="s">
        <v>169</v>
      </c>
      <c r="F895">
        <v>412016</v>
      </c>
      <c r="G895" t="s">
        <v>719</v>
      </c>
      <c r="H895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4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hidden="1" x14ac:dyDescent="0.25">
      <c r="A896" s="1">
        <v>46128</v>
      </c>
      <c r="B896" s="1">
        <v>46128</v>
      </c>
      <c r="C896" t="s">
        <v>169</v>
      </c>
      <c r="D896" s="38">
        <v>4</v>
      </c>
      <c r="E896" t="s">
        <v>169</v>
      </c>
      <c r="F896">
        <v>2302119</v>
      </c>
      <c r="G896" t="s">
        <v>74</v>
      </c>
      <c r="H896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4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hidden="1" x14ac:dyDescent="0.25">
      <c r="A897" s="1">
        <v>46128</v>
      </c>
      <c r="B897" s="1">
        <v>46128</v>
      </c>
      <c r="C897" t="s">
        <v>169</v>
      </c>
      <c r="D897" s="38">
        <v>4</v>
      </c>
      <c r="E897" t="s">
        <v>169</v>
      </c>
      <c r="F897">
        <v>2304003</v>
      </c>
      <c r="G897" t="s">
        <v>132</v>
      </c>
      <c r="H897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4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hidden="1" x14ac:dyDescent="0.25">
      <c r="A898" s="1">
        <v>46128</v>
      </c>
      <c r="B898" s="1">
        <v>46128</v>
      </c>
      <c r="C898" t="s">
        <v>169</v>
      </c>
      <c r="D898" s="38">
        <v>4</v>
      </c>
      <c r="E898" t="s">
        <v>169</v>
      </c>
      <c r="F898">
        <v>2304053</v>
      </c>
      <c r="G898" t="s">
        <v>213</v>
      </c>
      <c r="H898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4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hidden="1" x14ac:dyDescent="0.25">
      <c r="A899" s="1">
        <v>46128</v>
      </c>
      <c r="B899" s="1">
        <v>46128</v>
      </c>
      <c r="C899" t="s">
        <v>169</v>
      </c>
      <c r="D899" s="38">
        <v>4</v>
      </c>
      <c r="E899" t="s">
        <v>169</v>
      </c>
      <c r="F899">
        <v>2304002</v>
      </c>
      <c r="G899" t="s">
        <v>212</v>
      </c>
      <c r="H899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4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hidden="1" x14ac:dyDescent="0.25">
      <c r="A900" s="1">
        <v>46128</v>
      </c>
      <c r="B900" s="1">
        <v>46128</v>
      </c>
      <c r="C900" t="s">
        <v>169</v>
      </c>
      <c r="D900" s="38">
        <v>4</v>
      </c>
      <c r="E900" t="s">
        <v>169</v>
      </c>
      <c r="F900">
        <v>412132</v>
      </c>
      <c r="G900" t="s">
        <v>738</v>
      </c>
      <c r="H900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4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hidden="1" x14ac:dyDescent="0.25">
      <c r="A901" s="1">
        <v>46128</v>
      </c>
      <c r="B901" s="1">
        <v>46128</v>
      </c>
      <c r="C901" t="s">
        <v>169</v>
      </c>
      <c r="D901" s="38">
        <v>4</v>
      </c>
      <c r="E901" t="s">
        <v>169</v>
      </c>
      <c r="F901">
        <v>302028</v>
      </c>
      <c r="G901" t="s">
        <v>246</v>
      </c>
      <c r="H90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 t="s">
        <v>2017</v>
      </c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4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hidden="1" x14ac:dyDescent="0.25">
      <c r="A902" s="1">
        <v>46128</v>
      </c>
      <c r="B902" s="1">
        <v>46128</v>
      </c>
      <c r="C902" t="s">
        <v>169</v>
      </c>
      <c r="D902" s="38">
        <v>4</v>
      </c>
      <c r="E902" t="s">
        <v>169</v>
      </c>
      <c r="F902">
        <v>302054</v>
      </c>
      <c r="G902" t="s">
        <v>356</v>
      </c>
      <c r="H902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4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hidden="1" x14ac:dyDescent="0.25">
      <c r="A903" s="1">
        <v>46128</v>
      </c>
      <c r="B903" s="1">
        <v>46128</v>
      </c>
      <c r="C903" t="s">
        <v>169</v>
      </c>
      <c r="D903" s="38">
        <v>4</v>
      </c>
      <c r="E903" t="s">
        <v>169</v>
      </c>
      <c r="F903">
        <v>407423</v>
      </c>
      <c r="G903" t="s">
        <v>106</v>
      </c>
      <c r="H903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4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hidden="1" x14ac:dyDescent="0.25">
      <c r="A904" s="1">
        <v>46128</v>
      </c>
      <c r="B904" s="1">
        <v>46128</v>
      </c>
      <c r="C904" t="s">
        <v>169</v>
      </c>
      <c r="D904" s="38">
        <v>4</v>
      </c>
      <c r="E904" t="s">
        <v>169</v>
      </c>
      <c r="F904">
        <v>407011</v>
      </c>
      <c r="G904" t="s">
        <v>30</v>
      </c>
      <c r="H904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4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hidden="1" x14ac:dyDescent="0.25">
      <c r="A905" s="1">
        <v>46128</v>
      </c>
      <c r="B905" s="1">
        <v>46128</v>
      </c>
      <c r="C905" t="s">
        <v>169</v>
      </c>
      <c r="D905" s="38">
        <v>4</v>
      </c>
      <c r="E905" t="s">
        <v>169</v>
      </c>
      <c r="F905">
        <v>2302098</v>
      </c>
      <c r="G905" t="s">
        <v>24</v>
      </c>
      <c r="H905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4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hidden="1" x14ac:dyDescent="0.25">
      <c r="A906" s="1">
        <v>46128</v>
      </c>
      <c r="B906" s="1">
        <v>46128</v>
      </c>
      <c r="C906" t="s">
        <v>169</v>
      </c>
      <c r="D906" s="38">
        <v>4</v>
      </c>
      <c r="E906" t="s">
        <v>169</v>
      </c>
      <c r="F906" t="s">
        <v>166</v>
      </c>
      <c r="G906" t="s">
        <v>167</v>
      </c>
      <c r="H906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 t="s">
        <v>2008</v>
      </c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4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hidden="1" x14ac:dyDescent="0.25">
      <c r="A907" s="1">
        <v>46128</v>
      </c>
      <c r="B907" s="1">
        <v>46128</v>
      </c>
      <c r="C907" t="s">
        <v>169</v>
      </c>
      <c r="D907" s="38">
        <v>4</v>
      </c>
      <c r="E907" t="s">
        <v>169</v>
      </c>
      <c r="F907">
        <v>2302024</v>
      </c>
      <c r="G907" t="s">
        <v>234</v>
      </c>
      <c r="H907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4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hidden="1" x14ac:dyDescent="0.25">
      <c r="A908" s="1">
        <v>46128</v>
      </c>
      <c r="B908" s="1">
        <v>46128</v>
      </c>
      <c r="C908" t="s">
        <v>169</v>
      </c>
      <c r="D908" s="38">
        <v>4</v>
      </c>
      <c r="E908" t="s">
        <v>169</v>
      </c>
      <c r="F908">
        <v>704079</v>
      </c>
      <c r="G908" t="s">
        <v>209</v>
      </c>
      <c r="H908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4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hidden="1" x14ac:dyDescent="0.25">
      <c r="A909" s="1">
        <v>46128</v>
      </c>
      <c r="B909" s="1">
        <v>46128</v>
      </c>
      <c r="C909" t="s">
        <v>169</v>
      </c>
      <c r="D909" s="38">
        <v>4</v>
      </c>
      <c r="E909" t="s">
        <v>169</v>
      </c>
      <c r="F909">
        <v>617007</v>
      </c>
      <c r="G909" t="s">
        <v>188</v>
      </c>
      <c r="H909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4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hidden="1" x14ac:dyDescent="0.25">
      <c r="A910" s="1">
        <v>46128</v>
      </c>
      <c r="B910" s="1">
        <v>46128</v>
      </c>
      <c r="C910" t="s">
        <v>169</v>
      </c>
      <c r="D910" s="38">
        <v>4</v>
      </c>
      <c r="E910" t="s">
        <v>169</v>
      </c>
      <c r="F910">
        <v>404252</v>
      </c>
      <c r="G910" t="s">
        <v>181</v>
      </c>
      <c r="H910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4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hidden="1" x14ac:dyDescent="0.25">
      <c r="A911" s="1">
        <v>46129</v>
      </c>
      <c r="B911" s="1">
        <v>46129</v>
      </c>
      <c r="C911" t="s">
        <v>169</v>
      </c>
      <c r="D911" s="38">
        <v>4</v>
      </c>
      <c r="E911" t="s">
        <v>169</v>
      </c>
      <c r="F911">
        <v>1405025</v>
      </c>
      <c r="G911" t="s">
        <v>189</v>
      </c>
      <c r="H91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 t="s">
        <v>2008</v>
      </c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4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hidden="1" x14ac:dyDescent="0.25">
      <c r="A912" s="1">
        <v>46129</v>
      </c>
      <c r="B912" s="1">
        <v>46129</v>
      </c>
      <c r="C912" t="s">
        <v>169</v>
      </c>
      <c r="D912" s="38">
        <v>4</v>
      </c>
      <c r="E912" t="s">
        <v>169</v>
      </c>
      <c r="F912">
        <v>2508990</v>
      </c>
      <c r="G912" t="s">
        <v>482</v>
      </c>
      <c r="H912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4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hidden="1" x14ac:dyDescent="0.25">
      <c r="A913" s="1">
        <v>46129</v>
      </c>
      <c r="B913" s="1">
        <v>46129</v>
      </c>
      <c r="C913" t="s">
        <v>169</v>
      </c>
      <c r="D913" s="38">
        <v>4</v>
      </c>
      <c r="E913" t="s">
        <v>169</v>
      </c>
      <c r="F913">
        <v>2508991</v>
      </c>
      <c r="G913" t="s">
        <v>483</v>
      </c>
      <c r="H913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4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hidden="1" x14ac:dyDescent="0.25">
      <c r="A914" s="1">
        <v>46129</v>
      </c>
      <c r="B914" s="1">
        <v>46129</v>
      </c>
      <c r="C914" t="s">
        <v>169</v>
      </c>
      <c r="D914" s="38">
        <v>4</v>
      </c>
      <c r="E914" t="s">
        <v>169</v>
      </c>
      <c r="F914">
        <v>2508992</v>
      </c>
      <c r="G914" t="s">
        <v>484</v>
      </c>
      <c r="H914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4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hidden="1" x14ac:dyDescent="0.25">
      <c r="A915" s="1">
        <v>46129</v>
      </c>
      <c r="B915" s="1">
        <v>46129</v>
      </c>
      <c r="C915" t="s">
        <v>169</v>
      </c>
      <c r="D915" s="38">
        <v>4</v>
      </c>
      <c r="E915" t="s">
        <v>169</v>
      </c>
      <c r="F915">
        <v>2508993</v>
      </c>
      <c r="G915" t="s">
        <v>485</v>
      </c>
      <c r="H915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4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hidden="1" x14ac:dyDescent="0.25">
      <c r="A916" s="1">
        <v>46129</v>
      </c>
      <c r="B916" s="1">
        <v>46129</v>
      </c>
      <c r="C916" t="s">
        <v>169</v>
      </c>
      <c r="D916" s="38">
        <v>4</v>
      </c>
      <c r="E916" t="s">
        <v>169</v>
      </c>
      <c r="F916">
        <v>2508994</v>
      </c>
      <c r="G916" t="s">
        <v>486</v>
      </c>
      <c r="H916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4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hidden="1" x14ac:dyDescent="0.25">
      <c r="A917" s="1">
        <v>46129</v>
      </c>
      <c r="B917" s="1">
        <v>46129</v>
      </c>
      <c r="C917" t="s">
        <v>169</v>
      </c>
      <c r="D917" s="38">
        <v>4</v>
      </c>
      <c r="E917" t="s">
        <v>169</v>
      </c>
      <c r="F917">
        <v>609008</v>
      </c>
      <c r="G917" t="s">
        <v>57</v>
      </c>
      <c r="H917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4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hidden="1" x14ac:dyDescent="0.25">
      <c r="A918" s="1">
        <v>46129</v>
      </c>
      <c r="B918" s="1">
        <v>46129</v>
      </c>
      <c r="C918" t="s">
        <v>169</v>
      </c>
      <c r="D918" s="38">
        <v>4</v>
      </c>
      <c r="E918" t="s">
        <v>169</v>
      </c>
      <c r="F918">
        <v>307033</v>
      </c>
      <c r="G918" t="s">
        <v>248</v>
      </c>
      <c r="H918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4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hidden="1" x14ac:dyDescent="0.25">
      <c r="A919" s="1">
        <v>46129</v>
      </c>
      <c r="B919" s="1">
        <v>46129</v>
      </c>
      <c r="C919" t="s">
        <v>169</v>
      </c>
      <c r="D919" s="38">
        <v>4</v>
      </c>
      <c r="E919" t="s">
        <v>169</v>
      </c>
      <c r="F919">
        <v>704079</v>
      </c>
      <c r="G919" t="s">
        <v>209</v>
      </c>
      <c r="H919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 t="s">
        <v>2017</v>
      </c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4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hidden="1" x14ac:dyDescent="0.25">
      <c r="A920" s="1">
        <v>46129</v>
      </c>
      <c r="B920" s="1">
        <v>46129</v>
      </c>
      <c r="C920" t="s">
        <v>169</v>
      </c>
      <c r="D920" s="38">
        <v>4</v>
      </c>
      <c r="E920" t="s">
        <v>169</v>
      </c>
      <c r="F920">
        <v>5314002</v>
      </c>
      <c r="G920" t="s">
        <v>342</v>
      </c>
      <c r="H920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4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hidden="1" x14ac:dyDescent="0.25">
      <c r="A921" s="1">
        <v>46129</v>
      </c>
      <c r="B921" s="1">
        <v>46129</v>
      </c>
      <c r="C921" t="s">
        <v>169</v>
      </c>
      <c r="D921" s="38">
        <v>4</v>
      </c>
      <c r="E921" t="s">
        <v>169</v>
      </c>
      <c r="F921">
        <v>302054</v>
      </c>
      <c r="G921" t="s">
        <v>356</v>
      </c>
      <c r="H92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4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hidden="1" x14ac:dyDescent="0.25">
      <c r="A922" s="1">
        <v>46129</v>
      </c>
      <c r="B922" s="1">
        <v>46129</v>
      </c>
      <c r="C922" t="s">
        <v>169</v>
      </c>
      <c r="D922" s="38">
        <v>4</v>
      </c>
      <c r="E922" t="s">
        <v>169</v>
      </c>
      <c r="F922">
        <v>304101</v>
      </c>
      <c r="G922" t="s">
        <v>17</v>
      </c>
      <c r="H922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4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hidden="1" x14ac:dyDescent="0.25">
      <c r="A923" s="1">
        <v>46129</v>
      </c>
      <c r="B923" s="1">
        <v>46129</v>
      </c>
      <c r="C923" t="s">
        <v>169</v>
      </c>
      <c r="D923" s="38">
        <v>4</v>
      </c>
      <c r="E923" t="s">
        <v>169</v>
      </c>
      <c r="F923">
        <v>4212234</v>
      </c>
      <c r="G923" t="s">
        <v>54</v>
      </c>
      <c r="H923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4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hidden="1" x14ac:dyDescent="0.25">
      <c r="A924" s="1">
        <v>46129</v>
      </c>
      <c r="B924" s="1">
        <v>46129</v>
      </c>
      <c r="C924" t="s">
        <v>169</v>
      </c>
      <c r="D924" s="38">
        <v>4</v>
      </c>
      <c r="E924" t="s">
        <v>169</v>
      </c>
      <c r="F924">
        <v>412630</v>
      </c>
      <c r="G924" t="s">
        <v>284</v>
      </c>
      <c r="H924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4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hidden="1" x14ac:dyDescent="0.25">
      <c r="A925" s="1">
        <v>46129</v>
      </c>
      <c r="B925" s="1">
        <v>46129</v>
      </c>
      <c r="C925" t="s">
        <v>169</v>
      </c>
      <c r="D925" s="38">
        <v>4</v>
      </c>
      <c r="E925" t="s">
        <v>169</v>
      </c>
      <c r="F925">
        <v>304049</v>
      </c>
      <c r="G925" t="s">
        <v>318</v>
      </c>
      <c r="H925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4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hidden="1" x14ac:dyDescent="0.25">
      <c r="A926" s="1">
        <v>46129</v>
      </c>
      <c r="B926" s="1">
        <v>46129</v>
      </c>
      <c r="C926" t="s">
        <v>169</v>
      </c>
      <c r="D926" s="38">
        <v>4</v>
      </c>
      <c r="E926" t="s">
        <v>169</v>
      </c>
      <c r="F926">
        <v>701096</v>
      </c>
      <c r="G926" t="s">
        <v>204</v>
      </c>
      <c r="H926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4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hidden="1" x14ac:dyDescent="0.25">
      <c r="A927" s="1">
        <v>46129</v>
      </c>
      <c r="B927" s="1">
        <v>46129</v>
      </c>
      <c r="C927" t="s">
        <v>169</v>
      </c>
      <c r="D927" s="38">
        <v>4</v>
      </c>
      <c r="E927" t="s">
        <v>169</v>
      </c>
      <c r="F927">
        <v>701040</v>
      </c>
      <c r="G927" t="s">
        <v>19</v>
      </c>
      <c r="H927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4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hidden="1" x14ac:dyDescent="0.25">
      <c r="A928" s="1">
        <v>46129</v>
      </c>
      <c r="B928" s="1">
        <v>46129</v>
      </c>
      <c r="C928" t="s">
        <v>169</v>
      </c>
      <c r="D928" s="38">
        <v>4</v>
      </c>
      <c r="E928" t="s">
        <v>169</v>
      </c>
      <c r="F928" t="s">
        <v>296</v>
      </c>
      <c r="G928" t="s">
        <v>297</v>
      </c>
      <c r="H928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2009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4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hidden="1" x14ac:dyDescent="0.25">
      <c r="A929" s="1">
        <v>46129</v>
      </c>
      <c r="B929" s="1">
        <v>46129</v>
      </c>
      <c r="C929" t="s">
        <v>169</v>
      </c>
      <c r="D929" s="38">
        <v>4</v>
      </c>
      <c r="E929" t="s">
        <v>169</v>
      </c>
      <c r="F929" t="s">
        <v>288</v>
      </c>
      <c r="G929" t="s">
        <v>289</v>
      </c>
      <c r="H929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2009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4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hidden="1" x14ac:dyDescent="0.25">
      <c r="A930" s="1">
        <v>46129</v>
      </c>
      <c r="B930" s="1">
        <v>46129</v>
      </c>
      <c r="C930" t="s">
        <v>169</v>
      </c>
      <c r="D930" s="38">
        <v>4</v>
      </c>
      <c r="E930" t="s">
        <v>169</v>
      </c>
      <c r="F930" t="s">
        <v>286</v>
      </c>
      <c r="G930" t="s">
        <v>287</v>
      </c>
      <c r="H930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2009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4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hidden="1" x14ac:dyDescent="0.25">
      <c r="A931" s="1">
        <v>46129</v>
      </c>
      <c r="B931" s="1">
        <v>46129</v>
      </c>
      <c r="C931" t="s">
        <v>169</v>
      </c>
      <c r="D931" s="38">
        <v>4</v>
      </c>
      <c r="E931" t="s">
        <v>169</v>
      </c>
      <c r="F931">
        <v>302046</v>
      </c>
      <c r="G931" t="s">
        <v>115</v>
      </c>
      <c r="H93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 t="s">
        <v>2017</v>
      </c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4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hidden="1" x14ac:dyDescent="0.25">
      <c r="A932" s="1">
        <v>46129</v>
      </c>
      <c r="B932" s="1">
        <v>46129</v>
      </c>
      <c r="C932" t="s">
        <v>169</v>
      </c>
      <c r="D932" s="38">
        <v>4</v>
      </c>
      <c r="E932" t="s">
        <v>169</v>
      </c>
      <c r="F932">
        <v>302048</v>
      </c>
      <c r="G932" t="s">
        <v>126</v>
      </c>
      <c r="H932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4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hidden="1" x14ac:dyDescent="0.25">
      <c r="A933" s="1">
        <v>46129</v>
      </c>
      <c r="B933" s="1">
        <v>46129</v>
      </c>
      <c r="C933" t="s">
        <v>169</v>
      </c>
      <c r="D933" s="38">
        <v>4</v>
      </c>
      <c r="E933" t="s">
        <v>169</v>
      </c>
      <c r="F933">
        <v>1901008</v>
      </c>
      <c r="G933" t="s">
        <v>278</v>
      </c>
      <c r="H933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4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hidden="1" x14ac:dyDescent="0.25">
      <c r="A934" s="1">
        <v>46129</v>
      </c>
      <c r="B934" s="1">
        <v>46129</v>
      </c>
      <c r="C934" t="s">
        <v>169</v>
      </c>
      <c r="D934" s="38">
        <v>4</v>
      </c>
      <c r="E934" t="s">
        <v>169</v>
      </c>
      <c r="F934">
        <v>5309018</v>
      </c>
      <c r="G934" t="s">
        <v>112</v>
      </c>
      <c r="H934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4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hidden="1" x14ac:dyDescent="0.25">
      <c r="A935" s="1">
        <v>46129</v>
      </c>
      <c r="B935" s="1">
        <v>46129</v>
      </c>
      <c r="C935" t="s">
        <v>169</v>
      </c>
      <c r="D935" s="38">
        <v>4</v>
      </c>
      <c r="E935" t="s">
        <v>169</v>
      </c>
      <c r="F935">
        <v>304007</v>
      </c>
      <c r="G935" t="s">
        <v>80</v>
      </c>
      <c r="H935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4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hidden="1" x14ac:dyDescent="0.25">
      <c r="A936" s="1">
        <v>46132</v>
      </c>
      <c r="B936" s="1">
        <v>46132</v>
      </c>
      <c r="C936" t="s">
        <v>169</v>
      </c>
      <c r="D936" s="38">
        <v>4</v>
      </c>
      <c r="E936" t="s">
        <v>169</v>
      </c>
      <c r="F936">
        <v>2508985</v>
      </c>
      <c r="G936" t="s">
        <v>304</v>
      </c>
      <c r="H936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 t="s">
        <v>2008</v>
      </c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4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hidden="1" x14ac:dyDescent="0.25">
      <c r="A937" s="1">
        <v>46132</v>
      </c>
      <c r="B937" s="1">
        <v>46132</v>
      </c>
      <c r="C937" t="s">
        <v>169</v>
      </c>
      <c r="D937" s="38">
        <v>4</v>
      </c>
      <c r="E937" t="s">
        <v>169</v>
      </c>
      <c r="F937">
        <v>2508987</v>
      </c>
      <c r="G937" t="s">
        <v>305</v>
      </c>
      <c r="H937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4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hidden="1" x14ac:dyDescent="0.25">
      <c r="A938" s="1">
        <v>46132</v>
      </c>
      <c r="B938" s="1">
        <v>46132</v>
      </c>
      <c r="C938" t="s">
        <v>169</v>
      </c>
      <c r="D938" s="38">
        <v>4</v>
      </c>
      <c r="E938" t="s">
        <v>169</v>
      </c>
      <c r="F938">
        <v>1802517</v>
      </c>
      <c r="G938" t="s">
        <v>141</v>
      </c>
      <c r="H938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4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hidden="1" x14ac:dyDescent="0.25">
      <c r="A939" s="1">
        <v>46132</v>
      </c>
      <c r="B939" s="1">
        <v>46132</v>
      </c>
      <c r="C939" t="s">
        <v>169</v>
      </c>
      <c r="D939" s="38">
        <v>4</v>
      </c>
      <c r="E939" t="s">
        <v>169</v>
      </c>
      <c r="F939">
        <v>2304008</v>
      </c>
      <c r="G939" t="s">
        <v>704</v>
      </c>
      <c r="H939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4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hidden="1" x14ac:dyDescent="0.25">
      <c r="A940" s="1">
        <v>46132</v>
      </c>
      <c r="B940" s="1">
        <v>46132</v>
      </c>
      <c r="C940" t="s">
        <v>169</v>
      </c>
      <c r="D940" s="38">
        <v>4</v>
      </c>
      <c r="E940" t="s">
        <v>169</v>
      </c>
      <c r="F940">
        <v>2302119</v>
      </c>
      <c r="G940" t="s">
        <v>74</v>
      </c>
      <c r="H940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4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hidden="1" x14ac:dyDescent="0.25">
      <c r="A941" s="1">
        <v>46132</v>
      </c>
      <c r="B941" s="1">
        <v>46132</v>
      </c>
      <c r="C941" t="s">
        <v>169</v>
      </c>
      <c r="D941" s="38">
        <v>4</v>
      </c>
      <c r="E941" t="s">
        <v>169</v>
      </c>
      <c r="F941">
        <v>307031</v>
      </c>
      <c r="G941" t="s">
        <v>65</v>
      </c>
      <c r="H94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4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hidden="1" x14ac:dyDescent="0.25">
      <c r="A942" s="1">
        <v>46132</v>
      </c>
      <c r="B942" s="1">
        <v>46132</v>
      </c>
      <c r="C942" t="s">
        <v>169</v>
      </c>
      <c r="D942" s="38">
        <v>4</v>
      </c>
      <c r="E942" t="s">
        <v>169</v>
      </c>
      <c r="F942">
        <v>2304002</v>
      </c>
      <c r="G942" t="s">
        <v>212</v>
      </c>
      <c r="H942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4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hidden="1" x14ac:dyDescent="0.25">
      <c r="A943" s="1">
        <v>46132</v>
      </c>
      <c r="B943" s="1">
        <v>46132</v>
      </c>
      <c r="C943" t="s">
        <v>169</v>
      </c>
      <c r="D943" s="38">
        <v>4</v>
      </c>
      <c r="E943" t="s">
        <v>169</v>
      </c>
      <c r="F943">
        <v>2304053</v>
      </c>
      <c r="G943" t="s">
        <v>213</v>
      </c>
      <c r="H943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4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hidden="1" x14ac:dyDescent="0.25">
      <c r="A944" s="1">
        <v>46132</v>
      </c>
      <c r="B944" s="1">
        <v>46132</v>
      </c>
      <c r="C944" t="s">
        <v>169</v>
      </c>
      <c r="D944" s="38">
        <v>4</v>
      </c>
      <c r="E944" t="s">
        <v>169</v>
      </c>
      <c r="F944">
        <v>307096</v>
      </c>
      <c r="G944" t="s">
        <v>249</v>
      </c>
      <c r="H944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4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hidden="1" x14ac:dyDescent="0.25">
      <c r="A945" s="1">
        <v>46132</v>
      </c>
      <c r="B945" s="1">
        <v>46132</v>
      </c>
      <c r="C945" t="s">
        <v>169</v>
      </c>
      <c r="D945" s="38">
        <v>4</v>
      </c>
      <c r="E945" t="s">
        <v>169</v>
      </c>
      <c r="F945">
        <v>307033</v>
      </c>
      <c r="G945" t="s">
        <v>248</v>
      </c>
      <c r="H945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4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hidden="1" x14ac:dyDescent="0.25">
      <c r="A946" s="1">
        <v>46132</v>
      </c>
      <c r="B946" s="1">
        <v>46132</v>
      </c>
      <c r="C946" t="s">
        <v>169</v>
      </c>
      <c r="D946" s="38">
        <v>4</v>
      </c>
      <c r="E946" t="s">
        <v>169</v>
      </c>
      <c r="F946">
        <v>2304002</v>
      </c>
      <c r="G946" t="s">
        <v>212</v>
      </c>
      <c r="H946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 t="s">
        <v>2017</v>
      </c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4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hidden="1" x14ac:dyDescent="0.25">
      <c r="A947" s="1">
        <v>46132</v>
      </c>
      <c r="B947" s="1">
        <v>46132</v>
      </c>
      <c r="C947" t="s">
        <v>169</v>
      </c>
      <c r="D947" s="38">
        <v>4</v>
      </c>
      <c r="E947" t="s">
        <v>169</v>
      </c>
      <c r="F947">
        <v>407049</v>
      </c>
      <c r="G947" t="s">
        <v>232</v>
      </c>
      <c r="H947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4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hidden="1" x14ac:dyDescent="0.25">
      <c r="A948" s="1">
        <v>46132</v>
      </c>
      <c r="B948" s="1">
        <v>46132</v>
      </c>
      <c r="C948" t="s">
        <v>169</v>
      </c>
      <c r="D948" s="38">
        <v>4</v>
      </c>
      <c r="E948" t="s">
        <v>169</v>
      </c>
      <c r="F948">
        <v>704023</v>
      </c>
      <c r="G948" t="s">
        <v>331</v>
      </c>
      <c r="H948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4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hidden="1" x14ac:dyDescent="0.25">
      <c r="A949" s="1">
        <v>46132</v>
      </c>
      <c r="B949" s="1">
        <v>46132</v>
      </c>
      <c r="C949" t="s">
        <v>169</v>
      </c>
      <c r="D949" s="38">
        <v>4</v>
      </c>
      <c r="E949" t="s">
        <v>169</v>
      </c>
      <c r="F949">
        <v>304012</v>
      </c>
      <c r="G949" t="s">
        <v>707</v>
      </c>
      <c r="H949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 t="s">
        <v>2008</v>
      </c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4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hidden="1" x14ac:dyDescent="0.25">
      <c r="A950" s="1">
        <v>46132</v>
      </c>
      <c r="B950" s="1">
        <v>46132</v>
      </c>
      <c r="C950" t="s">
        <v>169</v>
      </c>
      <c r="D950" s="38">
        <v>4</v>
      </c>
      <c r="E950" t="s">
        <v>169</v>
      </c>
      <c r="F950">
        <v>1802171</v>
      </c>
      <c r="G950" t="s">
        <v>265</v>
      </c>
      <c r="H950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4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hidden="1" x14ac:dyDescent="0.25">
      <c r="A951" s="1">
        <v>46132</v>
      </c>
      <c r="B951" s="1">
        <v>46132</v>
      </c>
      <c r="C951" t="s">
        <v>169</v>
      </c>
      <c r="D951" s="38">
        <v>4</v>
      </c>
      <c r="E951" t="s">
        <v>169</v>
      </c>
      <c r="F951">
        <v>2508988</v>
      </c>
      <c r="G951" t="s">
        <v>467</v>
      </c>
      <c r="H95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4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hidden="1" x14ac:dyDescent="0.25">
      <c r="A952" s="1">
        <v>46132</v>
      </c>
      <c r="B952" s="1">
        <v>46132</v>
      </c>
      <c r="C952" t="s">
        <v>169</v>
      </c>
      <c r="D952" s="38">
        <v>4</v>
      </c>
      <c r="E952" t="s">
        <v>169</v>
      </c>
      <c r="F952">
        <v>1103076</v>
      </c>
      <c r="G952" t="s">
        <v>311</v>
      </c>
      <c r="H952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4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hidden="1" x14ac:dyDescent="0.25">
      <c r="A953" s="1">
        <v>46132</v>
      </c>
      <c r="B953" s="1">
        <v>46132</v>
      </c>
      <c r="C953" t="s">
        <v>169</v>
      </c>
      <c r="D953" s="38">
        <v>4</v>
      </c>
      <c r="E953" t="s">
        <v>169</v>
      </c>
      <c r="F953">
        <v>1103074</v>
      </c>
      <c r="G953" t="s">
        <v>310</v>
      </c>
      <c r="H953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4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hidden="1" x14ac:dyDescent="0.25">
      <c r="A954" s="1">
        <v>46132</v>
      </c>
      <c r="B954" s="1">
        <v>46132</v>
      </c>
      <c r="C954" t="s">
        <v>169</v>
      </c>
      <c r="D954" s="38">
        <v>4</v>
      </c>
      <c r="E954" t="s">
        <v>169</v>
      </c>
      <c r="F954">
        <v>907031</v>
      </c>
      <c r="G954" t="s">
        <v>256</v>
      </c>
      <c r="H954" t="s">
        <v>743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4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hidden="1" x14ac:dyDescent="0.25">
      <c r="A955" s="1">
        <v>46132</v>
      </c>
      <c r="B955" s="1">
        <v>46132</v>
      </c>
      <c r="C955" t="s">
        <v>169</v>
      </c>
      <c r="D955" s="38">
        <v>4</v>
      </c>
      <c r="E955" t="s">
        <v>169</v>
      </c>
      <c r="F955">
        <v>2302017</v>
      </c>
      <c r="G955" t="s">
        <v>156</v>
      </c>
      <c r="H955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4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hidden="1" x14ac:dyDescent="0.25">
      <c r="A956" s="1">
        <v>46132</v>
      </c>
      <c r="B956" s="1">
        <v>46132</v>
      </c>
      <c r="C956" t="s">
        <v>169</v>
      </c>
      <c r="D956" s="38">
        <v>4</v>
      </c>
      <c r="E956" t="s">
        <v>169</v>
      </c>
      <c r="F956">
        <v>1610023</v>
      </c>
      <c r="G956" t="s">
        <v>351</v>
      </c>
      <c r="H956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4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hidden="1" x14ac:dyDescent="0.25">
      <c r="A957" s="1">
        <v>46132</v>
      </c>
      <c r="B957" s="1">
        <v>46132</v>
      </c>
      <c r="C957" t="s">
        <v>169</v>
      </c>
      <c r="D957" s="38">
        <v>4</v>
      </c>
      <c r="E957" t="s">
        <v>169</v>
      </c>
      <c r="F957">
        <v>609008</v>
      </c>
      <c r="G957" t="s">
        <v>57</v>
      </c>
      <c r="H957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4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hidden="1" x14ac:dyDescent="0.25">
      <c r="A958" s="1">
        <v>46132</v>
      </c>
      <c r="B958" s="1">
        <v>46132</v>
      </c>
      <c r="C958" t="s">
        <v>169</v>
      </c>
      <c r="D958" s="38">
        <v>4</v>
      </c>
      <c r="E958" t="s">
        <v>169</v>
      </c>
      <c r="F958">
        <v>1902003</v>
      </c>
      <c r="G958" t="s">
        <v>155</v>
      </c>
      <c r="H958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4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hidden="1" x14ac:dyDescent="0.25">
      <c r="A959" s="1">
        <v>46132</v>
      </c>
      <c r="B959" s="1">
        <v>46132</v>
      </c>
      <c r="C959" t="s">
        <v>169</v>
      </c>
      <c r="D959" s="38">
        <v>4</v>
      </c>
      <c r="E959" t="s">
        <v>169</v>
      </c>
      <c r="F959">
        <v>810007</v>
      </c>
      <c r="G959" t="s">
        <v>235</v>
      </c>
      <c r="H959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4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hidden="1" x14ac:dyDescent="0.25">
      <c r="A960" s="1">
        <v>46133</v>
      </c>
      <c r="B960" s="1">
        <v>46133</v>
      </c>
      <c r="C960" t="s">
        <v>169</v>
      </c>
      <c r="D960" s="38">
        <v>4</v>
      </c>
      <c r="E960" t="s">
        <v>169</v>
      </c>
      <c r="F960">
        <v>5316483</v>
      </c>
      <c r="G960" t="s">
        <v>97</v>
      </c>
      <c r="H960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 t="s">
        <v>2013</v>
      </c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4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hidden="1" x14ac:dyDescent="0.25">
      <c r="A961" s="1">
        <v>46133</v>
      </c>
      <c r="B961" s="1">
        <v>46133</v>
      </c>
      <c r="C961" t="s">
        <v>169</v>
      </c>
      <c r="D961" s="38">
        <v>4</v>
      </c>
      <c r="E961" t="s">
        <v>169</v>
      </c>
      <c r="F961">
        <v>5316484</v>
      </c>
      <c r="G961" t="s">
        <v>96</v>
      </c>
      <c r="H96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4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hidden="1" x14ac:dyDescent="0.25">
      <c r="A962" s="1">
        <v>46133</v>
      </c>
      <c r="B962" s="1">
        <v>46133</v>
      </c>
      <c r="C962" t="s">
        <v>169</v>
      </c>
      <c r="D962" s="38">
        <v>4</v>
      </c>
      <c r="E962" t="s">
        <v>169</v>
      </c>
      <c r="F962">
        <v>5309018</v>
      </c>
      <c r="G962" t="s">
        <v>112</v>
      </c>
      <c r="H962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 t="s">
        <v>2017</v>
      </c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4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hidden="1" x14ac:dyDescent="0.25">
      <c r="A963" s="1">
        <v>46133</v>
      </c>
      <c r="B963" s="1">
        <v>46133</v>
      </c>
      <c r="C963" t="s">
        <v>169</v>
      </c>
      <c r="D963" s="38">
        <v>4</v>
      </c>
      <c r="E963" t="s">
        <v>169</v>
      </c>
      <c r="F963">
        <v>617019</v>
      </c>
      <c r="G963" t="s">
        <v>754</v>
      </c>
      <c r="H963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4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hidden="1" x14ac:dyDescent="0.25">
      <c r="A964" s="1">
        <v>46133</v>
      </c>
      <c r="B964" s="1">
        <v>46133</v>
      </c>
      <c r="C964" t="s">
        <v>169</v>
      </c>
      <c r="D964" s="38">
        <v>4</v>
      </c>
      <c r="E964" t="s">
        <v>169</v>
      </c>
      <c r="F964">
        <v>304101</v>
      </c>
      <c r="G964" t="s">
        <v>17</v>
      </c>
      <c r="H964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4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hidden="1" x14ac:dyDescent="0.25">
      <c r="A965" s="1">
        <v>46133</v>
      </c>
      <c r="B965" s="1">
        <v>46133</v>
      </c>
      <c r="C965" t="s">
        <v>169</v>
      </c>
      <c r="D965" s="38">
        <v>4</v>
      </c>
      <c r="E965" t="s">
        <v>169</v>
      </c>
      <c r="F965" t="s">
        <v>386</v>
      </c>
      <c r="G965" t="s">
        <v>83</v>
      </c>
      <c r="H965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4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hidden="1" x14ac:dyDescent="0.25">
      <c r="A966" s="1">
        <v>46133</v>
      </c>
      <c r="B966" s="1">
        <v>46133</v>
      </c>
      <c r="C966" t="s">
        <v>169</v>
      </c>
      <c r="D966" s="38">
        <v>4</v>
      </c>
      <c r="E966" t="s">
        <v>169</v>
      </c>
      <c r="F966">
        <v>2304002</v>
      </c>
      <c r="G966" t="s">
        <v>212</v>
      </c>
      <c r="H966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4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hidden="1" x14ac:dyDescent="0.25">
      <c r="A967" s="1">
        <v>46133</v>
      </c>
      <c r="B967" s="1">
        <v>46133</v>
      </c>
      <c r="C967" t="s">
        <v>169</v>
      </c>
      <c r="D967" s="38">
        <v>4</v>
      </c>
      <c r="E967" t="s">
        <v>169</v>
      </c>
      <c r="F967">
        <v>407423</v>
      </c>
      <c r="G967" t="s">
        <v>106</v>
      </c>
      <c r="H967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4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hidden="1" x14ac:dyDescent="0.25">
      <c r="A968" s="1">
        <v>46133</v>
      </c>
      <c r="B968" s="1">
        <v>46133</v>
      </c>
      <c r="C968" t="s">
        <v>169</v>
      </c>
      <c r="D968" s="38">
        <v>4</v>
      </c>
      <c r="E968" t="s">
        <v>169</v>
      </c>
      <c r="F968">
        <v>407170</v>
      </c>
      <c r="G968" t="s">
        <v>107</v>
      </c>
      <c r="H968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4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hidden="1" x14ac:dyDescent="0.25">
      <c r="A969" s="1">
        <v>46133</v>
      </c>
      <c r="B969" s="1">
        <v>46133</v>
      </c>
      <c r="C969" t="s">
        <v>169</v>
      </c>
      <c r="D969" s="38">
        <v>4</v>
      </c>
      <c r="E969" t="s">
        <v>169</v>
      </c>
      <c r="F969">
        <v>407011</v>
      </c>
      <c r="G969" t="s">
        <v>30</v>
      </c>
      <c r="H969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4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hidden="1" x14ac:dyDescent="0.25">
      <c r="A970" s="1">
        <v>46133</v>
      </c>
      <c r="B970" s="1">
        <v>46133</v>
      </c>
      <c r="C970" t="s">
        <v>169</v>
      </c>
      <c r="D970" s="38">
        <v>4</v>
      </c>
      <c r="E970" t="s">
        <v>169</v>
      </c>
      <c r="F970">
        <v>1902013</v>
      </c>
      <c r="G970" t="s">
        <v>338</v>
      </c>
      <c r="H970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4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hidden="1" x14ac:dyDescent="0.25">
      <c r="A971" s="1">
        <v>46133</v>
      </c>
      <c r="B971" s="1">
        <v>46133</v>
      </c>
      <c r="C971" t="s">
        <v>169</v>
      </c>
      <c r="D971" s="38">
        <v>4</v>
      </c>
      <c r="E971" t="s">
        <v>169</v>
      </c>
      <c r="F971">
        <v>1103107</v>
      </c>
      <c r="G971" t="s">
        <v>556</v>
      </c>
      <c r="H97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4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hidden="1" x14ac:dyDescent="0.25">
      <c r="A972" s="1">
        <v>46133</v>
      </c>
      <c r="B972" s="1">
        <v>46133</v>
      </c>
      <c r="C972" t="s">
        <v>169</v>
      </c>
      <c r="D972" s="38">
        <v>4</v>
      </c>
      <c r="E972" t="s">
        <v>169</v>
      </c>
      <c r="F972">
        <v>1103105</v>
      </c>
      <c r="G972" t="s">
        <v>555</v>
      </c>
      <c r="H972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4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hidden="1" x14ac:dyDescent="0.25">
      <c r="A973" s="1">
        <v>46133</v>
      </c>
      <c r="B973" s="1">
        <v>46133</v>
      </c>
      <c r="C973" t="s">
        <v>169</v>
      </c>
      <c r="D973" s="38">
        <v>4</v>
      </c>
      <c r="E973" t="s">
        <v>169</v>
      </c>
      <c r="F973">
        <v>408042</v>
      </c>
      <c r="G973" t="s">
        <v>144</v>
      </c>
      <c r="H973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 t="s">
        <v>2008</v>
      </c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4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hidden="1" x14ac:dyDescent="0.25">
      <c r="A974" s="1">
        <v>46133</v>
      </c>
      <c r="B974" s="1">
        <v>46133</v>
      </c>
      <c r="C974" t="s">
        <v>169</v>
      </c>
      <c r="D974" s="38">
        <v>4</v>
      </c>
      <c r="E974" t="s">
        <v>169</v>
      </c>
      <c r="F974">
        <v>307096</v>
      </c>
      <c r="G974" t="s">
        <v>249</v>
      </c>
      <c r="H974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4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hidden="1" x14ac:dyDescent="0.25">
      <c r="A975" s="1">
        <v>46133</v>
      </c>
      <c r="B975" s="1">
        <v>46133</v>
      </c>
      <c r="C975" t="s">
        <v>169</v>
      </c>
      <c r="D975" s="38">
        <v>4</v>
      </c>
      <c r="E975" t="s">
        <v>169</v>
      </c>
      <c r="F975">
        <v>307031</v>
      </c>
      <c r="G975" t="s">
        <v>65</v>
      </c>
      <c r="H975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4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hidden="1" x14ac:dyDescent="0.25">
      <c r="A976" s="1">
        <v>46133</v>
      </c>
      <c r="B976" s="1">
        <v>46133</v>
      </c>
      <c r="C976" t="s">
        <v>169</v>
      </c>
      <c r="D976" s="38">
        <v>4</v>
      </c>
      <c r="E976" t="s">
        <v>169</v>
      </c>
      <c r="F976">
        <v>307032</v>
      </c>
      <c r="G976" t="s">
        <v>186</v>
      </c>
      <c r="H976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4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hidden="1" x14ac:dyDescent="0.25">
      <c r="A977" s="1">
        <v>46133</v>
      </c>
      <c r="B977" s="1">
        <v>46133</v>
      </c>
      <c r="C977" t="s">
        <v>169</v>
      </c>
      <c r="D977" s="38">
        <v>4</v>
      </c>
      <c r="E977" t="s">
        <v>169</v>
      </c>
      <c r="F977">
        <v>2508990</v>
      </c>
      <c r="G977" t="s">
        <v>482</v>
      </c>
      <c r="H977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4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hidden="1" x14ac:dyDescent="0.25">
      <c r="A978" s="1">
        <v>46133</v>
      </c>
      <c r="B978" s="1">
        <v>46133</v>
      </c>
      <c r="C978" t="s">
        <v>169</v>
      </c>
      <c r="D978" s="38">
        <v>4</v>
      </c>
      <c r="E978" t="s">
        <v>169</v>
      </c>
      <c r="F978">
        <v>2508993</v>
      </c>
      <c r="G978" t="s">
        <v>485</v>
      </c>
      <c r="H978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4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hidden="1" x14ac:dyDescent="0.25">
      <c r="A979" s="1">
        <v>46133</v>
      </c>
      <c r="B979" s="1">
        <v>46133</v>
      </c>
      <c r="C979" t="s">
        <v>169</v>
      </c>
      <c r="D979" s="38">
        <v>4</v>
      </c>
      <c r="E979" t="s">
        <v>169</v>
      </c>
      <c r="F979">
        <v>2508986</v>
      </c>
      <c r="G979" t="s">
        <v>706</v>
      </c>
      <c r="H979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4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hidden="1" x14ac:dyDescent="0.25">
      <c r="A980" s="1">
        <v>46133</v>
      </c>
      <c r="B980" s="1">
        <v>46133</v>
      </c>
      <c r="C980" t="s">
        <v>169</v>
      </c>
      <c r="D980" s="38">
        <v>4</v>
      </c>
      <c r="E980" t="s">
        <v>169</v>
      </c>
      <c r="F980">
        <v>408042</v>
      </c>
      <c r="G980" t="s">
        <v>144</v>
      </c>
      <c r="H980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4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hidden="1" x14ac:dyDescent="0.25">
      <c r="A981" s="1">
        <v>46133</v>
      </c>
      <c r="B981" s="1">
        <v>46133</v>
      </c>
      <c r="C981" t="s">
        <v>169</v>
      </c>
      <c r="D981" s="38">
        <v>4</v>
      </c>
      <c r="E981" t="s">
        <v>169</v>
      </c>
      <c r="F981">
        <v>1703006</v>
      </c>
      <c r="G981" t="s">
        <v>48</v>
      </c>
      <c r="H9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 t="s">
        <v>2013</v>
      </c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4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hidden="1" x14ac:dyDescent="0.25">
      <c r="A982" s="1">
        <v>46134</v>
      </c>
      <c r="B982" s="1">
        <v>46134</v>
      </c>
      <c r="C982" t="s">
        <v>169</v>
      </c>
      <c r="D982" s="38">
        <v>4</v>
      </c>
      <c r="E982" t="s">
        <v>169</v>
      </c>
      <c r="F982">
        <v>410046</v>
      </c>
      <c r="G982" t="s">
        <v>361</v>
      </c>
      <c r="H982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 t="s">
        <v>2017</v>
      </c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4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hidden="1" x14ac:dyDescent="0.25">
      <c r="A983" s="1">
        <v>46134</v>
      </c>
      <c r="B983" s="1">
        <v>46134</v>
      </c>
      <c r="C983" t="s">
        <v>169</v>
      </c>
      <c r="D983" s="38">
        <v>4</v>
      </c>
      <c r="E983" t="s">
        <v>169</v>
      </c>
      <c r="F983" t="s">
        <v>21</v>
      </c>
      <c r="G983" t="s">
        <v>22</v>
      </c>
      <c r="H983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4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hidden="1" x14ac:dyDescent="0.25">
      <c r="A984" s="1">
        <v>46134</v>
      </c>
      <c r="B984" s="1">
        <v>46134</v>
      </c>
      <c r="C984" t="s">
        <v>169</v>
      </c>
      <c r="D984" s="38">
        <v>4</v>
      </c>
      <c r="E984" t="s">
        <v>169</v>
      </c>
      <c r="F984">
        <v>302054</v>
      </c>
      <c r="G984" t="s">
        <v>356</v>
      </c>
      <c r="H984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4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hidden="1" x14ac:dyDescent="0.25">
      <c r="A985" s="1">
        <v>46134</v>
      </c>
      <c r="B985" s="1">
        <v>46134</v>
      </c>
      <c r="C985" t="s">
        <v>169</v>
      </c>
      <c r="D985" s="38">
        <v>4</v>
      </c>
      <c r="E985" t="s">
        <v>169</v>
      </c>
      <c r="F985" t="s">
        <v>386</v>
      </c>
      <c r="G985" t="s">
        <v>83</v>
      </c>
      <c r="H985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4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hidden="1" x14ac:dyDescent="0.25">
      <c r="A986" s="1">
        <v>46134</v>
      </c>
      <c r="B986" s="1">
        <v>46134</v>
      </c>
      <c r="C986" t="s">
        <v>169</v>
      </c>
      <c r="D986" s="38">
        <v>4</v>
      </c>
      <c r="E986" t="s">
        <v>169</v>
      </c>
      <c r="F986">
        <v>410045</v>
      </c>
      <c r="G986" t="s">
        <v>110</v>
      </c>
      <c r="H986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4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hidden="1" x14ac:dyDescent="0.25">
      <c r="A987" s="1">
        <v>46134</v>
      </c>
      <c r="B987" s="1">
        <v>46134</v>
      </c>
      <c r="C987" t="s">
        <v>169</v>
      </c>
      <c r="D987" s="38">
        <v>4</v>
      </c>
      <c r="E987" t="s">
        <v>169</v>
      </c>
      <c r="F987">
        <v>410126</v>
      </c>
      <c r="G987" t="s">
        <v>159</v>
      </c>
      <c r="H987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4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hidden="1" x14ac:dyDescent="0.25">
      <c r="A988" s="1">
        <v>46134</v>
      </c>
      <c r="B988" s="1">
        <v>46134</v>
      </c>
      <c r="C988" t="s">
        <v>169</v>
      </c>
      <c r="D988" s="38">
        <v>4</v>
      </c>
      <c r="E988" t="s">
        <v>169</v>
      </c>
      <c r="F988">
        <v>304049</v>
      </c>
      <c r="G988" t="s">
        <v>318</v>
      </c>
      <c r="H988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4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hidden="1" x14ac:dyDescent="0.25">
      <c r="A989" s="1">
        <v>46134</v>
      </c>
      <c r="B989" s="1">
        <v>46134</v>
      </c>
      <c r="C989" t="s">
        <v>169</v>
      </c>
      <c r="D989" s="38">
        <v>4</v>
      </c>
      <c r="E989" t="s">
        <v>169</v>
      </c>
      <c r="F989">
        <v>408042</v>
      </c>
      <c r="G989" t="s">
        <v>144</v>
      </c>
      <c r="H989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4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hidden="1" x14ac:dyDescent="0.25">
      <c r="A990" s="1">
        <v>46134</v>
      </c>
      <c r="B990" s="1">
        <v>46134</v>
      </c>
      <c r="C990" t="s">
        <v>169</v>
      </c>
      <c r="D990" s="38">
        <v>4</v>
      </c>
      <c r="E990" t="s">
        <v>169</v>
      </c>
      <c r="F990">
        <v>408042</v>
      </c>
      <c r="G990" t="s">
        <v>144</v>
      </c>
      <c r="H990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4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hidden="1" x14ac:dyDescent="0.25">
      <c r="A991" s="1">
        <v>46135</v>
      </c>
      <c r="B991" s="1">
        <v>46135</v>
      </c>
      <c r="C991" t="s">
        <v>169</v>
      </c>
      <c r="D991" s="38">
        <v>4</v>
      </c>
      <c r="E991" t="s">
        <v>169</v>
      </c>
      <c r="F991">
        <v>2508993</v>
      </c>
      <c r="G991" t="s">
        <v>485</v>
      </c>
      <c r="H99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 t="s">
        <v>2008</v>
      </c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4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hidden="1" x14ac:dyDescent="0.25">
      <c r="A992" s="1">
        <v>46135</v>
      </c>
      <c r="B992" s="1">
        <v>46135</v>
      </c>
      <c r="C992" t="s">
        <v>169</v>
      </c>
      <c r="D992" s="38">
        <v>4</v>
      </c>
      <c r="E992" t="s">
        <v>169</v>
      </c>
      <c r="F992">
        <v>2508992</v>
      </c>
      <c r="G992" t="s">
        <v>484</v>
      </c>
      <c r="H992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4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hidden="1" x14ac:dyDescent="0.25">
      <c r="A993" s="1">
        <v>46135</v>
      </c>
      <c r="B993" s="1">
        <v>46135</v>
      </c>
      <c r="C993" t="s">
        <v>169</v>
      </c>
      <c r="D993" s="38">
        <v>4</v>
      </c>
      <c r="E993" t="s">
        <v>169</v>
      </c>
      <c r="F993">
        <v>2508991</v>
      </c>
      <c r="G993" t="s">
        <v>483</v>
      </c>
      <c r="H993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4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hidden="1" x14ac:dyDescent="0.25">
      <c r="A994" s="1">
        <v>46135</v>
      </c>
      <c r="B994" s="1">
        <v>46135</v>
      </c>
      <c r="C994" t="s">
        <v>169</v>
      </c>
      <c r="D994" s="38">
        <v>4</v>
      </c>
      <c r="E994" t="s">
        <v>169</v>
      </c>
      <c r="F994">
        <v>2508990</v>
      </c>
      <c r="G994" t="s">
        <v>482</v>
      </c>
      <c r="H994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4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hidden="1" x14ac:dyDescent="0.25">
      <c r="A995" s="1">
        <v>46135</v>
      </c>
      <c r="B995" s="1">
        <v>46135</v>
      </c>
      <c r="C995" t="s">
        <v>169</v>
      </c>
      <c r="D995" s="38">
        <v>4</v>
      </c>
      <c r="E995" t="s">
        <v>169</v>
      </c>
      <c r="F995">
        <v>1405025</v>
      </c>
      <c r="G995" t="s">
        <v>189</v>
      </c>
      <c r="H995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4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hidden="1" x14ac:dyDescent="0.25">
      <c r="A996" s="1">
        <v>46135</v>
      </c>
      <c r="B996" s="1">
        <v>46135</v>
      </c>
      <c r="C996" t="s">
        <v>169</v>
      </c>
      <c r="D996" s="38">
        <v>4</v>
      </c>
      <c r="E996" t="s">
        <v>169</v>
      </c>
      <c r="F996">
        <v>1405040</v>
      </c>
      <c r="G996" t="s">
        <v>449</v>
      </c>
      <c r="H996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4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hidden="1" x14ac:dyDescent="0.25">
      <c r="A997" s="1">
        <v>46135</v>
      </c>
      <c r="B997" s="1">
        <v>46135</v>
      </c>
      <c r="C997" t="s">
        <v>169</v>
      </c>
      <c r="D997" s="38">
        <v>4</v>
      </c>
      <c r="E997" t="s">
        <v>169</v>
      </c>
      <c r="F997">
        <v>1405039</v>
      </c>
      <c r="G997" t="s">
        <v>314</v>
      </c>
      <c r="H997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4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hidden="1" x14ac:dyDescent="0.25">
      <c r="A998" s="1">
        <v>46135</v>
      </c>
      <c r="B998" s="1">
        <v>46135</v>
      </c>
      <c r="C998" t="s">
        <v>169</v>
      </c>
      <c r="D998" s="38">
        <v>4</v>
      </c>
      <c r="E998" t="s">
        <v>169</v>
      </c>
      <c r="F998">
        <v>307031</v>
      </c>
      <c r="G998" t="s">
        <v>65</v>
      </c>
      <c r="H998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4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hidden="1" x14ac:dyDescent="0.25">
      <c r="A999" s="1">
        <v>46135</v>
      </c>
      <c r="B999" s="1">
        <v>46135</v>
      </c>
      <c r="C999" t="s">
        <v>169</v>
      </c>
      <c r="D999" s="38">
        <v>4</v>
      </c>
      <c r="E999" t="s">
        <v>169</v>
      </c>
      <c r="F999">
        <v>304002</v>
      </c>
      <c r="G999" t="s">
        <v>37</v>
      </c>
      <c r="H999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4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hidden="1" x14ac:dyDescent="0.25">
      <c r="A1000" s="1">
        <v>46135</v>
      </c>
      <c r="B1000" s="1">
        <v>46135</v>
      </c>
      <c r="C1000" t="s">
        <v>169</v>
      </c>
      <c r="D1000" s="38">
        <v>4</v>
      </c>
      <c r="E1000" t="s">
        <v>169</v>
      </c>
      <c r="F1000">
        <v>408034</v>
      </c>
      <c r="G1000" t="s">
        <v>250</v>
      </c>
      <c r="H1000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4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hidden="1" x14ac:dyDescent="0.25">
      <c r="A1001" s="1">
        <v>46135</v>
      </c>
      <c r="B1001" s="1">
        <v>46135</v>
      </c>
      <c r="C1001" t="s">
        <v>169</v>
      </c>
      <c r="D1001" s="38">
        <v>4</v>
      </c>
      <c r="E1001" t="s">
        <v>169</v>
      </c>
      <c r="F1001">
        <v>307033</v>
      </c>
      <c r="G1001" t="s">
        <v>248</v>
      </c>
      <c r="H100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4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hidden="1" x14ac:dyDescent="0.25">
      <c r="A1002" s="1">
        <v>46135</v>
      </c>
      <c r="B1002" s="1">
        <v>46135</v>
      </c>
      <c r="C1002" t="s">
        <v>169</v>
      </c>
      <c r="D1002" s="38">
        <v>4</v>
      </c>
      <c r="E1002" t="s">
        <v>169</v>
      </c>
      <c r="F1002">
        <v>1803045</v>
      </c>
      <c r="G1002" t="s">
        <v>337</v>
      </c>
      <c r="H1002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4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hidden="1" x14ac:dyDescent="0.25">
      <c r="A1003" s="1">
        <v>46135</v>
      </c>
      <c r="B1003" s="1">
        <v>46135</v>
      </c>
      <c r="C1003" t="s">
        <v>169</v>
      </c>
      <c r="D1003" s="38">
        <v>4</v>
      </c>
      <c r="E1003" t="s">
        <v>169</v>
      </c>
      <c r="F1003">
        <v>1803044</v>
      </c>
      <c r="G1003" t="s">
        <v>336</v>
      </c>
      <c r="H1003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4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hidden="1" x14ac:dyDescent="0.25">
      <c r="A1004" s="1">
        <v>46135</v>
      </c>
      <c r="B1004" s="1">
        <v>46135</v>
      </c>
      <c r="C1004" t="s">
        <v>169</v>
      </c>
      <c r="D1004" s="38">
        <v>4</v>
      </c>
      <c r="E1004" t="s">
        <v>169</v>
      </c>
      <c r="F1004">
        <v>407423</v>
      </c>
      <c r="G1004" t="s">
        <v>106</v>
      </c>
      <c r="H1004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4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hidden="1" x14ac:dyDescent="0.25">
      <c r="A1005" s="1">
        <v>46135</v>
      </c>
      <c r="B1005" s="1">
        <v>46135</v>
      </c>
      <c r="C1005" t="s">
        <v>169</v>
      </c>
      <c r="D1005" s="38">
        <v>4</v>
      </c>
      <c r="E1005" t="s">
        <v>169</v>
      </c>
      <c r="F1005">
        <v>704079</v>
      </c>
      <c r="G1005" t="s">
        <v>209</v>
      </c>
      <c r="H1005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4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hidden="1" x14ac:dyDescent="0.25">
      <c r="A1006" s="1">
        <v>46135</v>
      </c>
      <c r="B1006" s="1">
        <v>46135</v>
      </c>
      <c r="C1006" t="s">
        <v>169</v>
      </c>
      <c r="D1006" s="38">
        <v>4</v>
      </c>
      <c r="E1006" t="s">
        <v>169</v>
      </c>
      <c r="F1006">
        <v>404184</v>
      </c>
      <c r="G1006" t="s">
        <v>66</v>
      </c>
      <c r="H1006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4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hidden="1" x14ac:dyDescent="0.25">
      <c r="A1007" s="1">
        <v>46135</v>
      </c>
      <c r="B1007" s="1">
        <v>46135</v>
      </c>
      <c r="C1007" t="s">
        <v>169</v>
      </c>
      <c r="D1007" s="38">
        <v>4</v>
      </c>
      <c r="E1007" t="s">
        <v>169</v>
      </c>
      <c r="F1007">
        <v>2302119</v>
      </c>
      <c r="G1007" t="s">
        <v>74</v>
      </c>
      <c r="H1007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4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hidden="1" x14ac:dyDescent="0.25">
      <c r="A1008" s="1">
        <v>46135</v>
      </c>
      <c r="B1008" s="1">
        <v>46135</v>
      </c>
      <c r="C1008" t="s">
        <v>169</v>
      </c>
      <c r="D1008" s="38">
        <v>4</v>
      </c>
      <c r="E1008" t="s">
        <v>169</v>
      </c>
      <c r="F1008">
        <v>1103076</v>
      </c>
      <c r="G1008" t="s">
        <v>311</v>
      </c>
      <c r="H1008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4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hidden="1" x14ac:dyDescent="0.25">
      <c r="A1009" s="1">
        <v>46135</v>
      </c>
      <c r="B1009" s="1">
        <v>46135</v>
      </c>
      <c r="C1009" t="s">
        <v>169</v>
      </c>
      <c r="D1009" s="38">
        <v>4</v>
      </c>
      <c r="E1009" t="s">
        <v>169</v>
      </c>
      <c r="F1009">
        <v>1103074</v>
      </c>
      <c r="G1009" t="s">
        <v>310</v>
      </c>
      <c r="H1009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4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hidden="1" x14ac:dyDescent="0.25">
      <c r="A1010" s="1">
        <v>46135</v>
      </c>
      <c r="B1010" s="1">
        <v>46135</v>
      </c>
      <c r="C1010" t="s">
        <v>169</v>
      </c>
      <c r="D1010" s="38">
        <v>4</v>
      </c>
      <c r="E1010" t="s">
        <v>169</v>
      </c>
      <c r="F1010">
        <v>705028</v>
      </c>
      <c r="G1010" t="s">
        <v>72</v>
      </c>
      <c r="H1010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4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hidden="1" x14ac:dyDescent="0.25">
      <c r="A1011" s="1">
        <v>46135</v>
      </c>
      <c r="B1011" s="1">
        <v>46135</v>
      </c>
      <c r="C1011" t="s">
        <v>169</v>
      </c>
      <c r="D1011" s="38">
        <v>4</v>
      </c>
      <c r="E1011" t="s">
        <v>169</v>
      </c>
      <c r="F1011">
        <v>106022</v>
      </c>
      <c r="G1011" t="s">
        <v>245</v>
      </c>
      <c r="H101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 t="s">
        <v>2008</v>
      </c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4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hidden="1" x14ac:dyDescent="0.25">
      <c r="A1012" s="1">
        <v>46135</v>
      </c>
      <c r="B1012" s="1">
        <v>46135</v>
      </c>
      <c r="C1012" t="s">
        <v>169</v>
      </c>
      <c r="D1012" s="38">
        <v>4</v>
      </c>
      <c r="E1012" t="s">
        <v>169</v>
      </c>
      <c r="F1012" t="s">
        <v>345</v>
      </c>
      <c r="G1012" t="s">
        <v>167</v>
      </c>
      <c r="H1012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4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hidden="1" x14ac:dyDescent="0.25">
      <c r="A1013" s="1">
        <v>46135</v>
      </c>
      <c r="B1013" s="1">
        <v>46135</v>
      </c>
      <c r="C1013" t="s">
        <v>169</v>
      </c>
      <c r="D1013" s="38">
        <v>4</v>
      </c>
      <c r="E1013" t="s">
        <v>169</v>
      </c>
      <c r="F1013">
        <v>601047</v>
      </c>
      <c r="G1013" t="s">
        <v>129</v>
      </c>
      <c r="H1013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4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hidden="1" x14ac:dyDescent="0.25">
      <c r="A1014" s="1">
        <v>46135</v>
      </c>
      <c r="B1014" s="1">
        <v>46135</v>
      </c>
      <c r="C1014" t="s">
        <v>169</v>
      </c>
      <c r="D1014" s="38">
        <v>4</v>
      </c>
      <c r="E1014" t="s">
        <v>169</v>
      </c>
      <c r="F1014">
        <v>2304002</v>
      </c>
      <c r="G1014" t="s">
        <v>212</v>
      </c>
      <c r="H1014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4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hidden="1" x14ac:dyDescent="0.25">
      <c r="A1015" s="1">
        <v>46135</v>
      </c>
      <c r="B1015" s="1">
        <v>46135</v>
      </c>
      <c r="C1015" t="s">
        <v>169</v>
      </c>
      <c r="D1015" s="38">
        <v>4</v>
      </c>
      <c r="E1015" t="s">
        <v>169</v>
      </c>
      <c r="F1015">
        <v>2304053</v>
      </c>
      <c r="G1015" t="s">
        <v>213</v>
      </c>
      <c r="H1015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4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hidden="1" x14ac:dyDescent="0.25">
      <c r="A1016" s="1">
        <v>46135</v>
      </c>
      <c r="B1016" s="1">
        <v>46135</v>
      </c>
      <c r="C1016" t="s">
        <v>169</v>
      </c>
      <c r="D1016" s="38">
        <v>4</v>
      </c>
      <c r="E1016" t="s">
        <v>169</v>
      </c>
      <c r="F1016">
        <v>2304008</v>
      </c>
      <c r="G1016" t="s">
        <v>704</v>
      </c>
      <c r="H1016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4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hidden="1" x14ac:dyDescent="0.25">
      <c r="A1017" s="1">
        <v>46135</v>
      </c>
      <c r="B1017" s="1">
        <v>46135</v>
      </c>
      <c r="C1017" t="s">
        <v>169</v>
      </c>
      <c r="D1017" s="38">
        <v>4</v>
      </c>
      <c r="E1017" t="s">
        <v>169</v>
      </c>
      <c r="F1017">
        <v>2508988</v>
      </c>
      <c r="G1017" t="s">
        <v>467</v>
      </c>
      <c r="H1017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4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hidden="1" x14ac:dyDescent="0.25">
      <c r="A1018" s="1">
        <v>46135</v>
      </c>
      <c r="B1018" s="1">
        <v>46135</v>
      </c>
      <c r="C1018" t="s">
        <v>169</v>
      </c>
      <c r="D1018" s="38">
        <v>4</v>
      </c>
      <c r="E1018" t="s">
        <v>169</v>
      </c>
      <c r="F1018">
        <v>2508987</v>
      </c>
      <c r="G1018" t="s">
        <v>305</v>
      </c>
      <c r="H1018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4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hidden="1" x14ac:dyDescent="0.25">
      <c r="A1019" s="1">
        <v>46135</v>
      </c>
      <c r="B1019" s="1">
        <v>46135</v>
      </c>
      <c r="C1019" t="s">
        <v>169</v>
      </c>
      <c r="D1019" s="38">
        <v>4</v>
      </c>
      <c r="E1019" t="s">
        <v>169</v>
      </c>
      <c r="F1019">
        <v>2508986</v>
      </c>
      <c r="G1019" t="s">
        <v>706</v>
      </c>
      <c r="H1019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4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hidden="1" x14ac:dyDescent="0.25">
      <c r="A1020" s="1">
        <v>46135</v>
      </c>
      <c r="B1020" s="1">
        <v>46135</v>
      </c>
      <c r="C1020" t="s">
        <v>169</v>
      </c>
      <c r="D1020" s="38">
        <v>4</v>
      </c>
      <c r="E1020" t="s">
        <v>169</v>
      </c>
      <c r="F1020">
        <v>2508985</v>
      </c>
      <c r="G1020" t="s">
        <v>304</v>
      </c>
      <c r="H1020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4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hidden="1" x14ac:dyDescent="0.25">
      <c r="A1021" s="1">
        <v>46135</v>
      </c>
      <c r="B1021" s="1">
        <v>46135</v>
      </c>
      <c r="C1021" t="s">
        <v>169</v>
      </c>
      <c r="D1021" s="38">
        <v>4</v>
      </c>
      <c r="E1021" t="s">
        <v>169</v>
      </c>
      <c r="F1021">
        <v>2508994</v>
      </c>
      <c r="G1021" t="s">
        <v>486</v>
      </c>
      <c r="H102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4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hidden="1" x14ac:dyDescent="0.25">
      <c r="A1022" s="1">
        <v>46135</v>
      </c>
      <c r="B1022" s="1">
        <v>46135</v>
      </c>
      <c r="C1022" t="s">
        <v>169</v>
      </c>
      <c r="D1022" s="38">
        <v>4</v>
      </c>
      <c r="E1022" t="s">
        <v>169</v>
      </c>
      <c r="F1022">
        <v>1902013</v>
      </c>
      <c r="G1022" t="s">
        <v>338</v>
      </c>
      <c r="H1022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 t="s">
        <v>2017</v>
      </c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4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hidden="1" x14ac:dyDescent="0.25">
      <c r="A1023" s="1">
        <v>46135</v>
      </c>
      <c r="B1023" s="1">
        <v>46135</v>
      </c>
      <c r="C1023" t="s">
        <v>169</v>
      </c>
      <c r="D1023" s="38">
        <v>4</v>
      </c>
      <c r="E1023" t="s">
        <v>169</v>
      </c>
      <c r="F1023">
        <v>1802659</v>
      </c>
      <c r="G1023" t="s">
        <v>161</v>
      </c>
      <c r="H1023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4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hidden="1" x14ac:dyDescent="0.25">
      <c r="A1024" s="1">
        <v>46135</v>
      </c>
      <c r="B1024" s="1">
        <v>46135</v>
      </c>
      <c r="C1024" t="s">
        <v>169</v>
      </c>
      <c r="D1024" s="38">
        <v>4</v>
      </c>
      <c r="E1024" t="s">
        <v>169</v>
      </c>
      <c r="F1024">
        <v>106022</v>
      </c>
      <c r="G1024" t="s">
        <v>245</v>
      </c>
      <c r="H1024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4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hidden="1" x14ac:dyDescent="0.25">
      <c r="A1025" s="1">
        <v>46135</v>
      </c>
      <c r="B1025" s="1">
        <v>46135</v>
      </c>
      <c r="C1025" t="s">
        <v>169</v>
      </c>
      <c r="D1025" s="38">
        <v>4</v>
      </c>
      <c r="E1025" t="s">
        <v>169</v>
      </c>
      <c r="F1025">
        <v>704041</v>
      </c>
      <c r="G1025" t="s">
        <v>756</v>
      </c>
      <c r="H1025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4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hidden="1" x14ac:dyDescent="0.25">
      <c r="A1026" s="1">
        <v>46135</v>
      </c>
      <c r="B1026" s="1">
        <v>46135</v>
      </c>
      <c r="C1026" t="s">
        <v>169</v>
      </c>
      <c r="D1026" s="38">
        <v>4</v>
      </c>
      <c r="E1026" t="s">
        <v>169</v>
      </c>
      <c r="F1026">
        <v>407049</v>
      </c>
      <c r="G1026" t="s">
        <v>232</v>
      </c>
      <c r="H1026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4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hidden="1" x14ac:dyDescent="0.25">
      <c r="A1027" s="1">
        <v>46135</v>
      </c>
      <c r="B1027" s="1">
        <v>46135</v>
      </c>
      <c r="C1027" t="s">
        <v>169</v>
      </c>
      <c r="D1027" s="38">
        <v>4</v>
      </c>
      <c r="E1027" t="s">
        <v>169</v>
      </c>
      <c r="F1027" t="s">
        <v>231</v>
      </c>
      <c r="G1027" t="s">
        <v>180</v>
      </c>
      <c r="H1027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4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hidden="1" x14ac:dyDescent="0.25">
      <c r="A1028" s="1">
        <v>46135</v>
      </c>
      <c r="B1028" s="1">
        <v>46135</v>
      </c>
      <c r="C1028" t="s">
        <v>169</v>
      </c>
      <c r="D1028" s="38">
        <v>4</v>
      </c>
      <c r="E1028" t="s">
        <v>169</v>
      </c>
      <c r="F1028" t="s">
        <v>757</v>
      </c>
      <c r="G1028" t="s">
        <v>226</v>
      </c>
      <c r="H1028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4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hidden="1" x14ac:dyDescent="0.25">
      <c r="A1029" s="1">
        <v>46135</v>
      </c>
      <c r="B1029" s="1">
        <v>46135</v>
      </c>
      <c r="C1029" t="s">
        <v>169</v>
      </c>
      <c r="D1029" s="38">
        <v>4</v>
      </c>
      <c r="E1029" t="s">
        <v>169</v>
      </c>
      <c r="F1029">
        <v>412313</v>
      </c>
      <c r="G1029" t="s">
        <v>253</v>
      </c>
      <c r="H1029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4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hidden="1" x14ac:dyDescent="0.25">
      <c r="A1030" s="1">
        <v>46135</v>
      </c>
      <c r="B1030" s="1">
        <v>46135</v>
      </c>
      <c r="C1030" t="s">
        <v>169</v>
      </c>
      <c r="D1030" s="38">
        <v>4</v>
      </c>
      <c r="E1030" t="s">
        <v>169</v>
      </c>
      <c r="F1030">
        <v>407011</v>
      </c>
      <c r="G1030" t="s">
        <v>30</v>
      </c>
      <c r="H1030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4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hidden="1" x14ac:dyDescent="0.25">
      <c r="A1031" s="1">
        <v>46135</v>
      </c>
      <c r="B1031" s="1">
        <v>46135</v>
      </c>
      <c r="C1031" t="s">
        <v>169</v>
      </c>
      <c r="D1031" s="38">
        <v>4</v>
      </c>
      <c r="E1031" t="s">
        <v>169</v>
      </c>
      <c r="F1031">
        <v>302054</v>
      </c>
      <c r="G1031" t="s">
        <v>356</v>
      </c>
      <c r="H103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4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hidden="1" x14ac:dyDescent="0.25">
      <c r="A1032" s="1">
        <v>46135</v>
      </c>
      <c r="B1032" s="1">
        <v>46135</v>
      </c>
      <c r="C1032" t="s">
        <v>169</v>
      </c>
      <c r="D1032" s="38">
        <v>4</v>
      </c>
      <c r="E1032" t="s">
        <v>169</v>
      </c>
      <c r="F1032">
        <v>701096</v>
      </c>
      <c r="G1032" t="s">
        <v>204</v>
      </c>
      <c r="H1032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 t="s">
        <v>2017</v>
      </c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4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hidden="1" x14ac:dyDescent="0.25">
      <c r="A1033" s="1">
        <v>46135</v>
      </c>
      <c r="B1033" s="1">
        <v>46135</v>
      </c>
      <c r="C1033" t="s">
        <v>169</v>
      </c>
      <c r="D1033" s="38">
        <v>4</v>
      </c>
      <c r="E1033" t="s">
        <v>169</v>
      </c>
      <c r="F1033">
        <v>701043</v>
      </c>
      <c r="G1033" t="s">
        <v>197</v>
      </c>
      <c r="H1033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4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hidden="1" x14ac:dyDescent="0.25">
      <c r="A1034" s="1">
        <v>46135</v>
      </c>
      <c r="B1034" s="1">
        <v>46135</v>
      </c>
      <c r="C1034" t="s">
        <v>169</v>
      </c>
      <c r="D1034" s="38">
        <v>4</v>
      </c>
      <c r="E1034" t="s">
        <v>169</v>
      </c>
      <c r="F1034">
        <v>701040</v>
      </c>
      <c r="G1034" t="s">
        <v>19</v>
      </c>
      <c r="H1034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4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hidden="1" x14ac:dyDescent="0.25">
      <c r="A1035" s="1">
        <v>46135</v>
      </c>
      <c r="B1035" s="1">
        <v>46135</v>
      </c>
      <c r="C1035" t="s">
        <v>169</v>
      </c>
      <c r="D1035" s="38">
        <v>4</v>
      </c>
      <c r="E1035" t="s">
        <v>169</v>
      </c>
      <c r="F1035">
        <v>408088</v>
      </c>
      <c r="G1035" t="s">
        <v>109</v>
      </c>
      <c r="H1035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4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hidden="1" x14ac:dyDescent="0.25">
      <c r="A1036" s="1">
        <v>46135</v>
      </c>
      <c r="B1036" s="1">
        <v>46135</v>
      </c>
      <c r="C1036" t="s">
        <v>169</v>
      </c>
      <c r="D1036" s="38">
        <v>4</v>
      </c>
      <c r="E1036" t="s">
        <v>169</v>
      </c>
      <c r="F1036">
        <v>408014</v>
      </c>
      <c r="G1036" t="s">
        <v>108</v>
      </c>
      <c r="H1036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4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hidden="1" x14ac:dyDescent="0.25">
      <c r="A1037" s="1">
        <v>46135</v>
      </c>
      <c r="B1037" s="1">
        <v>46135</v>
      </c>
      <c r="C1037" t="s">
        <v>169</v>
      </c>
      <c r="D1037" s="38">
        <v>4</v>
      </c>
      <c r="E1037" t="s">
        <v>169</v>
      </c>
      <c r="F1037">
        <v>1901505</v>
      </c>
      <c r="G1037" t="s">
        <v>27</v>
      </c>
      <c r="H1037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4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hidden="1" x14ac:dyDescent="0.25">
      <c r="A1038" s="1">
        <v>46135</v>
      </c>
      <c r="B1038" s="1">
        <v>46135</v>
      </c>
      <c r="C1038" t="s">
        <v>169</v>
      </c>
      <c r="D1038" s="38">
        <v>4</v>
      </c>
      <c r="E1038" t="s">
        <v>169</v>
      </c>
      <c r="F1038">
        <v>1901086</v>
      </c>
      <c r="G1038" t="s">
        <v>279</v>
      </c>
      <c r="H1038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4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hidden="1" x14ac:dyDescent="0.25">
      <c r="A1039" s="1">
        <v>46135</v>
      </c>
      <c r="B1039" s="1">
        <v>46135</v>
      </c>
      <c r="C1039" t="s">
        <v>169</v>
      </c>
      <c r="D1039" s="38">
        <v>4</v>
      </c>
      <c r="E1039" t="s">
        <v>169</v>
      </c>
      <c r="F1039">
        <v>1901038</v>
      </c>
      <c r="G1039" t="s">
        <v>39</v>
      </c>
      <c r="H1039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4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hidden="1" x14ac:dyDescent="0.25">
      <c r="A1040" s="1">
        <v>46135</v>
      </c>
      <c r="B1040" s="1">
        <v>46135</v>
      </c>
      <c r="C1040" t="s">
        <v>169</v>
      </c>
      <c r="D1040" s="38">
        <v>4</v>
      </c>
      <c r="E1040" t="s">
        <v>169</v>
      </c>
      <c r="F1040">
        <v>1901008</v>
      </c>
      <c r="G1040" t="s">
        <v>278</v>
      </c>
      <c r="H1040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4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hidden="1" x14ac:dyDescent="0.25">
      <c r="A1041" s="1">
        <v>46135</v>
      </c>
      <c r="B1041" s="1">
        <v>46135</v>
      </c>
      <c r="C1041" t="s">
        <v>169</v>
      </c>
      <c r="D1041" s="38">
        <v>4</v>
      </c>
      <c r="E1041" t="s">
        <v>169</v>
      </c>
      <c r="F1041">
        <v>2302098</v>
      </c>
      <c r="G1041" t="s">
        <v>24</v>
      </c>
      <c r="H104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4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hidden="1" x14ac:dyDescent="0.25">
      <c r="A1042" s="1">
        <v>46135</v>
      </c>
      <c r="B1042" s="1">
        <v>46135</v>
      </c>
      <c r="C1042" t="s">
        <v>169</v>
      </c>
      <c r="D1042" s="38">
        <v>4</v>
      </c>
      <c r="E1042" t="s">
        <v>169</v>
      </c>
      <c r="F1042">
        <v>617016</v>
      </c>
      <c r="G1042" t="s">
        <v>133</v>
      </c>
      <c r="H1042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4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hidden="1" x14ac:dyDescent="0.25">
      <c r="A1043" s="1">
        <v>46135</v>
      </c>
      <c r="B1043" s="1">
        <v>46135</v>
      </c>
      <c r="C1043" t="s">
        <v>169</v>
      </c>
      <c r="D1043" s="38">
        <v>4</v>
      </c>
      <c r="E1043" t="s">
        <v>169</v>
      </c>
      <c r="F1043">
        <v>617057</v>
      </c>
      <c r="G1043" t="s">
        <v>134</v>
      </c>
      <c r="H1043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4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hidden="1" x14ac:dyDescent="0.25">
      <c r="A1044" s="1">
        <v>46135</v>
      </c>
      <c r="B1044" s="1">
        <v>46135</v>
      </c>
      <c r="C1044" t="s">
        <v>169</v>
      </c>
      <c r="D1044" s="38">
        <v>4</v>
      </c>
      <c r="E1044" t="s">
        <v>169</v>
      </c>
      <c r="F1044">
        <v>617055</v>
      </c>
      <c r="G1044" t="s">
        <v>182</v>
      </c>
      <c r="H1044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4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hidden="1" x14ac:dyDescent="0.25">
      <c r="A1045" s="1">
        <v>46135</v>
      </c>
      <c r="B1045" s="1">
        <v>46135</v>
      </c>
      <c r="C1045" t="s">
        <v>169</v>
      </c>
      <c r="D1045" s="38">
        <v>4</v>
      </c>
      <c r="E1045" t="s">
        <v>169</v>
      </c>
      <c r="F1045">
        <v>307096</v>
      </c>
      <c r="G1045" t="s">
        <v>249</v>
      </c>
      <c r="H1045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 t="s">
        <v>2008</v>
      </c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4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hidden="1" x14ac:dyDescent="0.25">
      <c r="A1046" s="1">
        <v>46135</v>
      </c>
      <c r="B1046" s="1">
        <v>46135</v>
      </c>
      <c r="C1046" t="s">
        <v>169</v>
      </c>
      <c r="D1046" s="38">
        <v>4</v>
      </c>
      <c r="E1046" t="s">
        <v>169</v>
      </c>
      <c r="F1046">
        <v>1802171</v>
      </c>
      <c r="G1046" t="s">
        <v>265</v>
      </c>
      <c r="H1046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 t="s">
        <v>2008</v>
      </c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4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hidden="1" x14ac:dyDescent="0.25">
      <c r="A1047" s="1">
        <v>46135</v>
      </c>
      <c r="B1047" s="1">
        <v>46135</v>
      </c>
      <c r="C1047" t="s">
        <v>169</v>
      </c>
      <c r="D1047" s="38">
        <v>4</v>
      </c>
      <c r="E1047" t="s">
        <v>169</v>
      </c>
      <c r="F1047">
        <v>1802172</v>
      </c>
      <c r="G1047" t="s">
        <v>266</v>
      </c>
      <c r="H1047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4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hidden="1" x14ac:dyDescent="0.25">
      <c r="A1048" s="1">
        <v>46135</v>
      </c>
      <c r="B1048" s="1">
        <v>46135</v>
      </c>
      <c r="C1048" t="s">
        <v>169</v>
      </c>
      <c r="D1048" s="38">
        <v>4</v>
      </c>
      <c r="E1048" t="s">
        <v>169</v>
      </c>
      <c r="F1048">
        <v>1808156</v>
      </c>
      <c r="G1048" t="s">
        <v>277</v>
      </c>
      <c r="H1048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4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hidden="1" x14ac:dyDescent="0.25">
      <c r="A1049" s="1">
        <v>46135</v>
      </c>
      <c r="B1049" s="1">
        <v>46135</v>
      </c>
      <c r="C1049" t="s">
        <v>169</v>
      </c>
      <c r="D1049" s="38">
        <v>4</v>
      </c>
      <c r="E1049" t="s">
        <v>169</v>
      </c>
      <c r="F1049">
        <v>1808003</v>
      </c>
      <c r="G1049" t="s">
        <v>195</v>
      </c>
      <c r="H1049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4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hidden="1" x14ac:dyDescent="0.25">
      <c r="A1050" s="1">
        <v>46135</v>
      </c>
      <c r="B1050" s="1">
        <v>46135</v>
      </c>
      <c r="C1050" t="s">
        <v>169</v>
      </c>
      <c r="D1050" s="38">
        <v>4</v>
      </c>
      <c r="E1050" t="s">
        <v>169</v>
      </c>
      <c r="F1050">
        <v>1808006</v>
      </c>
      <c r="G1050" t="s">
        <v>194</v>
      </c>
      <c r="H1050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4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hidden="1" x14ac:dyDescent="0.25">
      <c r="A1051" s="1">
        <v>46135</v>
      </c>
      <c r="B1051" s="1">
        <v>46135</v>
      </c>
      <c r="C1051" t="s">
        <v>169</v>
      </c>
      <c r="D1051" s="38">
        <v>4</v>
      </c>
      <c r="E1051" t="s">
        <v>169</v>
      </c>
      <c r="F1051">
        <v>1206002</v>
      </c>
      <c r="G1051" t="s">
        <v>192</v>
      </c>
      <c r="H105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4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hidden="1" x14ac:dyDescent="0.25">
      <c r="A1052" s="1">
        <v>46135</v>
      </c>
      <c r="B1052" s="1">
        <v>46135</v>
      </c>
      <c r="C1052" t="s">
        <v>169</v>
      </c>
      <c r="D1052" s="38">
        <v>4</v>
      </c>
      <c r="E1052" t="s">
        <v>169</v>
      </c>
      <c r="F1052">
        <v>609008</v>
      </c>
      <c r="G1052" t="s">
        <v>57</v>
      </c>
      <c r="H1052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4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hidden="1" x14ac:dyDescent="0.25">
      <c r="A1053" s="1">
        <v>46135</v>
      </c>
      <c r="B1053" s="1">
        <v>46135</v>
      </c>
      <c r="C1053" t="s">
        <v>169</v>
      </c>
      <c r="D1053" s="38">
        <v>4</v>
      </c>
      <c r="E1053" t="s">
        <v>169</v>
      </c>
      <c r="F1053">
        <v>1802166</v>
      </c>
      <c r="G1053" t="s">
        <v>283</v>
      </c>
      <c r="H1053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 t="s">
        <v>2012</v>
      </c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4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hidden="1" x14ac:dyDescent="0.25">
      <c r="A1054" s="1">
        <v>46135</v>
      </c>
      <c r="B1054" s="1">
        <v>46135</v>
      </c>
      <c r="C1054" t="s">
        <v>169</v>
      </c>
      <c r="D1054" s="38">
        <v>4</v>
      </c>
      <c r="E1054" t="s">
        <v>169</v>
      </c>
      <c r="F1054">
        <v>1703006</v>
      </c>
      <c r="G1054" t="s">
        <v>48</v>
      </c>
      <c r="H1054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4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hidden="1" x14ac:dyDescent="0.25">
      <c r="A1055" s="1">
        <v>46135</v>
      </c>
      <c r="B1055" s="1">
        <v>46135</v>
      </c>
      <c r="C1055" t="s">
        <v>169</v>
      </c>
      <c r="D1055" s="38">
        <v>4</v>
      </c>
      <c r="E1055" t="s">
        <v>169</v>
      </c>
      <c r="F1055">
        <v>5316508</v>
      </c>
      <c r="G1055" t="s">
        <v>468</v>
      </c>
      <c r="H1055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4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hidden="1" x14ac:dyDescent="0.25">
      <c r="A1056" s="1">
        <v>46135</v>
      </c>
      <c r="B1056" s="1">
        <v>46135</v>
      </c>
      <c r="C1056" t="s">
        <v>169</v>
      </c>
      <c r="D1056" s="38">
        <v>4</v>
      </c>
      <c r="E1056" t="s">
        <v>169</v>
      </c>
      <c r="F1056">
        <v>5316507</v>
      </c>
      <c r="G1056" t="s">
        <v>55</v>
      </c>
      <c r="H1056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4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hidden="1" x14ac:dyDescent="0.25">
      <c r="A1057" s="1">
        <v>46135</v>
      </c>
      <c r="B1057" s="1">
        <v>46135</v>
      </c>
      <c r="C1057" t="s">
        <v>169</v>
      </c>
      <c r="D1057" s="38">
        <v>4</v>
      </c>
      <c r="E1057" t="s">
        <v>169</v>
      </c>
      <c r="F1057">
        <v>2505426</v>
      </c>
      <c r="G1057" t="s">
        <v>708</v>
      </c>
      <c r="H1057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4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hidden="1" x14ac:dyDescent="0.25">
      <c r="A1058" s="1">
        <v>46135</v>
      </c>
      <c r="B1058" s="1">
        <v>46135</v>
      </c>
      <c r="C1058" t="s">
        <v>169</v>
      </c>
      <c r="D1058" s="38">
        <v>4</v>
      </c>
      <c r="E1058" t="s">
        <v>169</v>
      </c>
      <c r="F1058">
        <v>1802176</v>
      </c>
      <c r="G1058" t="s">
        <v>196</v>
      </c>
      <c r="H1058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4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hidden="1" x14ac:dyDescent="0.25">
      <c r="A1059" s="1">
        <v>46135</v>
      </c>
      <c r="B1059" s="1">
        <v>46135</v>
      </c>
      <c r="C1059" t="s">
        <v>169</v>
      </c>
      <c r="D1059" s="38">
        <v>4</v>
      </c>
      <c r="E1059" t="s">
        <v>169</v>
      </c>
      <c r="F1059">
        <v>1802165</v>
      </c>
      <c r="G1059" t="s">
        <v>261</v>
      </c>
      <c r="H1059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4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hidden="1" x14ac:dyDescent="0.25">
      <c r="A1060" s="1">
        <v>46135</v>
      </c>
      <c r="B1060" s="1">
        <v>46135</v>
      </c>
      <c r="C1060" t="s">
        <v>169</v>
      </c>
      <c r="D1060" s="38">
        <v>4</v>
      </c>
      <c r="E1060" t="s">
        <v>169</v>
      </c>
      <c r="F1060">
        <v>1701154</v>
      </c>
      <c r="G1060" t="s">
        <v>710</v>
      </c>
      <c r="H1060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4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hidden="1" x14ac:dyDescent="0.25">
      <c r="A1061" s="1">
        <v>46135</v>
      </c>
      <c r="B1061" s="1">
        <v>46135</v>
      </c>
      <c r="C1061" t="s">
        <v>169</v>
      </c>
      <c r="D1061" s="38">
        <v>4</v>
      </c>
      <c r="E1061" t="s">
        <v>169</v>
      </c>
      <c r="F1061">
        <v>1802175</v>
      </c>
      <c r="G1061" t="s">
        <v>269</v>
      </c>
      <c r="H106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4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hidden="1" x14ac:dyDescent="0.25">
      <c r="A1062" s="1">
        <v>46135</v>
      </c>
      <c r="B1062" s="1">
        <v>46135</v>
      </c>
      <c r="C1062" t="s">
        <v>169</v>
      </c>
      <c r="D1062" s="38">
        <v>4</v>
      </c>
      <c r="E1062" t="s">
        <v>169</v>
      </c>
      <c r="F1062">
        <v>1802174</v>
      </c>
      <c r="G1062" t="s">
        <v>268</v>
      </c>
      <c r="H1062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4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hidden="1" x14ac:dyDescent="0.25">
      <c r="A1063" s="1">
        <v>46135</v>
      </c>
      <c r="B1063" s="1">
        <v>46135</v>
      </c>
      <c r="C1063" t="s">
        <v>169</v>
      </c>
      <c r="D1063" s="38">
        <v>4</v>
      </c>
      <c r="E1063" t="s">
        <v>169</v>
      </c>
      <c r="F1063">
        <v>1802173</v>
      </c>
      <c r="G1063" t="s">
        <v>267</v>
      </c>
      <c r="H1063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4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hidden="1" x14ac:dyDescent="0.25">
      <c r="A1064" s="1">
        <v>46135</v>
      </c>
      <c r="B1064" s="1">
        <v>46135</v>
      </c>
      <c r="C1064" t="s">
        <v>169</v>
      </c>
      <c r="D1064" s="38">
        <v>4</v>
      </c>
      <c r="E1064" t="s">
        <v>169</v>
      </c>
      <c r="F1064">
        <v>5316484</v>
      </c>
      <c r="G1064" t="s">
        <v>96</v>
      </c>
      <c r="H1064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4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hidden="1" x14ac:dyDescent="0.25">
      <c r="A1065" s="1">
        <v>46135</v>
      </c>
      <c r="B1065" s="1">
        <v>46135</v>
      </c>
      <c r="C1065" t="s">
        <v>169</v>
      </c>
      <c r="D1065" s="38">
        <v>4</v>
      </c>
      <c r="E1065" t="s">
        <v>169</v>
      </c>
      <c r="F1065">
        <v>5316483</v>
      </c>
      <c r="G1065" t="s">
        <v>97</v>
      </c>
      <c r="H1065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4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hidden="1" x14ac:dyDescent="0.25">
      <c r="A1066" s="1">
        <v>46135</v>
      </c>
      <c r="B1066" s="1">
        <v>46135</v>
      </c>
      <c r="C1066" t="s">
        <v>169</v>
      </c>
      <c r="D1066" s="38">
        <v>4</v>
      </c>
      <c r="E1066" t="s">
        <v>169</v>
      </c>
      <c r="F1066">
        <v>1802170</v>
      </c>
      <c r="G1066" t="s">
        <v>264</v>
      </c>
      <c r="H1066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4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hidden="1" x14ac:dyDescent="0.25">
      <c r="A1067" s="1">
        <v>46135</v>
      </c>
      <c r="B1067" s="1">
        <v>46135</v>
      </c>
      <c r="C1067" t="s">
        <v>169</v>
      </c>
      <c r="D1067" s="38">
        <v>4</v>
      </c>
      <c r="E1067" t="s">
        <v>169</v>
      </c>
      <c r="F1067">
        <v>1802169</v>
      </c>
      <c r="G1067" t="s">
        <v>263</v>
      </c>
      <c r="H1067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4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hidden="1" x14ac:dyDescent="0.25">
      <c r="A1068" s="1">
        <v>46135</v>
      </c>
      <c r="B1068" s="1">
        <v>46135</v>
      </c>
      <c r="C1068" t="s">
        <v>169</v>
      </c>
      <c r="D1068" s="38">
        <v>4</v>
      </c>
      <c r="E1068" t="s">
        <v>169</v>
      </c>
      <c r="F1068">
        <v>1802162</v>
      </c>
      <c r="G1068" t="s">
        <v>260</v>
      </c>
      <c r="H1068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 t="s">
        <v>2012</v>
      </c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4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hidden="1" x14ac:dyDescent="0.25">
      <c r="A1069" s="1">
        <v>46135</v>
      </c>
      <c r="B1069" s="1">
        <v>46135</v>
      </c>
      <c r="C1069" t="s">
        <v>169</v>
      </c>
      <c r="D1069" s="38">
        <v>4</v>
      </c>
      <c r="E1069" t="s">
        <v>169</v>
      </c>
      <c r="F1069">
        <v>1801229</v>
      </c>
      <c r="G1069" t="s">
        <v>259</v>
      </c>
      <c r="H1069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4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hidden="1" x14ac:dyDescent="0.25">
      <c r="A1070" s="1">
        <v>46135</v>
      </c>
      <c r="B1070" s="1">
        <v>46135</v>
      </c>
      <c r="C1070" t="s">
        <v>169</v>
      </c>
      <c r="D1070" s="38">
        <v>4</v>
      </c>
      <c r="E1070" t="s">
        <v>169</v>
      </c>
      <c r="F1070">
        <v>1802167</v>
      </c>
      <c r="G1070" t="s">
        <v>262</v>
      </c>
      <c r="H1070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4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hidden="1" x14ac:dyDescent="0.25">
      <c r="A1071" s="1">
        <v>46135</v>
      </c>
      <c r="B1071" s="1">
        <v>46135</v>
      </c>
      <c r="C1071" t="s">
        <v>169</v>
      </c>
      <c r="D1071" s="38">
        <v>4</v>
      </c>
      <c r="E1071" t="s">
        <v>169</v>
      </c>
      <c r="F1071">
        <v>1808148</v>
      </c>
      <c r="G1071" t="s">
        <v>276</v>
      </c>
      <c r="H107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4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hidden="1" x14ac:dyDescent="0.25">
      <c r="A1072" s="1">
        <v>46135</v>
      </c>
      <c r="B1072" s="1">
        <v>46135</v>
      </c>
      <c r="C1072" t="s">
        <v>169</v>
      </c>
      <c r="D1072" s="38">
        <v>4</v>
      </c>
      <c r="E1072" t="s">
        <v>169</v>
      </c>
      <c r="F1072">
        <v>1808145</v>
      </c>
      <c r="G1072" t="s">
        <v>273</v>
      </c>
      <c r="H1072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4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hidden="1" x14ac:dyDescent="0.25">
      <c r="A1073" s="1">
        <v>46135</v>
      </c>
      <c r="B1073" s="1">
        <v>46135</v>
      </c>
      <c r="C1073" t="s">
        <v>169</v>
      </c>
      <c r="D1073" s="38">
        <v>4</v>
      </c>
      <c r="E1073" t="s">
        <v>169</v>
      </c>
      <c r="F1073">
        <v>1808144</v>
      </c>
      <c r="G1073" t="s">
        <v>272</v>
      </c>
      <c r="H1073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4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hidden="1" x14ac:dyDescent="0.25">
      <c r="A1074" s="1">
        <v>46135</v>
      </c>
      <c r="B1074" s="1">
        <v>46135</v>
      </c>
      <c r="C1074" t="s">
        <v>169</v>
      </c>
      <c r="D1074" s="38">
        <v>4</v>
      </c>
      <c r="E1074" t="s">
        <v>169</v>
      </c>
      <c r="F1074">
        <v>407795</v>
      </c>
      <c r="G1074" t="s">
        <v>325</v>
      </c>
      <c r="H1074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4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hidden="1" x14ac:dyDescent="0.25">
      <c r="A1075" s="1">
        <v>46135</v>
      </c>
      <c r="B1075" s="1">
        <v>46135</v>
      </c>
      <c r="C1075" t="s">
        <v>169</v>
      </c>
      <c r="D1075" s="38">
        <v>4</v>
      </c>
      <c r="E1075" t="s">
        <v>169</v>
      </c>
      <c r="F1075">
        <v>1808147</v>
      </c>
      <c r="G1075" t="s">
        <v>275</v>
      </c>
      <c r="H1075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4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hidden="1" x14ac:dyDescent="0.25">
      <c r="A1076" s="1">
        <v>46135</v>
      </c>
      <c r="B1076" s="1">
        <v>46135</v>
      </c>
      <c r="C1076" t="s">
        <v>169</v>
      </c>
      <c r="D1076" s="38">
        <v>4</v>
      </c>
      <c r="E1076" t="s">
        <v>169</v>
      </c>
      <c r="F1076">
        <v>2304003</v>
      </c>
      <c r="G1076" t="s">
        <v>132</v>
      </c>
      <c r="H1076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4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hidden="1" x14ac:dyDescent="0.25">
      <c r="A1077" s="1">
        <v>46135</v>
      </c>
      <c r="B1077" s="1">
        <v>46135</v>
      </c>
      <c r="C1077" t="s">
        <v>169</v>
      </c>
      <c r="D1077" s="38">
        <v>4</v>
      </c>
      <c r="E1077" t="s">
        <v>169</v>
      </c>
      <c r="F1077">
        <v>704022</v>
      </c>
      <c r="G1077" t="s">
        <v>330</v>
      </c>
      <c r="H1077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 t="s">
        <v>2008</v>
      </c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4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hidden="1" x14ac:dyDescent="0.25">
      <c r="A1078" s="1">
        <v>45981</v>
      </c>
      <c r="B1078" s="1">
        <v>45981</v>
      </c>
      <c r="C1078" t="s">
        <v>15</v>
      </c>
      <c r="D1078" s="38">
        <v>11</v>
      </c>
      <c r="E1078" t="s">
        <v>15</v>
      </c>
      <c r="F1078" t="s">
        <v>758</v>
      </c>
      <c r="G1078" t="s">
        <v>759</v>
      </c>
      <c r="H1078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4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hidden="1" x14ac:dyDescent="0.25">
      <c r="A1079" s="1">
        <v>45981</v>
      </c>
      <c r="B1079" s="1">
        <v>45981</v>
      </c>
      <c r="C1079" t="s">
        <v>15</v>
      </c>
      <c r="D1079" s="38">
        <v>11</v>
      </c>
      <c r="E1079" t="s">
        <v>15</v>
      </c>
      <c r="F1079">
        <v>145122</v>
      </c>
      <c r="G1079" t="s">
        <v>760</v>
      </c>
      <c r="H1079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4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hidden="1" x14ac:dyDescent="0.25">
      <c r="A1080" s="1">
        <v>45981</v>
      </c>
      <c r="B1080" s="1">
        <v>45981</v>
      </c>
      <c r="C1080" t="s">
        <v>15</v>
      </c>
      <c r="D1080" s="38">
        <v>11</v>
      </c>
      <c r="E1080" t="s">
        <v>15</v>
      </c>
      <c r="F1080">
        <v>7749309</v>
      </c>
      <c r="G1080" t="s">
        <v>761</v>
      </c>
      <c r="H1080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4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hidden="1" x14ac:dyDescent="0.25">
      <c r="A1081" s="1">
        <v>45982</v>
      </c>
      <c r="B1081" s="1">
        <v>45982</v>
      </c>
      <c r="C1081" t="s">
        <v>15</v>
      </c>
      <c r="D1081" s="38">
        <v>11</v>
      </c>
      <c r="E1081" t="s">
        <v>15</v>
      </c>
      <c r="G1081" t="s">
        <v>762</v>
      </c>
      <c r="H10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4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hidden="1" x14ac:dyDescent="0.25">
      <c r="A1082" s="1">
        <v>45982</v>
      </c>
      <c r="B1082" s="1">
        <v>45982</v>
      </c>
      <c r="C1082" t="s">
        <v>15</v>
      </c>
      <c r="D1082" s="38">
        <v>11</v>
      </c>
      <c r="E1082" t="s">
        <v>15</v>
      </c>
      <c r="G1082" t="s">
        <v>763</v>
      </c>
      <c r="H1082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4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hidden="1" x14ac:dyDescent="0.25">
      <c r="A1083" s="1">
        <v>45982</v>
      </c>
      <c r="B1083" s="1">
        <v>45982</v>
      </c>
      <c r="C1083" t="s">
        <v>15</v>
      </c>
      <c r="D1083" s="38">
        <v>11</v>
      </c>
      <c r="E1083" t="s">
        <v>15</v>
      </c>
      <c r="G1083" t="s">
        <v>764</v>
      </c>
      <c r="H1083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4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hidden="1" x14ac:dyDescent="0.25">
      <c r="A1084" s="1">
        <v>45993</v>
      </c>
      <c r="B1084" s="1">
        <v>45993</v>
      </c>
      <c r="C1084" t="s">
        <v>15</v>
      </c>
      <c r="D1084" s="38">
        <v>12</v>
      </c>
      <c r="E1084" t="s">
        <v>15</v>
      </c>
      <c r="G1084" t="s">
        <v>765</v>
      </c>
      <c r="H1084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4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hidden="1" x14ac:dyDescent="0.25">
      <c r="A1085" s="1">
        <v>45993</v>
      </c>
      <c r="B1085" s="1">
        <v>45993</v>
      </c>
      <c r="C1085" t="s">
        <v>15</v>
      </c>
      <c r="D1085" s="38">
        <v>12</v>
      </c>
      <c r="E1085" t="s">
        <v>15</v>
      </c>
      <c r="G1085" t="s">
        <v>766</v>
      </c>
      <c r="H1085" t="s">
        <v>767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4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hidden="1" x14ac:dyDescent="0.25">
      <c r="A1086" s="1">
        <v>46001</v>
      </c>
      <c r="B1086" s="1">
        <v>46001</v>
      </c>
      <c r="C1086" t="s">
        <v>15</v>
      </c>
      <c r="D1086" s="38">
        <v>12</v>
      </c>
      <c r="E1086" t="s">
        <v>15</v>
      </c>
      <c r="G1086" t="s">
        <v>768</v>
      </c>
      <c r="H1086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4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hidden="1" x14ac:dyDescent="0.25">
      <c r="A1087" s="1">
        <v>46008</v>
      </c>
      <c r="B1087" s="1">
        <v>46008</v>
      </c>
      <c r="C1087" t="s">
        <v>15</v>
      </c>
      <c r="D1087" s="38">
        <v>12</v>
      </c>
      <c r="E1087" t="s">
        <v>15</v>
      </c>
      <c r="G1087" t="s">
        <v>769</v>
      </c>
      <c r="H1087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4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hidden="1" x14ac:dyDescent="0.25">
      <c r="A1088" s="1">
        <v>46101</v>
      </c>
      <c r="B1088" s="1">
        <v>46101</v>
      </c>
      <c r="C1088" t="s">
        <v>169</v>
      </c>
      <c r="D1088" s="38">
        <v>3</v>
      </c>
      <c r="E1088" t="s">
        <v>169</v>
      </c>
      <c r="F1088">
        <v>404732</v>
      </c>
      <c r="G1088" t="s">
        <v>770</v>
      </c>
      <c r="H1088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4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hidden="1" x14ac:dyDescent="0.25">
      <c r="A1089" s="1">
        <v>46135</v>
      </c>
      <c r="B1089" s="1">
        <v>46135</v>
      </c>
      <c r="C1089" t="s">
        <v>169</v>
      </c>
      <c r="D1089" s="38">
        <v>4</v>
      </c>
      <c r="E1089" t="s">
        <v>169</v>
      </c>
      <c r="F1089">
        <v>404731</v>
      </c>
      <c r="G1089" t="s">
        <v>771</v>
      </c>
      <c r="H1089" t="s">
        <v>743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 t="s">
        <v>2022</v>
      </c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4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hidden="1" x14ac:dyDescent="0.25">
      <c r="A1090" s="1">
        <v>46135</v>
      </c>
      <c r="B1090" s="1">
        <v>46135</v>
      </c>
      <c r="C1090" t="s">
        <v>169</v>
      </c>
      <c r="D1090" s="38">
        <v>4</v>
      </c>
      <c r="E1090" t="s">
        <v>169</v>
      </c>
      <c r="F1090" t="s">
        <v>296</v>
      </c>
      <c r="G1090" t="s">
        <v>297</v>
      </c>
      <c r="H1090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2009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4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hidden="1" x14ac:dyDescent="0.25">
      <c r="A1091" s="1">
        <v>46135</v>
      </c>
      <c r="B1091" s="1">
        <v>46135</v>
      </c>
      <c r="C1091" t="s">
        <v>169</v>
      </c>
      <c r="D1091" s="38">
        <v>4</v>
      </c>
      <c r="E1091" t="s">
        <v>169</v>
      </c>
      <c r="F1091" t="s">
        <v>288</v>
      </c>
      <c r="G1091" t="s">
        <v>289</v>
      </c>
      <c r="H109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2009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4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hidden="1" x14ac:dyDescent="0.25">
      <c r="A1092" s="1">
        <v>46135</v>
      </c>
      <c r="B1092" s="1">
        <v>46135</v>
      </c>
      <c r="C1092" t="s">
        <v>169</v>
      </c>
      <c r="D1092" s="38">
        <v>4</v>
      </c>
      <c r="E1092" t="s">
        <v>169</v>
      </c>
      <c r="F1092" t="s">
        <v>286</v>
      </c>
      <c r="G1092" t="s">
        <v>287</v>
      </c>
      <c r="H1092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2009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4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hidden="1" x14ac:dyDescent="0.25">
      <c r="A1093" s="1">
        <v>46105</v>
      </c>
      <c r="B1093" s="1">
        <v>46105</v>
      </c>
      <c r="C1093" t="s">
        <v>169</v>
      </c>
      <c r="D1093" s="38">
        <v>3</v>
      </c>
      <c r="E1093" t="s">
        <v>169</v>
      </c>
      <c r="F1093" t="s">
        <v>348</v>
      </c>
      <c r="G1093" t="s">
        <v>363</v>
      </c>
      <c r="H1093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4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hidden="1" x14ac:dyDescent="0.25">
      <c r="A1094" s="1">
        <v>46142</v>
      </c>
      <c r="B1094" s="1">
        <v>46139</v>
      </c>
      <c r="C1094" t="s">
        <v>169</v>
      </c>
      <c r="D1094" s="38">
        <v>4</v>
      </c>
      <c r="E1094" t="s">
        <v>169</v>
      </c>
      <c r="F1094">
        <v>810007</v>
      </c>
      <c r="G1094" t="s">
        <v>235</v>
      </c>
      <c r="H1094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 t="s">
        <v>2008</v>
      </c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4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hidden="1" x14ac:dyDescent="0.25">
      <c r="A1095" s="1">
        <v>46142</v>
      </c>
      <c r="B1095" s="1">
        <v>46139</v>
      </c>
      <c r="C1095" t="s">
        <v>169</v>
      </c>
      <c r="D1095" s="38">
        <v>4</v>
      </c>
      <c r="E1095" t="s">
        <v>169</v>
      </c>
      <c r="F1095">
        <v>704021</v>
      </c>
      <c r="G1095" t="s">
        <v>329</v>
      </c>
      <c r="H1095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4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hidden="1" x14ac:dyDescent="0.25">
      <c r="A1096" s="1">
        <v>46142</v>
      </c>
      <c r="B1096" s="1">
        <v>46139</v>
      </c>
      <c r="C1096" t="s">
        <v>169</v>
      </c>
      <c r="D1096" s="38">
        <v>4</v>
      </c>
      <c r="E1096" t="s">
        <v>169</v>
      </c>
      <c r="F1096">
        <v>2508994</v>
      </c>
      <c r="G1096" t="s">
        <v>486</v>
      </c>
      <c r="H1096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4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hidden="1" x14ac:dyDescent="0.25">
      <c r="A1097" s="1">
        <v>46142</v>
      </c>
      <c r="B1097" s="1">
        <v>46139</v>
      </c>
      <c r="C1097" t="s">
        <v>169</v>
      </c>
      <c r="D1097" s="38">
        <v>4</v>
      </c>
      <c r="E1097" t="s">
        <v>169</v>
      </c>
      <c r="F1097">
        <v>2508993</v>
      </c>
      <c r="G1097" t="s">
        <v>485</v>
      </c>
      <c r="H1097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4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hidden="1" x14ac:dyDescent="0.25">
      <c r="A1098" s="1">
        <v>46142</v>
      </c>
      <c r="B1098" s="1">
        <v>46139</v>
      </c>
      <c r="C1098" t="s">
        <v>169</v>
      </c>
      <c r="D1098" s="38">
        <v>4</v>
      </c>
      <c r="E1098" t="s">
        <v>169</v>
      </c>
      <c r="F1098">
        <v>2508992</v>
      </c>
      <c r="G1098" t="s">
        <v>484</v>
      </c>
      <c r="H1098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4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hidden="1" x14ac:dyDescent="0.25">
      <c r="A1099" s="1">
        <v>46142</v>
      </c>
      <c r="B1099" s="1">
        <v>46139</v>
      </c>
      <c r="C1099" t="s">
        <v>169</v>
      </c>
      <c r="D1099" s="38">
        <v>4</v>
      </c>
      <c r="E1099" t="s">
        <v>169</v>
      </c>
      <c r="F1099">
        <v>2508991</v>
      </c>
      <c r="G1099" t="s">
        <v>483</v>
      </c>
      <c r="H1099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4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hidden="1" x14ac:dyDescent="0.25">
      <c r="A1100" s="1">
        <v>46142</v>
      </c>
      <c r="B1100" s="1">
        <v>46139</v>
      </c>
      <c r="C1100" t="s">
        <v>169</v>
      </c>
      <c r="D1100" s="38">
        <v>4</v>
      </c>
      <c r="E1100" t="s">
        <v>169</v>
      </c>
      <c r="F1100">
        <v>2508990</v>
      </c>
      <c r="G1100" t="s">
        <v>482</v>
      </c>
      <c r="H1100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4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hidden="1" x14ac:dyDescent="0.25">
      <c r="A1101" s="1">
        <v>46142</v>
      </c>
      <c r="B1101" s="1">
        <v>46139</v>
      </c>
      <c r="C1101" t="s">
        <v>169</v>
      </c>
      <c r="D1101" s="38">
        <v>4</v>
      </c>
      <c r="E1101" t="s">
        <v>169</v>
      </c>
      <c r="F1101">
        <v>1405025</v>
      </c>
      <c r="G1101" t="s">
        <v>189</v>
      </c>
      <c r="H110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4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hidden="1" x14ac:dyDescent="0.25">
      <c r="A1102" s="1">
        <v>46142</v>
      </c>
      <c r="B1102" s="1">
        <v>46139</v>
      </c>
      <c r="C1102" t="s">
        <v>169</v>
      </c>
      <c r="D1102" s="38">
        <v>4</v>
      </c>
      <c r="E1102" t="s">
        <v>169</v>
      </c>
      <c r="F1102">
        <v>2508988</v>
      </c>
      <c r="G1102" t="s">
        <v>467</v>
      </c>
      <c r="H1102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4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hidden="1" x14ac:dyDescent="0.25">
      <c r="A1103" s="1">
        <v>46142</v>
      </c>
      <c r="B1103" s="1">
        <v>46139</v>
      </c>
      <c r="C1103" t="s">
        <v>169</v>
      </c>
      <c r="D1103" s="38">
        <v>4</v>
      </c>
      <c r="E1103" t="s">
        <v>169</v>
      </c>
      <c r="F1103">
        <v>2508987</v>
      </c>
      <c r="G1103" t="s">
        <v>305</v>
      </c>
      <c r="H1103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4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hidden="1" x14ac:dyDescent="0.25">
      <c r="A1104" s="1">
        <v>46142</v>
      </c>
      <c r="B1104" s="1">
        <v>46139</v>
      </c>
      <c r="C1104" t="s">
        <v>169</v>
      </c>
      <c r="D1104" s="38">
        <v>4</v>
      </c>
      <c r="E1104" t="s">
        <v>169</v>
      </c>
      <c r="F1104">
        <v>2508986</v>
      </c>
      <c r="G1104" t="s">
        <v>706</v>
      </c>
      <c r="H1104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4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hidden="1" x14ac:dyDescent="0.25">
      <c r="A1105" s="1">
        <v>46142</v>
      </c>
      <c r="B1105" s="1">
        <v>46139</v>
      </c>
      <c r="C1105" t="s">
        <v>169</v>
      </c>
      <c r="D1105" s="38">
        <v>4</v>
      </c>
      <c r="E1105" t="s">
        <v>169</v>
      </c>
      <c r="F1105">
        <v>2508985</v>
      </c>
      <c r="G1105" t="s">
        <v>304</v>
      </c>
      <c r="H1105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4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hidden="1" x14ac:dyDescent="0.25">
      <c r="A1106" s="1">
        <v>46142</v>
      </c>
      <c r="B1106" s="1">
        <v>46139</v>
      </c>
      <c r="C1106" t="s">
        <v>169</v>
      </c>
      <c r="D1106" s="38">
        <v>4</v>
      </c>
      <c r="E1106" t="s">
        <v>169</v>
      </c>
      <c r="F1106">
        <v>2304002</v>
      </c>
      <c r="G1106" t="s">
        <v>212</v>
      </c>
      <c r="H1106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4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hidden="1" x14ac:dyDescent="0.25">
      <c r="A1107" s="1">
        <v>46142</v>
      </c>
      <c r="B1107" s="1">
        <v>46139</v>
      </c>
      <c r="C1107" t="s">
        <v>169</v>
      </c>
      <c r="D1107" s="38">
        <v>4</v>
      </c>
      <c r="E1107" t="s">
        <v>169</v>
      </c>
      <c r="F1107">
        <v>307096</v>
      </c>
      <c r="G1107" t="s">
        <v>249</v>
      </c>
      <c r="H1107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4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hidden="1" x14ac:dyDescent="0.25">
      <c r="A1108" s="1">
        <v>46142</v>
      </c>
      <c r="B1108" s="1">
        <v>46139</v>
      </c>
      <c r="C1108" t="s">
        <v>169</v>
      </c>
      <c r="D1108" s="38">
        <v>4</v>
      </c>
      <c r="E1108" t="s">
        <v>169</v>
      </c>
      <c r="F1108">
        <v>307033</v>
      </c>
      <c r="G1108" t="s">
        <v>248</v>
      </c>
      <c r="H1108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4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hidden="1" x14ac:dyDescent="0.25">
      <c r="A1109" s="1">
        <v>46142</v>
      </c>
      <c r="B1109" s="1">
        <v>46139</v>
      </c>
      <c r="C1109" t="s">
        <v>169</v>
      </c>
      <c r="D1109" s="38">
        <v>4</v>
      </c>
      <c r="E1109" t="s">
        <v>169</v>
      </c>
      <c r="F1109">
        <v>307030</v>
      </c>
      <c r="G1109" t="s">
        <v>64</v>
      </c>
      <c r="H1109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4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hidden="1" x14ac:dyDescent="0.25">
      <c r="A1110" s="1">
        <v>46142</v>
      </c>
      <c r="B1110" s="1">
        <v>46139</v>
      </c>
      <c r="C1110" t="s">
        <v>169</v>
      </c>
      <c r="D1110" s="38">
        <v>4</v>
      </c>
      <c r="E1110" t="s">
        <v>169</v>
      </c>
      <c r="F1110">
        <v>2302119</v>
      </c>
      <c r="G1110" t="s">
        <v>74</v>
      </c>
      <c r="H1110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4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hidden="1" x14ac:dyDescent="0.25">
      <c r="A1111" s="1">
        <v>46142</v>
      </c>
      <c r="B1111" s="1">
        <v>46139</v>
      </c>
      <c r="C1111" t="s">
        <v>169</v>
      </c>
      <c r="D1111" s="38">
        <v>4</v>
      </c>
      <c r="E1111" t="s">
        <v>169</v>
      </c>
      <c r="F1111" t="s">
        <v>559</v>
      </c>
      <c r="G1111" t="s">
        <v>705</v>
      </c>
      <c r="H111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4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hidden="1" x14ac:dyDescent="0.25">
      <c r="A1112" s="1">
        <v>46142</v>
      </c>
      <c r="B1112" s="1">
        <v>46139</v>
      </c>
      <c r="C1112" t="s">
        <v>169</v>
      </c>
      <c r="D1112" s="38">
        <v>4</v>
      </c>
      <c r="E1112" t="s">
        <v>169</v>
      </c>
      <c r="F1112" t="s">
        <v>345</v>
      </c>
      <c r="G1112" t="s">
        <v>167</v>
      </c>
      <c r="H1112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4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hidden="1" x14ac:dyDescent="0.25">
      <c r="A1113" s="1">
        <v>46142</v>
      </c>
      <c r="B1113" s="1">
        <v>46139</v>
      </c>
      <c r="C1113" t="s">
        <v>169</v>
      </c>
      <c r="D1113" s="38">
        <v>4</v>
      </c>
      <c r="E1113" t="s">
        <v>169</v>
      </c>
      <c r="F1113">
        <v>704022</v>
      </c>
      <c r="G1113" t="s">
        <v>330</v>
      </c>
      <c r="H1113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4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hidden="1" x14ac:dyDescent="0.25">
      <c r="A1114" s="1">
        <v>46142</v>
      </c>
      <c r="B1114" s="1">
        <v>46139</v>
      </c>
      <c r="C1114" t="s">
        <v>169</v>
      </c>
      <c r="D1114" s="38">
        <v>4</v>
      </c>
      <c r="E1114" t="s">
        <v>169</v>
      </c>
      <c r="F1114">
        <v>704024</v>
      </c>
      <c r="G1114" t="s">
        <v>332</v>
      </c>
      <c r="H1114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4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hidden="1" x14ac:dyDescent="0.25">
      <c r="A1115" s="1">
        <v>46142</v>
      </c>
      <c r="B1115" s="1">
        <v>46139</v>
      </c>
      <c r="C1115" t="s">
        <v>169</v>
      </c>
      <c r="D1115" s="38">
        <v>4</v>
      </c>
      <c r="E1115" t="s">
        <v>169</v>
      </c>
      <c r="F1115">
        <v>1103076</v>
      </c>
      <c r="G1115" t="s">
        <v>311</v>
      </c>
      <c r="H1115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4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hidden="1" x14ac:dyDescent="0.25">
      <c r="A1116" s="1">
        <v>46142</v>
      </c>
      <c r="B1116" s="1">
        <v>46139</v>
      </c>
      <c r="C1116" t="s">
        <v>169</v>
      </c>
      <c r="D1116" s="38">
        <v>4</v>
      </c>
      <c r="E1116" t="s">
        <v>169</v>
      </c>
      <c r="F1116">
        <v>1103074</v>
      </c>
      <c r="G1116" t="s">
        <v>310</v>
      </c>
      <c r="H1116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4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hidden="1" x14ac:dyDescent="0.25">
      <c r="A1117" s="1">
        <v>46142</v>
      </c>
      <c r="B1117" s="1">
        <v>46139</v>
      </c>
      <c r="C1117" t="s">
        <v>169</v>
      </c>
      <c r="D1117" s="38">
        <v>4</v>
      </c>
      <c r="E1117" t="s">
        <v>169</v>
      </c>
      <c r="F1117">
        <v>2302119</v>
      </c>
      <c r="G1117" t="s">
        <v>74</v>
      </c>
      <c r="H1117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 t="s">
        <v>2017</v>
      </c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4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hidden="1" x14ac:dyDescent="0.25">
      <c r="A1118" s="1">
        <v>46142</v>
      </c>
      <c r="B1118" s="1">
        <v>46139</v>
      </c>
      <c r="C1118" t="s">
        <v>169</v>
      </c>
      <c r="D1118" s="38">
        <v>4</v>
      </c>
      <c r="E1118" t="s">
        <v>169</v>
      </c>
      <c r="F1118">
        <v>609008</v>
      </c>
      <c r="G1118" t="s">
        <v>57</v>
      </c>
      <c r="H1118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4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hidden="1" x14ac:dyDescent="0.25">
      <c r="A1119" s="1">
        <v>46142</v>
      </c>
      <c r="B1119" s="1">
        <v>46139</v>
      </c>
      <c r="C1119" t="s">
        <v>169</v>
      </c>
      <c r="D1119" s="38">
        <v>4</v>
      </c>
      <c r="E1119" t="s">
        <v>169</v>
      </c>
      <c r="F1119">
        <v>1610023</v>
      </c>
      <c r="G1119" t="s">
        <v>351</v>
      </c>
      <c r="H1119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4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hidden="1" x14ac:dyDescent="0.25">
      <c r="A1120" s="1">
        <v>46142</v>
      </c>
      <c r="B1120" s="1">
        <v>46139</v>
      </c>
      <c r="C1120" t="s">
        <v>169</v>
      </c>
      <c r="D1120" s="38">
        <v>4</v>
      </c>
      <c r="E1120" t="s">
        <v>169</v>
      </c>
      <c r="F1120">
        <v>2302017</v>
      </c>
      <c r="G1120" t="s">
        <v>156</v>
      </c>
      <c r="H1120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4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hidden="1" x14ac:dyDescent="0.25">
      <c r="A1121" s="1">
        <v>46142</v>
      </c>
      <c r="B1121" s="1">
        <v>46139</v>
      </c>
      <c r="C1121" t="s">
        <v>169</v>
      </c>
      <c r="D1121" s="38">
        <v>4</v>
      </c>
      <c r="E1121" t="s">
        <v>169</v>
      </c>
      <c r="F1121">
        <v>407423</v>
      </c>
      <c r="G1121" t="s">
        <v>106</v>
      </c>
      <c r="H112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4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hidden="1" x14ac:dyDescent="0.25">
      <c r="A1122" s="1">
        <v>46142</v>
      </c>
      <c r="B1122" s="1">
        <v>46135</v>
      </c>
      <c r="C1122" t="s">
        <v>169</v>
      </c>
      <c r="D1122" s="38">
        <v>4</v>
      </c>
      <c r="E1122" t="s">
        <v>169</v>
      </c>
      <c r="F1122">
        <v>810007</v>
      </c>
      <c r="G1122" t="s">
        <v>235</v>
      </c>
      <c r="H1122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 t="s">
        <v>2017</v>
      </c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4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hidden="1" x14ac:dyDescent="0.25">
      <c r="A1123" s="1">
        <v>46142</v>
      </c>
      <c r="B1123" s="1">
        <v>46135</v>
      </c>
      <c r="C1123" t="s">
        <v>169</v>
      </c>
      <c r="D1123" s="38">
        <v>4</v>
      </c>
      <c r="E1123" t="s">
        <v>169</v>
      </c>
      <c r="F1123">
        <v>404184</v>
      </c>
      <c r="G1123" t="s">
        <v>66</v>
      </c>
      <c r="H1123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4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hidden="1" x14ac:dyDescent="0.25">
      <c r="A1124" s="1">
        <v>46142</v>
      </c>
      <c r="B1124" s="1">
        <v>46135</v>
      </c>
      <c r="C1124" t="s">
        <v>169</v>
      </c>
      <c r="D1124" s="38">
        <v>4</v>
      </c>
      <c r="E1124" t="s">
        <v>169</v>
      </c>
      <c r="F1124">
        <v>1103074</v>
      </c>
      <c r="G1124" t="s">
        <v>310</v>
      </c>
      <c r="H1124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4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hidden="1" x14ac:dyDescent="0.25">
      <c r="A1125" s="1">
        <v>46142</v>
      </c>
      <c r="B1125" s="1">
        <v>46135</v>
      </c>
      <c r="C1125" t="s">
        <v>169</v>
      </c>
      <c r="D1125" s="38">
        <v>4</v>
      </c>
      <c r="E1125" t="s">
        <v>169</v>
      </c>
      <c r="F1125">
        <v>1103076</v>
      </c>
      <c r="G1125" t="s">
        <v>311</v>
      </c>
      <c r="H1125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4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hidden="1" x14ac:dyDescent="0.25">
      <c r="A1126" s="1">
        <v>46142</v>
      </c>
      <c r="B1126" s="1">
        <v>46135</v>
      </c>
      <c r="C1126" t="s">
        <v>169</v>
      </c>
      <c r="D1126" s="38">
        <v>4</v>
      </c>
      <c r="E1126" t="s">
        <v>169</v>
      </c>
      <c r="F1126">
        <v>1802162</v>
      </c>
      <c r="G1126" t="s">
        <v>260</v>
      </c>
      <c r="H1126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4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hidden="1" x14ac:dyDescent="0.25">
      <c r="A1127" s="1">
        <v>46142</v>
      </c>
      <c r="B1127" s="1">
        <v>46135</v>
      </c>
      <c r="C1127" t="s">
        <v>169</v>
      </c>
      <c r="D1127" s="38">
        <v>4</v>
      </c>
      <c r="E1127" t="s">
        <v>169</v>
      </c>
      <c r="F1127" t="s">
        <v>559</v>
      </c>
      <c r="G1127" t="s">
        <v>705</v>
      </c>
      <c r="H1127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4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hidden="1" x14ac:dyDescent="0.25">
      <c r="A1128" s="1">
        <v>46142</v>
      </c>
      <c r="B1128" s="1">
        <v>46135</v>
      </c>
      <c r="C1128" t="s">
        <v>169</v>
      </c>
      <c r="D1128" s="38">
        <v>4</v>
      </c>
      <c r="E1128" t="s">
        <v>169</v>
      </c>
      <c r="F1128">
        <v>2304008</v>
      </c>
      <c r="G1128" t="s">
        <v>704</v>
      </c>
      <c r="H1128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4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hidden="1" x14ac:dyDescent="0.25">
      <c r="A1129" s="1">
        <v>46142</v>
      </c>
      <c r="B1129" s="1">
        <v>46139</v>
      </c>
      <c r="C1129" t="s">
        <v>169</v>
      </c>
      <c r="D1129" s="38">
        <v>4</v>
      </c>
      <c r="E1129" t="s">
        <v>169</v>
      </c>
      <c r="F1129">
        <v>412260</v>
      </c>
      <c r="G1129" t="s">
        <v>41</v>
      </c>
      <c r="H1129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 t="s">
        <v>2017</v>
      </c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4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hidden="1" x14ac:dyDescent="0.25">
      <c r="A1130" s="1">
        <v>46142</v>
      </c>
      <c r="B1130" s="1">
        <v>46139</v>
      </c>
      <c r="C1130" t="s">
        <v>169</v>
      </c>
      <c r="D1130" s="38">
        <v>4</v>
      </c>
      <c r="E1130" t="s">
        <v>169</v>
      </c>
      <c r="F1130">
        <v>412280</v>
      </c>
      <c r="G1130" t="s">
        <v>40</v>
      </c>
      <c r="H1130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4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hidden="1" x14ac:dyDescent="0.25">
      <c r="A1131" s="1">
        <v>46142</v>
      </c>
      <c r="B1131" s="1">
        <v>46139</v>
      </c>
      <c r="C1131" t="s">
        <v>169</v>
      </c>
      <c r="D1131" s="38">
        <v>4</v>
      </c>
      <c r="E1131" t="s">
        <v>169</v>
      </c>
      <c r="F1131">
        <v>1901086</v>
      </c>
      <c r="G1131" t="s">
        <v>279</v>
      </c>
      <c r="H113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4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hidden="1" x14ac:dyDescent="0.25">
      <c r="A1132" s="1">
        <v>46142</v>
      </c>
      <c r="B1132" s="1">
        <v>46140</v>
      </c>
      <c r="C1132" t="s">
        <v>169</v>
      </c>
      <c r="D1132" s="38">
        <v>4</v>
      </c>
      <c r="E1132" t="s">
        <v>169</v>
      </c>
      <c r="F1132">
        <v>302044</v>
      </c>
      <c r="G1132" t="s">
        <v>247</v>
      </c>
      <c r="H1132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 t="s">
        <v>2017</v>
      </c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4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hidden="1" x14ac:dyDescent="0.25">
      <c r="A1133" s="1">
        <v>46142</v>
      </c>
      <c r="B1133" s="1">
        <v>46140</v>
      </c>
      <c r="C1133" t="s">
        <v>169</v>
      </c>
      <c r="D1133" s="38">
        <v>4</v>
      </c>
      <c r="E1133" t="s">
        <v>169</v>
      </c>
      <c r="F1133">
        <v>1901505</v>
      </c>
      <c r="G1133" t="s">
        <v>27</v>
      </c>
      <c r="H1133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4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hidden="1" x14ac:dyDescent="0.25">
      <c r="A1134" s="1">
        <v>46142</v>
      </c>
      <c r="B1134" s="1">
        <v>46140</v>
      </c>
      <c r="C1134" t="s">
        <v>169</v>
      </c>
      <c r="D1134" s="38">
        <v>4</v>
      </c>
      <c r="E1134" t="s">
        <v>169</v>
      </c>
      <c r="F1134" t="s">
        <v>21</v>
      </c>
      <c r="G1134" t="s">
        <v>22</v>
      </c>
      <c r="H1134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4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hidden="1" x14ac:dyDescent="0.25">
      <c r="A1135" s="1">
        <v>46142</v>
      </c>
      <c r="B1135" s="1">
        <v>46140</v>
      </c>
      <c r="C1135" t="s">
        <v>169</v>
      </c>
      <c r="D1135" s="38">
        <v>4</v>
      </c>
      <c r="E1135" t="s">
        <v>169</v>
      </c>
      <c r="F1135">
        <v>407423</v>
      </c>
      <c r="G1135" t="s">
        <v>106</v>
      </c>
      <c r="H1135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4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hidden="1" x14ac:dyDescent="0.25">
      <c r="A1136" s="1">
        <v>46142</v>
      </c>
      <c r="B1136" s="1">
        <v>46140</v>
      </c>
      <c r="C1136" t="s">
        <v>169</v>
      </c>
      <c r="D1136" s="38">
        <v>4</v>
      </c>
      <c r="E1136" t="s">
        <v>169</v>
      </c>
      <c r="F1136">
        <v>2302098</v>
      </c>
      <c r="G1136" t="s">
        <v>24</v>
      </c>
      <c r="H1136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4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hidden="1" x14ac:dyDescent="0.25">
      <c r="A1137" s="1">
        <v>46142</v>
      </c>
      <c r="B1137" s="1">
        <v>46140</v>
      </c>
      <c r="C1137" t="s">
        <v>169</v>
      </c>
      <c r="D1137" s="38">
        <v>4</v>
      </c>
      <c r="E1137" t="s">
        <v>169</v>
      </c>
      <c r="F1137">
        <v>408014</v>
      </c>
      <c r="G1137" t="s">
        <v>108</v>
      </c>
      <c r="H1137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4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hidden="1" x14ac:dyDescent="0.25">
      <c r="A1138" s="1">
        <v>46142</v>
      </c>
      <c r="B1138" s="1">
        <v>46140</v>
      </c>
      <c r="C1138" t="s">
        <v>169</v>
      </c>
      <c r="D1138" s="38">
        <v>4</v>
      </c>
      <c r="E1138" t="s">
        <v>169</v>
      </c>
      <c r="F1138">
        <v>410045</v>
      </c>
      <c r="G1138" t="s">
        <v>110</v>
      </c>
      <c r="H1138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4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hidden="1" x14ac:dyDescent="0.25">
      <c r="A1139" s="1">
        <v>46142</v>
      </c>
      <c r="B1139" s="1">
        <v>46140</v>
      </c>
      <c r="C1139" t="s">
        <v>169</v>
      </c>
      <c r="D1139" s="38">
        <v>4</v>
      </c>
      <c r="E1139" t="s">
        <v>169</v>
      </c>
      <c r="F1139" t="s">
        <v>386</v>
      </c>
      <c r="G1139" t="s">
        <v>83</v>
      </c>
      <c r="H1139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4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hidden="1" x14ac:dyDescent="0.25">
      <c r="A1140" s="1">
        <v>46142</v>
      </c>
      <c r="B1140" s="1">
        <v>46140</v>
      </c>
      <c r="C1140" t="s">
        <v>169</v>
      </c>
      <c r="D1140" s="38">
        <v>4</v>
      </c>
      <c r="E1140" t="s">
        <v>169</v>
      </c>
      <c r="F1140">
        <v>304049</v>
      </c>
      <c r="G1140" t="s">
        <v>318</v>
      </c>
      <c r="H1140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4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hidden="1" x14ac:dyDescent="0.25">
      <c r="A1141" s="1">
        <v>46142</v>
      </c>
      <c r="B1141" s="1">
        <v>46140</v>
      </c>
      <c r="C1141" t="s">
        <v>169</v>
      </c>
      <c r="D1141" s="38">
        <v>4</v>
      </c>
      <c r="E1141" t="s">
        <v>169</v>
      </c>
      <c r="F1141">
        <v>412313</v>
      </c>
      <c r="G1141" t="s">
        <v>253</v>
      </c>
      <c r="H114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4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hidden="1" x14ac:dyDescent="0.25">
      <c r="A1142" s="1">
        <v>46142</v>
      </c>
      <c r="B1142" s="1">
        <v>46140</v>
      </c>
      <c r="C1142" t="s">
        <v>169</v>
      </c>
      <c r="D1142" s="38">
        <v>4</v>
      </c>
      <c r="E1142" t="s">
        <v>169</v>
      </c>
      <c r="F1142">
        <v>302054</v>
      </c>
      <c r="G1142" t="s">
        <v>356</v>
      </c>
      <c r="H1142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4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hidden="1" x14ac:dyDescent="0.25">
      <c r="A1143" s="1">
        <v>46142</v>
      </c>
      <c r="B1143" s="1">
        <v>46140</v>
      </c>
      <c r="C1143" t="s">
        <v>169</v>
      </c>
      <c r="D1143" s="38">
        <v>4</v>
      </c>
      <c r="E1143" t="s">
        <v>169</v>
      </c>
      <c r="F1143">
        <v>701096</v>
      </c>
      <c r="G1143" t="s">
        <v>204</v>
      </c>
      <c r="H1143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4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hidden="1" x14ac:dyDescent="0.25">
      <c r="A1144" s="1">
        <v>46142</v>
      </c>
      <c r="B1144" s="1">
        <v>46140</v>
      </c>
      <c r="C1144" t="s">
        <v>169</v>
      </c>
      <c r="D1144" s="38">
        <v>4</v>
      </c>
      <c r="E1144" t="s">
        <v>169</v>
      </c>
      <c r="F1144">
        <v>701043</v>
      </c>
      <c r="G1144" t="s">
        <v>197</v>
      </c>
      <c r="H1144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4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hidden="1" x14ac:dyDescent="0.25">
      <c r="A1145" s="1">
        <v>46142</v>
      </c>
      <c r="B1145" s="1">
        <v>46140</v>
      </c>
      <c r="C1145" t="s">
        <v>169</v>
      </c>
      <c r="D1145" s="38">
        <v>4</v>
      </c>
      <c r="E1145" t="s">
        <v>169</v>
      </c>
      <c r="F1145">
        <v>408042</v>
      </c>
      <c r="G1145" t="s">
        <v>144</v>
      </c>
      <c r="H1145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4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hidden="1" x14ac:dyDescent="0.25">
      <c r="A1146" s="1">
        <v>46142</v>
      </c>
      <c r="B1146" s="1">
        <v>46140</v>
      </c>
      <c r="C1146" t="s">
        <v>169</v>
      </c>
      <c r="D1146" s="38">
        <v>4</v>
      </c>
      <c r="E1146" t="s">
        <v>169</v>
      </c>
      <c r="F1146">
        <v>2103113</v>
      </c>
      <c r="G1146" t="s">
        <v>775</v>
      </c>
      <c r="H1146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 t="s">
        <v>2013</v>
      </c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4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hidden="1" x14ac:dyDescent="0.25">
      <c r="A1147" s="1">
        <v>46142</v>
      </c>
      <c r="B1147" s="1">
        <v>46140</v>
      </c>
      <c r="C1147" t="s">
        <v>169</v>
      </c>
      <c r="D1147" s="38">
        <v>4</v>
      </c>
      <c r="E1147" t="s">
        <v>169</v>
      </c>
      <c r="F1147">
        <v>2302098</v>
      </c>
      <c r="G1147" t="s">
        <v>24</v>
      </c>
      <c r="H1147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4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hidden="1" x14ac:dyDescent="0.25">
      <c r="A1148" s="1">
        <v>46142</v>
      </c>
      <c r="B1148" s="1">
        <v>46140</v>
      </c>
      <c r="C1148" t="s">
        <v>169</v>
      </c>
      <c r="D1148" s="38">
        <v>4</v>
      </c>
      <c r="E1148" t="s">
        <v>169</v>
      </c>
      <c r="F1148">
        <v>2302024</v>
      </c>
      <c r="G1148" t="s">
        <v>234</v>
      </c>
      <c r="H1148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4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hidden="1" x14ac:dyDescent="0.25">
      <c r="A1149" s="1">
        <v>46142</v>
      </c>
      <c r="B1149" s="1">
        <v>46140</v>
      </c>
      <c r="C1149" t="s">
        <v>169</v>
      </c>
      <c r="D1149" s="38">
        <v>4</v>
      </c>
      <c r="E1149" t="s">
        <v>169</v>
      </c>
      <c r="F1149">
        <v>2302017</v>
      </c>
      <c r="G1149" t="s">
        <v>156</v>
      </c>
      <c r="H1149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4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hidden="1" x14ac:dyDescent="0.25">
      <c r="A1150" s="1">
        <v>46142</v>
      </c>
      <c r="B1150" s="1">
        <v>46140</v>
      </c>
      <c r="C1150" t="s">
        <v>169</v>
      </c>
      <c r="D1150" s="38">
        <v>4</v>
      </c>
      <c r="E1150" t="s">
        <v>169</v>
      </c>
      <c r="F1150">
        <v>617016</v>
      </c>
      <c r="G1150" t="s">
        <v>133</v>
      </c>
      <c r="H1150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4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hidden="1" x14ac:dyDescent="0.25">
      <c r="A1151" s="1">
        <v>46142</v>
      </c>
      <c r="B1151" s="1">
        <v>46140</v>
      </c>
      <c r="C1151" t="s">
        <v>169</v>
      </c>
      <c r="D1151" s="38">
        <v>4</v>
      </c>
      <c r="E1151" t="s">
        <v>169</v>
      </c>
      <c r="F1151">
        <v>617057</v>
      </c>
      <c r="G1151" t="s">
        <v>134</v>
      </c>
      <c r="H115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4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hidden="1" x14ac:dyDescent="0.25">
      <c r="A1152" s="1">
        <v>46142</v>
      </c>
      <c r="B1152" s="1">
        <v>46140</v>
      </c>
      <c r="C1152" t="s">
        <v>169</v>
      </c>
      <c r="D1152" s="38">
        <v>4</v>
      </c>
      <c r="E1152" t="s">
        <v>169</v>
      </c>
      <c r="F1152">
        <v>407423</v>
      </c>
      <c r="G1152" t="s">
        <v>106</v>
      </c>
      <c r="H1152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4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hidden="1" x14ac:dyDescent="0.25">
      <c r="A1153" s="1">
        <v>46142</v>
      </c>
      <c r="B1153" s="1">
        <v>46140</v>
      </c>
      <c r="C1153" t="s">
        <v>169</v>
      </c>
      <c r="D1153" s="38">
        <v>4</v>
      </c>
      <c r="E1153" t="s">
        <v>169</v>
      </c>
      <c r="F1153">
        <v>407185</v>
      </c>
      <c r="G1153" t="s">
        <v>43</v>
      </c>
      <c r="H1153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4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hidden="1" x14ac:dyDescent="0.25">
      <c r="A1154" s="1">
        <v>46142</v>
      </c>
      <c r="B1154" s="1">
        <v>46140</v>
      </c>
      <c r="C1154" t="s">
        <v>169</v>
      </c>
      <c r="D1154" s="38">
        <v>4</v>
      </c>
      <c r="E1154" t="s">
        <v>169</v>
      </c>
      <c r="F1154">
        <v>2302119</v>
      </c>
      <c r="G1154" t="s">
        <v>74</v>
      </c>
      <c r="H1154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4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hidden="1" x14ac:dyDescent="0.25">
      <c r="A1155" s="1">
        <v>46142</v>
      </c>
      <c r="B1155" s="1">
        <v>46140</v>
      </c>
      <c r="C1155" t="s">
        <v>169</v>
      </c>
      <c r="D1155" s="38">
        <v>4</v>
      </c>
      <c r="E1155" t="s">
        <v>169</v>
      </c>
      <c r="F1155">
        <v>1103076</v>
      </c>
      <c r="G1155" t="s">
        <v>311</v>
      </c>
      <c r="H1155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4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hidden="1" x14ac:dyDescent="0.25">
      <c r="A1156" s="1">
        <v>46142</v>
      </c>
      <c r="B1156" s="1">
        <v>46140</v>
      </c>
      <c r="C1156" t="s">
        <v>169</v>
      </c>
      <c r="D1156" s="38">
        <v>4</v>
      </c>
      <c r="E1156" t="s">
        <v>169</v>
      </c>
      <c r="F1156">
        <v>907031</v>
      </c>
      <c r="G1156" t="s">
        <v>256</v>
      </c>
      <c r="H1156" t="s">
        <v>743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4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hidden="1" x14ac:dyDescent="0.25">
      <c r="A1157" s="1">
        <v>46142</v>
      </c>
      <c r="B1157" s="1">
        <v>46140</v>
      </c>
      <c r="C1157" t="s">
        <v>169</v>
      </c>
      <c r="D1157" s="38">
        <v>4</v>
      </c>
      <c r="E1157" t="s">
        <v>169</v>
      </c>
      <c r="F1157">
        <v>412281</v>
      </c>
      <c r="G1157" t="s">
        <v>326</v>
      </c>
      <c r="H1157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 t="s">
        <v>2008</v>
      </c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4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hidden="1" x14ac:dyDescent="0.25">
      <c r="A1158" s="1">
        <v>46142</v>
      </c>
      <c r="B1158" s="1">
        <v>46141</v>
      </c>
      <c r="C1158" t="s">
        <v>169</v>
      </c>
      <c r="D1158" s="38">
        <v>4</v>
      </c>
      <c r="E1158" t="s">
        <v>169</v>
      </c>
      <c r="F1158">
        <v>2302119</v>
      </c>
      <c r="G1158" t="s">
        <v>74</v>
      </c>
      <c r="H1158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 t="s">
        <v>2008</v>
      </c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4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hidden="1" x14ac:dyDescent="0.25">
      <c r="A1159" s="1">
        <v>46142</v>
      </c>
      <c r="B1159" s="1">
        <v>46141</v>
      </c>
      <c r="C1159" t="s">
        <v>169</v>
      </c>
      <c r="D1159" s="38">
        <v>4</v>
      </c>
      <c r="E1159" t="s">
        <v>169</v>
      </c>
      <c r="F1159">
        <v>907034</v>
      </c>
      <c r="G1159" t="s">
        <v>256</v>
      </c>
      <c r="H1159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4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hidden="1" x14ac:dyDescent="0.25">
      <c r="A1160" s="1">
        <v>46142</v>
      </c>
      <c r="B1160" s="1">
        <v>46141</v>
      </c>
      <c r="C1160" t="s">
        <v>169</v>
      </c>
      <c r="D1160" s="38">
        <v>4</v>
      </c>
      <c r="E1160" t="s">
        <v>169</v>
      </c>
      <c r="F1160">
        <v>1808156</v>
      </c>
      <c r="G1160" t="s">
        <v>277</v>
      </c>
      <c r="H1160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4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hidden="1" x14ac:dyDescent="0.25">
      <c r="A1161" s="1">
        <v>46142</v>
      </c>
      <c r="B1161" s="1">
        <v>46141</v>
      </c>
      <c r="C1161" t="s">
        <v>169</v>
      </c>
      <c r="D1161" s="38">
        <v>4</v>
      </c>
      <c r="E1161" t="s">
        <v>169</v>
      </c>
      <c r="F1161">
        <v>1808006</v>
      </c>
      <c r="G1161" t="s">
        <v>194</v>
      </c>
      <c r="H116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4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hidden="1" x14ac:dyDescent="0.25">
      <c r="A1162" s="1">
        <v>46142</v>
      </c>
      <c r="B1162" s="1">
        <v>46141</v>
      </c>
      <c r="C1162" t="s">
        <v>169</v>
      </c>
      <c r="D1162" s="38">
        <v>4</v>
      </c>
      <c r="E1162" t="s">
        <v>169</v>
      </c>
      <c r="F1162">
        <v>1808003</v>
      </c>
      <c r="G1162" t="s">
        <v>195</v>
      </c>
      <c r="H1162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4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hidden="1" x14ac:dyDescent="0.25">
      <c r="A1163" s="1">
        <v>46142</v>
      </c>
      <c r="B1163" s="1">
        <v>46141</v>
      </c>
      <c r="C1163" t="s">
        <v>169</v>
      </c>
      <c r="D1163" s="38">
        <v>4</v>
      </c>
      <c r="E1163" t="s">
        <v>169</v>
      </c>
      <c r="F1163">
        <v>1802517</v>
      </c>
      <c r="G1163" t="s">
        <v>141</v>
      </c>
      <c r="H1163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4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hidden="1" x14ac:dyDescent="0.25">
      <c r="A1164" s="1">
        <v>46142</v>
      </c>
      <c r="B1164" s="1">
        <v>46141</v>
      </c>
      <c r="C1164" t="s">
        <v>169</v>
      </c>
      <c r="D1164" s="38">
        <v>4</v>
      </c>
      <c r="E1164" t="s">
        <v>169</v>
      </c>
      <c r="F1164">
        <v>1802172</v>
      </c>
      <c r="G1164" t="s">
        <v>266</v>
      </c>
      <c r="H1164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4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hidden="1" x14ac:dyDescent="0.25">
      <c r="A1165" s="1">
        <v>46142</v>
      </c>
      <c r="B1165" s="1">
        <v>46141</v>
      </c>
      <c r="C1165" t="s">
        <v>169</v>
      </c>
      <c r="D1165" s="38">
        <v>4</v>
      </c>
      <c r="E1165" t="s">
        <v>169</v>
      </c>
      <c r="F1165">
        <v>1802171</v>
      </c>
      <c r="G1165" t="s">
        <v>265</v>
      </c>
      <c r="H1165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4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hidden="1" x14ac:dyDescent="0.25">
      <c r="A1166" s="1">
        <v>46142</v>
      </c>
      <c r="B1166" s="1">
        <v>46141</v>
      </c>
      <c r="C1166" t="s">
        <v>169</v>
      </c>
      <c r="D1166" s="38">
        <v>4</v>
      </c>
      <c r="E1166" t="s">
        <v>169</v>
      </c>
      <c r="F1166">
        <v>1206002</v>
      </c>
      <c r="G1166" t="s">
        <v>192</v>
      </c>
      <c r="H1166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4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hidden="1" x14ac:dyDescent="0.25">
      <c r="A1167" s="1">
        <v>46142</v>
      </c>
      <c r="B1167" s="1">
        <v>46141</v>
      </c>
      <c r="C1167" t="s">
        <v>169</v>
      </c>
      <c r="D1167" s="38">
        <v>4</v>
      </c>
      <c r="E1167" t="s">
        <v>169</v>
      </c>
      <c r="F1167">
        <v>412132</v>
      </c>
      <c r="G1167" t="s">
        <v>738</v>
      </c>
      <c r="H1167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4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hidden="1" x14ac:dyDescent="0.25">
      <c r="A1168" s="1">
        <v>46142</v>
      </c>
      <c r="B1168" s="1">
        <v>46141</v>
      </c>
      <c r="C1168" t="s">
        <v>169</v>
      </c>
      <c r="D1168" s="38">
        <v>4</v>
      </c>
      <c r="E1168" t="s">
        <v>169</v>
      </c>
      <c r="F1168">
        <v>412280</v>
      </c>
      <c r="G1168" t="s">
        <v>40</v>
      </c>
      <c r="H1168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 t="s">
        <v>2017</v>
      </c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4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hidden="1" x14ac:dyDescent="0.25">
      <c r="A1169" s="1">
        <v>46142</v>
      </c>
      <c r="B1169" s="1">
        <v>46141</v>
      </c>
      <c r="C1169" t="s">
        <v>169</v>
      </c>
      <c r="D1169" s="38">
        <v>4</v>
      </c>
      <c r="E1169" t="s">
        <v>169</v>
      </c>
      <c r="F1169">
        <v>412281</v>
      </c>
      <c r="G1169" t="s">
        <v>326</v>
      </c>
      <c r="H1169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4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hidden="1" x14ac:dyDescent="0.25">
      <c r="A1170" s="1">
        <v>46142</v>
      </c>
      <c r="B1170" s="1">
        <v>46141</v>
      </c>
      <c r="C1170" t="s">
        <v>169</v>
      </c>
      <c r="D1170" s="38">
        <v>4</v>
      </c>
      <c r="E1170" t="s">
        <v>169</v>
      </c>
      <c r="F1170">
        <v>304101</v>
      </c>
      <c r="G1170" t="s">
        <v>17</v>
      </c>
      <c r="H1170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4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hidden="1" x14ac:dyDescent="0.25">
      <c r="A1171" s="1">
        <v>46142</v>
      </c>
      <c r="B1171" s="1">
        <v>46141</v>
      </c>
      <c r="C1171" t="s">
        <v>169</v>
      </c>
      <c r="D1171" s="38">
        <v>4</v>
      </c>
      <c r="E1171" t="s">
        <v>169</v>
      </c>
      <c r="F1171">
        <v>407011</v>
      </c>
      <c r="G1171" t="s">
        <v>30</v>
      </c>
      <c r="H117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4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hidden="1" x14ac:dyDescent="0.25">
      <c r="A1172" s="1">
        <v>46142</v>
      </c>
      <c r="B1172" s="1">
        <v>46141</v>
      </c>
      <c r="C1172" t="s">
        <v>169</v>
      </c>
      <c r="D1172" s="38">
        <v>4</v>
      </c>
      <c r="E1172" t="s">
        <v>169</v>
      </c>
      <c r="F1172">
        <v>408042</v>
      </c>
      <c r="G1172" t="s">
        <v>144</v>
      </c>
      <c r="H1172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 t="s">
        <v>2008</v>
      </c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4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hidden="1" x14ac:dyDescent="0.25">
      <c r="A1173" s="1">
        <v>46142</v>
      </c>
      <c r="B1173" s="1">
        <v>46141</v>
      </c>
      <c r="C1173" t="s">
        <v>169</v>
      </c>
      <c r="D1173" s="38">
        <v>4</v>
      </c>
      <c r="E1173" t="s">
        <v>169</v>
      </c>
      <c r="F1173">
        <v>304012</v>
      </c>
      <c r="G1173" t="s">
        <v>707</v>
      </c>
      <c r="H1173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4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hidden="1" x14ac:dyDescent="0.25">
      <c r="A1174" s="1">
        <v>46142</v>
      </c>
      <c r="B1174" s="1">
        <v>46141</v>
      </c>
      <c r="C1174" t="s">
        <v>169</v>
      </c>
      <c r="D1174" s="38">
        <v>4</v>
      </c>
      <c r="E1174" t="s">
        <v>169</v>
      </c>
      <c r="F1174">
        <v>307032</v>
      </c>
      <c r="G1174" t="s">
        <v>186</v>
      </c>
      <c r="H1174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4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hidden="1" x14ac:dyDescent="0.25">
      <c r="A1175" s="1">
        <v>46142</v>
      </c>
      <c r="B1175" s="1">
        <v>46141</v>
      </c>
      <c r="C1175" t="s">
        <v>169</v>
      </c>
      <c r="D1175" s="38">
        <v>4</v>
      </c>
      <c r="E1175" t="s">
        <v>169</v>
      </c>
      <c r="F1175">
        <v>705028</v>
      </c>
      <c r="G1175" t="s">
        <v>72</v>
      </c>
      <c r="H1175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4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hidden="1" x14ac:dyDescent="0.25">
      <c r="A1176" s="1">
        <v>46142</v>
      </c>
      <c r="B1176" s="1">
        <v>46141</v>
      </c>
      <c r="C1176" t="s">
        <v>169</v>
      </c>
      <c r="D1176" s="38">
        <v>4</v>
      </c>
      <c r="E1176" t="s">
        <v>169</v>
      </c>
      <c r="F1176">
        <v>602255</v>
      </c>
      <c r="G1176" t="s">
        <v>203</v>
      </c>
      <c r="H1176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4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hidden="1" x14ac:dyDescent="0.25">
      <c r="A1177" s="1">
        <v>46142</v>
      </c>
      <c r="B1177" s="1">
        <v>46141</v>
      </c>
      <c r="C1177" t="s">
        <v>169</v>
      </c>
      <c r="D1177" s="38">
        <v>4</v>
      </c>
      <c r="E1177" t="s">
        <v>169</v>
      </c>
      <c r="F1177">
        <v>602254</v>
      </c>
      <c r="G1177" t="s">
        <v>214</v>
      </c>
      <c r="H1177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4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hidden="1" x14ac:dyDescent="0.25">
      <c r="A1178" s="1">
        <v>46142</v>
      </c>
      <c r="B1178" s="1">
        <v>46141</v>
      </c>
      <c r="C1178" t="s">
        <v>169</v>
      </c>
      <c r="D1178" s="38">
        <v>4</v>
      </c>
      <c r="E1178" t="s">
        <v>169</v>
      </c>
      <c r="F1178">
        <v>404184</v>
      </c>
      <c r="G1178" t="s">
        <v>66</v>
      </c>
      <c r="H1178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4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hidden="1" x14ac:dyDescent="0.25">
      <c r="A1179" s="1">
        <v>46142</v>
      </c>
      <c r="B1179" s="1">
        <v>46141</v>
      </c>
      <c r="C1179" t="s">
        <v>169</v>
      </c>
      <c r="D1179" s="38">
        <v>4</v>
      </c>
      <c r="E1179" t="s">
        <v>169</v>
      </c>
      <c r="F1179">
        <v>2302119</v>
      </c>
      <c r="G1179" t="s">
        <v>74</v>
      </c>
      <c r="H1179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4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hidden="1" x14ac:dyDescent="0.25">
      <c r="A1180" s="1">
        <v>46142</v>
      </c>
      <c r="B1180" s="1">
        <v>46141</v>
      </c>
      <c r="C1180" t="s">
        <v>169</v>
      </c>
      <c r="D1180" s="38">
        <v>4</v>
      </c>
      <c r="E1180" t="s">
        <v>169</v>
      </c>
      <c r="F1180">
        <v>407423</v>
      </c>
      <c r="G1180" t="s">
        <v>106</v>
      </c>
      <c r="H1180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4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hidden="1" x14ac:dyDescent="0.25">
      <c r="A1181" s="1">
        <v>46142</v>
      </c>
      <c r="B1181" s="1">
        <v>46141</v>
      </c>
      <c r="C1181" t="s">
        <v>169</v>
      </c>
      <c r="D1181" s="38">
        <v>4</v>
      </c>
      <c r="E1181" t="s">
        <v>169</v>
      </c>
      <c r="F1181">
        <v>609008</v>
      </c>
      <c r="G1181" t="s">
        <v>57</v>
      </c>
      <c r="H11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4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hidden="1" x14ac:dyDescent="0.25">
      <c r="A1182" s="1">
        <v>46142</v>
      </c>
      <c r="B1182" s="1">
        <v>46141</v>
      </c>
      <c r="C1182" t="s">
        <v>169</v>
      </c>
      <c r="D1182" s="38">
        <v>4</v>
      </c>
      <c r="E1182" t="s">
        <v>169</v>
      </c>
      <c r="F1182">
        <v>1610023</v>
      </c>
      <c r="G1182" t="s">
        <v>351</v>
      </c>
      <c r="H1182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4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hidden="1" x14ac:dyDescent="0.25">
      <c r="A1183" s="1">
        <v>46142</v>
      </c>
      <c r="B1183" s="1">
        <v>46142</v>
      </c>
      <c r="C1183" t="s">
        <v>169</v>
      </c>
      <c r="D1183" s="38">
        <v>4</v>
      </c>
      <c r="E1183" t="s">
        <v>169</v>
      </c>
      <c r="F1183">
        <v>4212234</v>
      </c>
      <c r="G1183" t="s">
        <v>54</v>
      </c>
      <c r="H1183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 t="s">
        <v>2013</v>
      </c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4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hidden="1" x14ac:dyDescent="0.25">
      <c r="A1184" s="1">
        <v>46142</v>
      </c>
      <c r="B1184" s="1">
        <v>46142</v>
      </c>
      <c r="C1184" t="s">
        <v>169</v>
      </c>
      <c r="D1184" s="38">
        <v>4</v>
      </c>
      <c r="E1184" t="s">
        <v>169</v>
      </c>
      <c r="F1184">
        <v>2304056</v>
      </c>
      <c r="G1184" t="s">
        <v>417</v>
      </c>
      <c r="H1184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4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hidden="1" x14ac:dyDescent="0.25">
      <c r="A1185" s="1">
        <v>46142</v>
      </c>
      <c r="B1185" s="1">
        <v>46142</v>
      </c>
      <c r="C1185" t="s">
        <v>169</v>
      </c>
      <c r="D1185" s="38">
        <v>4</v>
      </c>
      <c r="E1185" t="s">
        <v>169</v>
      </c>
      <c r="F1185">
        <v>2302119</v>
      </c>
      <c r="G1185" t="s">
        <v>74</v>
      </c>
      <c r="H1185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4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hidden="1" x14ac:dyDescent="0.25">
      <c r="A1186" s="1">
        <v>46142</v>
      </c>
      <c r="B1186" s="1">
        <v>46142</v>
      </c>
      <c r="C1186" t="s">
        <v>169</v>
      </c>
      <c r="D1186" s="38">
        <v>4</v>
      </c>
      <c r="E1186" t="s">
        <v>169</v>
      </c>
      <c r="F1186">
        <v>407049</v>
      </c>
      <c r="G1186" t="s">
        <v>232</v>
      </c>
      <c r="H1186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4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hidden="1" x14ac:dyDescent="0.25">
      <c r="A1187" s="1">
        <v>46142</v>
      </c>
      <c r="B1187" s="1">
        <v>46142</v>
      </c>
      <c r="C1187" t="s">
        <v>169</v>
      </c>
      <c r="D1187" s="38">
        <v>4</v>
      </c>
      <c r="E1187" t="s">
        <v>169</v>
      </c>
      <c r="F1187">
        <v>412302</v>
      </c>
      <c r="G1187" t="s">
        <v>165</v>
      </c>
      <c r="H1187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4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hidden="1" x14ac:dyDescent="0.25">
      <c r="A1188" s="1">
        <v>46142</v>
      </c>
      <c r="B1188" s="1">
        <v>46142</v>
      </c>
      <c r="C1188" t="s">
        <v>169</v>
      </c>
      <c r="D1188" s="38">
        <v>4</v>
      </c>
      <c r="E1188" t="s">
        <v>169</v>
      </c>
      <c r="F1188">
        <v>407427</v>
      </c>
      <c r="G1188" t="s">
        <v>172</v>
      </c>
      <c r="H1188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4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hidden="1" x14ac:dyDescent="0.25">
      <c r="A1189" s="1">
        <v>46142</v>
      </c>
      <c r="B1189" s="1">
        <v>46142</v>
      </c>
      <c r="C1189" t="s">
        <v>169</v>
      </c>
      <c r="D1189" s="38">
        <v>4</v>
      </c>
      <c r="E1189" t="s">
        <v>169</v>
      </c>
      <c r="F1189">
        <v>302048</v>
      </c>
      <c r="G1189" t="s">
        <v>126</v>
      </c>
      <c r="H1189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4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hidden="1" x14ac:dyDescent="0.25">
      <c r="A1190" s="1">
        <v>46142</v>
      </c>
      <c r="B1190" s="1">
        <v>46142</v>
      </c>
      <c r="C1190" t="s">
        <v>169</v>
      </c>
      <c r="D1190" s="38">
        <v>4</v>
      </c>
      <c r="E1190" t="s">
        <v>169</v>
      </c>
      <c r="F1190">
        <v>101010</v>
      </c>
      <c r="G1190" t="s">
        <v>777</v>
      </c>
      <c r="H1190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4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hidden="1" x14ac:dyDescent="0.25">
      <c r="A1191" s="1">
        <v>46146</v>
      </c>
      <c r="B1191" s="1">
        <v>46146</v>
      </c>
      <c r="C1191" t="s">
        <v>169</v>
      </c>
      <c r="D1191" s="38">
        <v>5</v>
      </c>
      <c r="E1191" t="s">
        <v>169</v>
      </c>
      <c r="F1191" t="s">
        <v>559</v>
      </c>
      <c r="G1191" t="s">
        <v>705</v>
      </c>
      <c r="H119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4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hidden="1" x14ac:dyDescent="0.25">
      <c r="A1192" s="1">
        <v>46146</v>
      </c>
      <c r="B1192" s="1">
        <v>46146</v>
      </c>
      <c r="C1192" t="s">
        <v>169</v>
      </c>
      <c r="D1192" s="38">
        <v>5</v>
      </c>
      <c r="E1192" t="s">
        <v>169</v>
      </c>
      <c r="F1192">
        <v>1808148</v>
      </c>
      <c r="G1192" t="s">
        <v>276</v>
      </c>
      <c r="H1192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4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hidden="1" x14ac:dyDescent="0.25">
      <c r="A1193" s="1">
        <v>46146</v>
      </c>
      <c r="B1193" s="1">
        <v>46146</v>
      </c>
      <c r="C1193" t="s">
        <v>169</v>
      </c>
      <c r="D1193" s="38">
        <v>5</v>
      </c>
      <c r="E1193" t="s">
        <v>169</v>
      </c>
      <c r="F1193">
        <v>1808145</v>
      </c>
      <c r="G1193" t="s">
        <v>273</v>
      </c>
      <c r="H1193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4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hidden="1" x14ac:dyDescent="0.25">
      <c r="A1194" s="1">
        <v>46146</v>
      </c>
      <c r="B1194" s="1">
        <v>46146</v>
      </c>
      <c r="C1194" t="s">
        <v>169</v>
      </c>
      <c r="D1194" s="38">
        <v>5</v>
      </c>
      <c r="E1194" t="s">
        <v>169</v>
      </c>
      <c r="F1194">
        <v>1808144</v>
      </c>
      <c r="G1194" t="s">
        <v>272</v>
      </c>
      <c r="H1194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4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hidden="1" x14ac:dyDescent="0.25">
      <c r="A1195" s="1">
        <v>46146</v>
      </c>
      <c r="B1195" s="1">
        <v>46146</v>
      </c>
      <c r="C1195" t="s">
        <v>169</v>
      </c>
      <c r="D1195" s="38">
        <v>5</v>
      </c>
      <c r="E1195" t="s">
        <v>169</v>
      </c>
      <c r="F1195">
        <v>407795</v>
      </c>
      <c r="G1195" t="s">
        <v>325</v>
      </c>
      <c r="H1195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4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hidden="1" x14ac:dyDescent="0.25">
      <c r="A1196" s="1">
        <v>46146</v>
      </c>
      <c r="B1196" s="1">
        <v>46146</v>
      </c>
      <c r="C1196" t="s">
        <v>169</v>
      </c>
      <c r="D1196" s="38">
        <v>5</v>
      </c>
      <c r="E1196" t="s">
        <v>169</v>
      </c>
      <c r="F1196">
        <v>1808147</v>
      </c>
      <c r="G1196" t="s">
        <v>275</v>
      </c>
      <c r="H1196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4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hidden="1" x14ac:dyDescent="0.25">
      <c r="A1197" s="1">
        <v>46146</v>
      </c>
      <c r="B1197" s="1">
        <v>46146</v>
      </c>
      <c r="C1197" t="s">
        <v>169</v>
      </c>
      <c r="D1197" s="38">
        <v>5</v>
      </c>
      <c r="E1197" t="s">
        <v>169</v>
      </c>
      <c r="F1197">
        <v>1802166</v>
      </c>
      <c r="G1197" t="s">
        <v>283</v>
      </c>
      <c r="H1197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4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hidden="1" x14ac:dyDescent="0.25">
      <c r="A1198" s="1">
        <v>46146</v>
      </c>
      <c r="B1198" s="1">
        <v>46146</v>
      </c>
      <c r="C1198" t="s">
        <v>169</v>
      </c>
      <c r="D1198" s="38">
        <v>5</v>
      </c>
      <c r="E1198" t="s">
        <v>169</v>
      </c>
      <c r="F1198">
        <v>1703006</v>
      </c>
      <c r="G1198" t="s">
        <v>48</v>
      </c>
      <c r="H1198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4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hidden="1" x14ac:dyDescent="0.25">
      <c r="A1199" s="1">
        <v>46146</v>
      </c>
      <c r="B1199" s="1">
        <v>46146</v>
      </c>
      <c r="C1199" t="s">
        <v>169</v>
      </c>
      <c r="D1199" s="38">
        <v>5</v>
      </c>
      <c r="E1199" t="s">
        <v>169</v>
      </c>
      <c r="F1199">
        <v>5316508</v>
      </c>
      <c r="G1199" t="s">
        <v>468</v>
      </c>
      <c r="H1199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4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hidden="1" x14ac:dyDescent="0.25">
      <c r="A1200" s="1">
        <v>46146</v>
      </c>
      <c r="B1200" s="1">
        <v>46146</v>
      </c>
      <c r="C1200" t="s">
        <v>169</v>
      </c>
      <c r="D1200" s="38">
        <v>5</v>
      </c>
      <c r="E1200" t="s">
        <v>169</v>
      </c>
      <c r="F1200">
        <v>5316507</v>
      </c>
      <c r="G1200" t="s">
        <v>55</v>
      </c>
      <c r="H1200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4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hidden="1" x14ac:dyDescent="0.25">
      <c r="A1201" s="1">
        <v>46146</v>
      </c>
      <c r="B1201" s="1">
        <v>46146</v>
      </c>
      <c r="C1201" t="s">
        <v>169</v>
      </c>
      <c r="D1201" s="38">
        <v>5</v>
      </c>
      <c r="E1201" t="s">
        <v>169</v>
      </c>
      <c r="F1201">
        <v>2505426</v>
      </c>
      <c r="G1201" t="s">
        <v>708</v>
      </c>
      <c r="H120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4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hidden="1" x14ac:dyDescent="0.25">
      <c r="A1202" s="1">
        <v>46146</v>
      </c>
      <c r="B1202" s="1">
        <v>46146</v>
      </c>
      <c r="C1202" t="s">
        <v>169</v>
      </c>
      <c r="D1202" s="38">
        <v>5</v>
      </c>
      <c r="E1202" t="s">
        <v>169</v>
      </c>
      <c r="F1202">
        <v>1802176</v>
      </c>
      <c r="G1202" t="s">
        <v>196</v>
      </c>
      <c r="H1202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4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hidden="1" x14ac:dyDescent="0.25">
      <c r="A1203" s="1">
        <v>46146</v>
      </c>
      <c r="B1203" s="1">
        <v>46146</v>
      </c>
      <c r="C1203" t="s">
        <v>169</v>
      </c>
      <c r="D1203" s="38">
        <v>5</v>
      </c>
      <c r="E1203" t="s">
        <v>169</v>
      </c>
      <c r="F1203">
        <v>1802165</v>
      </c>
      <c r="G1203" t="s">
        <v>261</v>
      </c>
      <c r="H1203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4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hidden="1" x14ac:dyDescent="0.25">
      <c r="A1204" s="1">
        <v>46146</v>
      </c>
      <c r="B1204" s="1">
        <v>46146</v>
      </c>
      <c r="C1204" t="s">
        <v>169</v>
      </c>
      <c r="D1204" s="38">
        <v>5</v>
      </c>
      <c r="E1204" t="s">
        <v>169</v>
      </c>
      <c r="F1204">
        <v>1701154</v>
      </c>
      <c r="G1204" t="s">
        <v>710</v>
      </c>
      <c r="H1204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4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hidden="1" x14ac:dyDescent="0.25">
      <c r="A1205" s="1">
        <v>46146</v>
      </c>
      <c r="B1205" s="1">
        <v>46146</v>
      </c>
      <c r="C1205" t="s">
        <v>169</v>
      </c>
      <c r="D1205" s="38">
        <v>5</v>
      </c>
      <c r="E1205" t="s">
        <v>169</v>
      </c>
      <c r="F1205">
        <v>1802175</v>
      </c>
      <c r="G1205" t="s">
        <v>269</v>
      </c>
      <c r="H1205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4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hidden="1" x14ac:dyDescent="0.25">
      <c r="A1206" s="1">
        <v>46146</v>
      </c>
      <c r="B1206" s="1">
        <v>46146</v>
      </c>
      <c r="C1206" t="s">
        <v>169</v>
      </c>
      <c r="D1206" s="38">
        <v>5</v>
      </c>
      <c r="E1206" t="s">
        <v>169</v>
      </c>
      <c r="F1206">
        <v>1802174</v>
      </c>
      <c r="G1206" t="s">
        <v>268</v>
      </c>
      <c r="H1206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4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hidden="1" x14ac:dyDescent="0.25">
      <c r="A1207" s="1">
        <v>46146</v>
      </c>
      <c r="B1207" s="1">
        <v>46146</v>
      </c>
      <c r="C1207" t="s">
        <v>169</v>
      </c>
      <c r="D1207" s="38">
        <v>5</v>
      </c>
      <c r="E1207" t="s">
        <v>169</v>
      </c>
      <c r="F1207">
        <v>1802173</v>
      </c>
      <c r="G1207" t="s">
        <v>267</v>
      </c>
      <c r="H1207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4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hidden="1" x14ac:dyDescent="0.25">
      <c r="A1208" s="1">
        <v>46146</v>
      </c>
      <c r="B1208" s="1">
        <v>46146</v>
      </c>
      <c r="C1208" t="s">
        <v>169</v>
      </c>
      <c r="D1208" s="38">
        <v>5</v>
      </c>
      <c r="E1208" t="s">
        <v>169</v>
      </c>
      <c r="F1208">
        <v>5316484</v>
      </c>
      <c r="G1208" t="s">
        <v>96</v>
      </c>
      <c r="H1208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4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hidden="1" x14ac:dyDescent="0.25">
      <c r="A1209" s="1">
        <v>46146</v>
      </c>
      <c r="B1209" s="1">
        <v>46146</v>
      </c>
      <c r="C1209" t="s">
        <v>169</v>
      </c>
      <c r="D1209" s="38">
        <v>5</v>
      </c>
      <c r="E1209" t="s">
        <v>169</v>
      </c>
      <c r="F1209">
        <v>5316483</v>
      </c>
      <c r="G1209" t="s">
        <v>97</v>
      </c>
      <c r="H1209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4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hidden="1" x14ac:dyDescent="0.25">
      <c r="A1210" s="1">
        <v>46146</v>
      </c>
      <c r="B1210" s="1">
        <v>46146</v>
      </c>
      <c r="C1210" t="s">
        <v>169</v>
      </c>
      <c r="D1210" s="38">
        <v>5</v>
      </c>
      <c r="E1210" t="s">
        <v>169</v>
      </c>
      <c r="F1210">
        <v>1802170</v>
      </c>
      <c r="G1210" t="s">
        <v>264</v>
      </c>
      <c r="H1210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4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hidden="1" x14ac:dyDescent="0.25">
      <c r="A1211" s="1">
        <v>46146</v>
      </c>
      <c r="B1211" s="1">
        <v>46146</v>
      </c>
      <c r="C1211" t="s">
        <v>169</v>
      </c>
      <c r="D1211" s="38">
        <v>5</v>
      </c>
      <c r="E1211" t="s">
        <v>169</v>
      </c>
      <c r="F1211">
        <v>1802169</v>
      </c>
      <c r="G1211" t="s">
        <v>263</v>
      </c>
      <c r="H121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4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hidden="1" x14ac:dyDescent="0.25">
      <c r="A1212" s="1">
        <v>46146</v>
      </c>
      <c r="B1212" s="1">
        <v>46146</v>
      </c>
      <c r="C1212" t="s">
        <v>169</v>
      </c>
      <c r="D1212" s="38">
        <v>5</v>
      </c>
      <c r="E1212" t="s">
        <v>169</v>
      </c>
      <c r="F1212">
        <v>1801229</v>
      </c>
      <c r="G1212" t="s">
        <v>259</v>
      </c>
      <c r="H1212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4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hidden="1" x14ac:dyDescent="0.25">
      <c r="A1213" s="1">
        <v>46146</v>
      </c>
      <c r="B1213" s="1">
        <v>46146</v>
      </c>
      <c r="C1213" t="s">
        <v>169</v>
      </c>
      <c r="D1213" s="38">
        <v>5</v>
      </c>
      <c r="E1213" t="s">
        <v>169</v>
      </c>
      <c r="F1213">
        <v>1802167</v>
      </c>
      <c r="G1213" t="s">
        <v>262</v>
      </c>
      <c r="H1213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4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hidden="1" x14ac:dyDescent="0.25">
      <c r="A1214" s="1">
        <v>46146</v>
      </c>
      <c r="B1214" s="1">
        <v>46146</v>
      </c>
      <c r="C1214" t="s">
        <v>169</v>
      </c>
      <c r="D1214" s="38">
        <v>5</v>
      </c>
      <c r="E1214" t="s">
        <v>169</v>
      </c>
      <c r="F1214">
        <v>304101</v>
      </c>
      <c r="G1214" t="s">
        <v>17</v>
      </c>
      <c r="H1214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4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hidden="1" x14ac:dyDescent="0.25">
      <c r="A1215" s="1">
        <v>46146</v>
      </c>
      <c r="B1215" s="1">
        <v>46146</v>
      </c>
      <c r="C1215" t="s">
        <v>169</v>
      </c>
      <c r="D1215" s="38">
        <v>5</v>
      </c>
      <c r="E1215" t="s">
        <v>169</v>
      </c>
      <c r="F1215">
        <v>302010</v>
      </c>
      <c r="G1215" t="s">
        <v>323</v>
      </c>
      <c r="H1215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4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hidden="1" x14ac:dyDescent="0.25">
      <c r="A1216" s="1">
        <v>46146</v>
      </c>
      <c r="B1216" s="1">
        <v>46146</v>
      </c>
      <c r="C1216" t="s">
        <v>169</v>
      </c>
      <c r="D1216" s="38">
        <v>5</v>
      </c>
      <c r="E1216" t="s">
        <v>169</v>
      </c>
      <c r="F1216">
        <v>1801230</v>
      </c>
      <c r="G1216" t="s">
        <v>51</v>
      </c>
      <c r="H1216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4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hidden="1" x14ac:dyDescent="0.25">
      <c r="A1217" s="1">
        <v>46146</v>
      </c>
      <c r="B1217" s="1">
        <v>46146</v>
      </c>
      <c r="C1217" t="s">
        <v>169</v>
      </c>
      <c r="D1217" s="38">
        <v>5</v>
      </c>
      <c r="E1217" t="s">
        <v>169</v>
      </c>
      <c r="F1217">
        <v>404745</v>
      </c>
      <c r="G1217" t="s">
        <v>442</v>
      </c>
      <c r="H1217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4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hidden="1" x14ac:dyDescent="0.25">
      <c r="A1218" s="1">
        <v>46146</v>
      </c>
      <c r="B1218" s="1">
        <v>46146</v>
      </c>
      <c r="C1218" t="s">
        <v>169</v>
      </c>
      <c r="D1218" s="38">
        <v>5</v>
      </c>
      <c r="E1218" t="s">
        <v>169</v>
      </c>
      <c r="F1218">
        <v>1808156</v>
      </c>
      <c r="G1218" t="s">
        <v>277</v>
      </c>
      <c r="H1218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4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hidden="1" x14ac:dyDescent="0.25">
      <c r="A1219" s="1">
        <v>46146</v>
      </c>
      <c r="B1219" s="1">
        <v>46146</v>
      </c>
      <c r="C1219" t="s">
        <v>169</v>
      </c>
      <c r="D1219" s="38">
        <v>5</v>
      </c>
      <c r="E1219" t="s">
        <v>169</v>
      </c>
      <c r="F1219">
        <v>1808006</v>
      </c>
      <c r="G1219" t="s">
        <v>194</v>
      </c>
      <c r="H1219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4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hidden="1" x14ac:dyDescent="0.25">
      <c r="A1220" s="1">
        <v>46146</v>
      </c>
      <c r="B1220" s="1">
        <v>46146</v>
      </c>
      <c r="C1220" t="s">
        <v>169</v>
      </c>
      <c r="D1220" s="38">
        <v>5</v>
      </c>
      <c r="E1220" t="s">
        <v>169</v>
      </c>
      <c r="F1220">
        <v>1808003</v>
      </c>
      <c r="G1220" t="s">
        <v>195</v>
      </c>
      <c r="H1220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4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hidden="1" x14ac:dyDescent="0.25">
      <c r="A1221" s="1">
        <v>46146</v>
      </c>
      <c r="B1221" s="1">
        <v>46146</v>
      </c>
      <c r="C1221" t="s">
        <v>169</v>
      </c>
      <c r="D1221" s="38">
        <v>5</v>
      </c>
      <c r="E1221" t="s">
        <v>169</v>
      </c>
      <c r="F1221">
        <v>1802172</v>
      </c>
      <c r="G1221" t="s">
        <v>266</v>
      </c>
      <c r="H122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4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hidden="1" x14ac:dyDescent="0.25">
      <c r="A1222" s="1">
        <v>46146</v>
      </c>
      <c r="B1222" s="1">
        <v>46146</v>
      </c>
      <c r="C1222" t="s">
        <v>169</v>
      </c>
      <c r="D1222" s="38">
        <v>5</v>
      </c>
      <c r="E1222" t="s">
        <v>169</v>
      </c>
      <c r="F1222">
        <v>1802171</v>
      </c>
      <c r="G1222" t="s">
        <v>265</v>
      </c>
      <c r="H1222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4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hidden="1" x14ac:dyDescent="0.25">
      <c r="A1223" s="1">
        <v>46146</v>
      </c>
      <c r="B1223" s="1">
        <v>46146</v>
      </c>
      <c r="C1223" t="s">
        <v>169</v>
      </c>
      <c r="D1223" s="38">
        <v>5</v>
      </c>
      <c r="E1223" t="s">
        <v>169</v>
      </c>
      <c r="F1223">
        <v>1206002</v>
      </c>
      <c r="G1223" t="s">
        <v>192</v>
      </c>
      <c r="H1223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4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hidden="1" x14ac:dyDescent="0.25">
      <c r="A1224" s="1">
        <v>46146</v>
      </c>
      <c r="B1224" s="1">
        <v>46146</v>
      </c>
      <c r="C1224" t="s">
        <v>169</v>
      </c>
      <c r="D1224" s="38">
        <v>5</v>
      </c>
      <c r="E1224" t="s">
        <v>169</v>
      </c>
      <c r="F1224">
        <v>304002</v>
      </c>
      <c r="G1224" t="s">
        <v>37</v>
      </c>
      <c r="H1224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4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hidden="1" x14ac:dyDescent="0.25">
      <c r="A1225" s="1">
        <v>46146</v>
      </c>
      <c r="B1225" s="1">
        <v>46146</v>
      </c>
      <c r="C1225" t="s">
        <v>169</v>
      </c>
      <c r="D1225" s="38">
        <v>5</v>
      </c>
      <c r="E1225" t="s">
        <v>169</v>
      </c>
      <c r="F1225">
        <v>704079</v>
      </c>
      <c r="G1225" t="s">
        <v>209</v>
      </c>
      <c r="H1225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4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hidden="1" x14ac:dyDescent="0.25">
      <c r="A1226" s="1">
        <v>46146</v>
      </c>
      <c r="B1226" s="1">
        <v>46146</v>
      </c>
      <c r="C1226" t="s">
        <v>169</v>
      </c>
      <c r="D1226" s="38">
        <v>5</v>
      </c>
      <c r="E1226" t="s">
        <v>169</v>
      </c>
      <c r="F1226">
        <v>617019</v>
      </c>
      <c r="G1226" t="s">
        <v>754</v>
      </c>
      <c r="H1226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4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hidden="1" x14ac:dyDescent="0.25">
      <c r="A1227" s="1">
        <v>46146</v>
      </c>
      <c r="B1227" s="1">
        <v>46146</v>
      </c>
      <c r="C1227" t="s">
        <v>169</v>
      </c>
      <c r="D1227" s="38">
        <v>5</v>
      </c>
      <c r="E1227" t="s">
        <v>169</v>
      </c>
      <c r="F1227">
        <v>1103076</v>
      </c>
      <c r="G1227" t="s">
        <v>311</v>
      </c>
      <c r="H1227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4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hidden="1" x14ac:dyDescent="0.25">
      <c r="A1228" s="1">
        <v>46146</v>
      </c>
      <c r="B1228" s="1">
        <v>46146</v>
      </c>
      <c r="C1228" t="s">
        <v>169</v>
      </c>
      <c r="D1228" s="38">
        <v>5</v>
      </c>
      <c r="E1228" t="s">
        <v>169</v>
      </c>
      <c r="F1228">
        <v>1103074</v>
      </c>
      <c r="G1228" t="s">
        <v>310</v>
      </c>
      <c r="H1228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4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hidden="1" x14ac:dyDescent="0.25">
      <c r="A1229" s="1">
        <v>46146</v>
      </c>
      <c r="B1229" s="1">
        <v>46146</v>
      </c>
      <c r="C1229" t="s">
        <v>169</v>
      </c>
      <c r="D1229" s="38">
        <v>5</v>
      </c>
      <c r="E1229" t="s">
        <v>169</v>
      </c>
      <c r="F1229">
        <v>609008</v>
      </c>
      <c r="G1229" t="s">
        <v>57</v>
      </c>
      <c r="H1229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4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hidden="1" x14ac:dyDescent="0.25">
      <c r="A1230" s="1">
        <v>46146</v>
      </c>
      <c r="B1230" s="1">
        <v>46146</v>
      </c>
      <c r="C1230" t="s">
        <v>169</v>
      </c>
      <c r="D1230" s="38">
        <v>5</v>
      </c>
      <c r="E1230" t="s">
        <v>169</v>
      </c>
      <c r="F1230">
        <v>601047</v>
      </c>
      <c r="G1230" t="s">
        <v>129</v>
      </c>
      <c r="H1230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4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hidden="1" x14ac:dyDescent="0.25">
      <c r="A1231" s="1">
        <v>46146</v>
      </c>
      <c r="B1231" s="1">
        <v>46146</v>
      </c>
      <c r="C1231" t="s">
        <v>169</v>
      </c>
      <c r="D1231" s="38">
        <v>5</v>
      </c>
      <c r="E1231" t="s">
        <v>169</v>
      </c>
      <c r="F1231">
        <v>617016</v>
      </c>
      <c r="G1231" t="s">
        <v>133</v>
      </c>
      <c r="H123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4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hidden="1" x14ac:dyDescent="0.25">
      <c r="A1232" s="1">
        <v>46146</v>
      </c>
      <c r="B1232" s="1">
        <v>46146</v>
      </c>
      <c r="C1232" t="s">
        <v>169</v>
      </c>
      <c r="D1232" s="38">
        <v>5</v>
      </c>
      <c r="E1232" t="s">
        <v>169</v>
      </c>
      <c r="F1232">
        <v>617057</v>
      </c>
      <c r="G1232" t="s">
        <v>134</v>
      </c>
      <c r="H1232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4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hidden="1" x14ac:dyDescent="0.25">
      <c r="A1233" s="1">
        <v>46147</v>
      </c>
      <c r="B1233" s="1">
        <v>46147</v>
      </c>
      <c r="C1233" t="s">
        <v>169</v>
      </c>
      <c r="D1233" s="38">
        <v>5</v>
      </c>
      <c r="E1233" t="s">
        <v>169</v>
      </c>
      <c r="F1233">
        <v>1803045</v>
      </c>
      <c r="G1233" t="s">
        <v>337</v>
      </c>
      <c r="H1233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4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hidden="1" x14ac:dyDescent="0.25">
      <c r="A1234" s="1">
        <v>46147</v>
      </c>
      <c r="B1234" s="1">
        <v>46147</v>
      </c>
      <c r="C1234" t="s">
        <v>169</v>
      </c>
      <c r="D1234" s="38">
        <v>5</v>
      </c>
      <c r="E1234" t="s">
        <v>169</v>
      </c>
      <c r="F1234">
        <v>1803044</v>
      </c>
      <c r="G1234" t="s">
        <v>336</v>
      </c>
      <c r="H1234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4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hidden="1" x14ac:dyDescent="0.25">
      <c r="A1235" s="1">
        <v>46147</v>
      </c>
      <c r="B1235" s="1">
        <v>46147</v>
      </c>
      <c r="C1235" t="s">
        <v>169</v>
      </c>
      <c r="D1235" s="38">
        <v>5</v>
      </c>
      <c r="E1235" t="s">
        <v>169</v>
      </c>
      <c r="F1235">
        <v>1610023</v>
      </c>
      <c r="G1235" t="s">
        <v>351</v>
      </c>
      <c r="H1235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4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hidden="1" x14ac:dyDescent="0.25">
      <c r="A1236" s="1">
        <v>46147</v>
      </c>
      <c r="B1236" s="1">
        <v>46147</v>
      </c>
      <c r="C1236" t="s">
        <v>169</v>
      </c>
      <c r="D1236" s="38">
        <v>5</v>
      </c>
      <c r="E1236" t="s">
        <v>169</v>
      </c>
      <c r="F1236">
        <v>2508988</v>
      </c>
      <c r="G1236" t="s">
        <v>467</v>
      </c>
      <c r="H1236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4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hidden="1" x14ac:dyDescent="0.25">
      <c r="A1237" s="1">
        <v>46147</v>
      </c>
      <c r="B1237" s="1">
        <v>46147</v>
      </c>
      <c r="C1237" t="s">
        <v>169</v>
      </c>
      <c r="D1237" s="38">
        <v>5</v>
      </c>
      <c r="E1237" t="s">
        <v>169</v>
      </c>
      <c r="F1237">
        <v>2508987</v>
      </c>
      <c r="G1237" t="s">
        <v>305</v>
      </c>
      <c r="H1237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4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hidden="1" x14ac:dyDescent="0.25">
      <c r="A1238" s="1">
        <v>46147</v>
      </c>
      <c r="B1238" s="1">
        <v>46147</v>
      </c>
      <c r="C1238" t="s">
        <v>169</v>
      </c>
      <c r="D1238" s="38">
        <v>5</v>
      </c>
      <c r="E1238" t="s">
        <v>169</v>
      </c>
      <c r="F1238">
        <v>1902003</v>
      </c>
      <c r="G1238" t="s">
        <v>155</v>
      </c>
      <c r="H1238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4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hidden="1" x14ac:dyDescent="0.25">
      <c r="A1239" s="1">
        <v>46147</v>
      </c>
      <c r="B1239" s="1">
        <v>46147</v>
      </c>
      <c r="C1239" t="s">
        <v>169</v>
      </c>
      <c r="D1239" s="38">
        <v>5</v>
      </c>
      <c r="E1239" t="s">
        <v>169</v>
      </c>
      <c r="F1239">
        <v>907034</v>
      </c>
      <c r="G1239" t="s">
        <v>256</v>
      </c>
      <c r="H1239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4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hidden="1" x14ac:dyDescent="0.25">
      <c r="A1240" s="1">
        <v>46147</v>
      </c>
      <c r="B1240" s="1">
        <v>46147</v>
      </c>
      <c r="C1240" t="s">
        <v>169</v>
      </c>
      <c r="D1240" s="38">
        <v>5</v>
      </c>
      <c r="E1240" t="s">
        <v>169</v>
      </c>
      <c r="F1240">
        <v>2302119</v>
      </c>
      <c r="G1240" t="s">
        <v>74</v>
      </c>
      <c r="H1240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4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hidden="1" x14ac:dyDescent="0.25">
      <c r="A1241" s="1">
        <v>46147</v>
      </c>
      <c r="B1241" s="1">
        <v>46147</v>
      </c>
      <c r="C1241" t="s">
        <v>169</v>
      </c>
      <c r="D1241" s="38">
        <v>5</v>
      </c>
      <c r="E1241" t="s">
        <v>169</v>
      </c>
      <c r="F1241">
        <v>1405039</v>
      </c>
      <c r="G1241" t="s">
        <v>314</v>
      </c>
      <c r="H124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4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hidden="1" x14ac:dyDescent="0.25">
      <c r="A1242" s="1">
        <v>46147</v>
      </c>
      <c r="B1242" s="1">
        <v>46147</v>
      </c>
      <c r="C1242" t="s">
        <v>169</v>
      </c>
      <c r="D1242" s="38">
        <v>5</v>
      </c>
      <c r="E1242" t="s">
        <v>169</v>
      </c>
      <c r="F1242">
        <v>1405040</v>
      </c>
      <c r="G1242" t="s">
        <v>449</v>
      </c>
      <c r="H1242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4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hidden="1" x14ac:dyDescent="0.25">
      <c r="A1243" s="1">
        <v>46147</v>
      </c>
      <c r="B1243" s="1">
        <v>46147</v>
      </c>
      <c r="C1243" t="s">
        <v>169</v>
      </c>
      <c r="D1243" s="38">
        <v>5</v>
      </c>
      <c r="E1243" t="s">
        <v>169</v>
      </c>
      <c r="F1243">
        <v>407115</v>
      </c>
      <c r="G1243" t="s">
        <v>282</v>
      </c>
      <c r="H1243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4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hidden="1" x14ac:dyDescent="0.25">
      <c r="A1244" s="1">
        <v>46147</v>
      </c>
      <c r="B1244" s="1">
        <v>46147</v>
      </c>
      <c r="C1244" t="s">
        <v>169</v>
      </c>
      <c r="D1244" s="38">
        <v>5</v>
      </c>
      <c r="E1244" t="s">
        <v>169</v>
      </c>
      <c r="F1244">
        <v>304049</v>
      </c>
      <c r="G1244" t="s">
        <v>318</v>
      </c>
      <c r="H1244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4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hidden="1" x14ac:dyDescent="0.25">
      <c r="A1245" s="1">
        <v>46147</v>
      </c>
      <c r="B1245" s="1">
        <v>46147</v>
      </c>
      <c r="C1245" t="s">
        <v>169</v>
      </c>
      <c r="D1245" s="38">
        <v>5</v>
      </c>
      <c r="E1245" t="s">
        <v>169</v>
      </c>
      <c r="F1245">
        <v>407011</v>
      </c>
      <c r="G1245" t="s">
        <v>30</v>
      </c>
      <c r="H1245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4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hidden="1" x14ac:dyDescent="0.25">
      <c r="A1246" s="1">
        <v>46147</v>
      </c>
      <c r="B1246" s="1">
        <v>46147</v>
      </c>
      <c r="C1246" t="s">
        <v>169</v>
      </c>
      <c r="D1246" s="38">
        <v>5</v>
      </c>
      <c r="E1246" t="s">
        <v>169</v>
      </c>
      <c r="F1246" t="s">
        <v>179</v>
      </c>
      <c r="G1246" t="s">
        <v>180</v>
      </c>
      <c r="H1246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4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hidden="1" x14ac:dyDescent="0.25">
      <c r="A1247" s="1">
        <v>46147</v>
      </c>
      <c r="B1247" s="1">
        <v>46147</v>
      </c>
      <c r="C1247" t="s">
        <v>169</v>
      </c>
      <c r="D1247" s="38">
        <v>5</v>
      </c>
      <c r="E1247" t="s">
        <v>169</v>
      </c>
      <c r="F1247">
        <v>1901466</v>
      </c>
      <c r="G1247" t="s">
        <v>398</v>
      </c>
      <c r="H1247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4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hidden="1" x14ac:dyDescent="0.25">
      <c r="A1248" s="1">
        <v>46147</v>
      </c>
      <c r="B1248" s="1">
        <v>46147</v>
      </c>
      <c r="C1248" t="s">
        <v>169</v>
      </c>
      <c r="D1248" s="38">
        <v>5</v>
      </c>
      <c r="E1248" t="s">
        <v>169</v>
      </c>
      <c r="F1248">
        <v>1901086</v>
      </c>
      <c r="G1248" t="s">
        <v>279</v>
      </c>
      <c r="H1248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4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hidden="1" x14ac:dyDescent="0.25">
      <c r="A1249" s="1">
        <v>46147</v>
      </c>
      <c r="B1249" s="1">
        <v>46147</v>
      </c>
      <c r="C1249" t="s">
        <v>169</v>
      </c>
      <c r="D1249" s="38">
        <v>5</v>
      </c>
      <c r="E1249" t="s">
        <v>169</v>
      </c>
      <c r="F1249">
        <v>1901038</v>
      </c>
      <c r="G1249" t="s">
        <v>39</v>
      </c>
      <c r="H1249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4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hidden="1" x14ac:dyDescent="0.25">
      <c r="A1250" s="1">
        <v>46147</v>
      </c>
      <c r="B1250" s="1">
        <v>46147</v>
      </c>
      <c r="C1250" t="s">
        <v>169</v>
      </c>
      <c r="D1250" s="38">
        <v>5</v>
      </c>
      <c r="E1250" t="s">
        <v>169</v>
      </c>
      <c r="F1250">
        <v>1901008</v>
      </c>
      <c r="G1250" t="s">
        <v>278</v>
      </c>
      <c r="H1250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4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hidden="1" x14ac:dyDescent="0.25">
      <c r="A1251" s="1">
        <v>46147</v>
      </c>
      <c r="B1251" s="1">
        <v>46147</v>
      </c>
      <c r="C1251" t="s">
        <v>169</v>
      </c>
      <c r="D1251" s="38">
        <v>5</v>
      </c>
      <c r="E1251" t="s">
        <v>169</v>
      </c>
      <c r="F1251">
        <v>1902013</v>
      </c>
      <c r="G1251" t="s">
        <v>338</v>
      </c>
      <c r="H125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4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hidden="1" x14ac:dyDescent="0.25">
      <c r="A1252" s="1">
        <v>46147</v>
      </c>
      <c r="B1252" s="1">
        <v>46147</v>
      </c>
      <c r="C1252" t="s">
        <v>169</v>
      </c>
      <c r="D1252" s="38">
        <v>5</v>
      </c>
      <c r="E1252" t="s">
        <v>169</v>
      </c>
      <c r="F1252">
        <v>302046</v>
      </c>
      <c r="G1252" t="s">
        <v>115</v>
      </c>
      <c r="H1252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4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hidden="1" x14ac:dyDescent="0.25">
      <c r="A1253" s="1">
        <v>46147</v>
      </c>
      <c r="B1253" s="1">
        <v>46147</v>
      </c>
      <c r="C1253" t="s">
        <v>169</v>
      </c>
      <c r="D1253" s="38">
        <v>5</v>
      </c>
      <c r="E1253" t="s">
        <v>169</v>
      </c>
      <c r="F1253">
        <v>302010</v>
      </c>
      <c r="G1253" t="s">
        <v>323</v>
      </c>
      <c r="H1253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4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hidden="1" x14ac:dyDescent="0.25">
      <c r="A1254" s="1">
        <v>46147</v>
      </c>
      <c r="B1254" s="1">
        <v>46147</v>
      </c>
      <c r="C1254" t="s">
        <v>169</v>
      </c>
      <c r="D1254" s="38">
        <v>5</v>
      </c>
      <c r="E1254" t="s">
        <v>169</v>
      </c>
      <c r="F1254">
        <v>701096</v>
      </c>
      <c r="G1254" t="s">
        <v>204</v>
      </c>
      <c r="H1254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4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hidden="1" x14ac:dyDescent="0.25">
      <c r="A1255" s="1">
        <v>46148</v>
      </c>
      <c r="B1255" s="1">
        <v>46148</v>
      </c>
      <c r="C1255" t="s">
        <v>169</v>
      </c>
      <c r="D1255" s="38">
        <v>5</v>
      </c>
      <c r="E1255" t="s">
        <v>169</v>
      </c>
      <c r="F1255">
        <v>1805340</v>
      </c>
      <c r="G1255" t="s">
        <v>298</v>
      </c>
      <c r="H1255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4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hidden="1" x14ac:dyDescent="0.25">
      <c r="A1256" s="1">
        <v>46148</v>
      </c>
      <c r="B1256" s="1">
        <v>46148</v>
      </c>
      <c r="C1256" t="s">
        <v>169</v>
      </c>
      <c r="D1256" s="38">
        <v>5</v>
      </c>
      <c r="E1256" t="s">
        <v>169</v>
      </c>
      <c r="F1256">
        <v>2302119</v>
      </c>
      <c r="G1256" t="s">
        <v>74</v>
      </c>
      <c r="H1256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4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hidden="1" x14ac:dyDescent="0.25">
      <c r="A1257" s="1">
        <v>46148</v>
      </c>
      <c r="B1257" s="1">
        <v>46148</v>
      </c>
      <c r="C1257" t="s">
        <v>169</v>
      </c>
      <c r="D1257" s="38">
        <v>5</v>
      </c>
      <c r="E1257" t="s">
        <v>169</v>
      </c>
      <c r="F1257">
        <v>2505058</v>
      </c>
      <c r="G1257" t="s">
        <v>142</v>
      </c>
      <c r="H1257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4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hidden="1" x14ac:dyDescent="0.25">
      <c r="A1258" s="1">
        <v>46148</v>
      </c>
      <c r="B1258" s="1">
        <v>46148</v>
      </c>
      <c r="C1258" t="s">
        <v>169</v>
      </c>
      <c r="D1258" s="38">
        <v>5</v>
      </c>
      <c r="E1258" t="s">
        <v>169</v>
      </c>
      <c r="F1258">
        <v>412132</v>
      </c>
      <c r="G1258" t="s">
        <v>738</v>
      </c>
      <c r="H1258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4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hidden="1" x14ac:dyDescent="0.25">
      <c r="A1259" s="1">
        <v>46148</v>
      </c>
      <c r="B1259" s="1">
        <v>46148</v>
      </c>
      <c r="C1259" t="s">
        <v>169</v>
      </c>
      <c r="D1259" s="38">
        <v>5</v>
      </c>
      <c r="E1259" t="s">
        <v>169</v>
      </c>
      <c r="F1259">
        <v>407185</v>
      </c>
      <c r="G1259" t="s">
        <v>43</v>
      </c>
      <c r="H1259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4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hidden="1" x14ac:dyDescent="0.25">
      <c r="A1260" s="1">
        <v>46148</v>
      </c>
      <c r="B1260" s="1">
        <v>46148</v>
      </c>
      <c r="C1260" t="s">
        <v>169</v>
      </c>
      <c r="D1260" s="38">
        <v>5</v>
      </c>
      <c r="E1260" t="s">
        <v>169</v>
      </c>
      <c r="F1260">
        <v>407423</v>
      </c>
      <c r="G1260" t="s">
        <v>106</v>
      </c>
      <c r="H1260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4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hidden="1" x14ac:dyDescent="0.25">
      <c r="A1261" s="1">
        <v>46148</v>
      </c>
      <c r="B1261" s="1">
        <v>46148</v>
      </c>
      <c r="C1261" t="s">
        <v>169</v>
      </c>
      <c r="D1261" s="38">
        <v>5</v>
      </c>
      <c r="E1261" t="s">
        <v>169</v>
      </c>
      <c r="F1261">
        <v>617057</v>
      </c>
      <c r="G1261" t="s">
        <v>134</v>
      </c>
      <c r="H126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4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hidden="1" x14ac:dyDescent="0.25">
      <c r="A1262" s="1">
        <v>46148</v>
      </c>
      <c r="B1262" s="1">
        <v>46148</v>
      </c>
      <c r="C1262" t="s">
        <v>169</v>
      </c>
      <c r="D1262" s="38">
        <v>5</v>
      </c>
      <c r="E1262" t="s">
        <v>169</v>
      </c>
      <c r="F1262">
        <v>407166</v>
      </c>
      <c r="G1262" t="s">
        <v>780</v>
      </c>
      <c r="H1262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4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hidden="1" x14ac:dyDescent="0.25">
      <c r="A1263" s="1">
        <v>46148</v>
      </c>
      <c r="B1263" s="1">
        <v>46148</v>
      </c>
      <c r="C1263" t="s">
        <v>169</v>
      </c>
      <c r="D1263" s="38">
        <v>5</v>
      </c>
      <c r="E1263" t="s">
        <v>169</v>
      </c>
      <c r="F1263" t="s">
        <v>461</v>
      </c>
      <c r="G1263" t="s">
        <v>451</v>
      </c>
      <c r="H1263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4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hidden="1" x14ac:dyDescent="0.25">
      <c r="A1264" s="1">
        <v>46148</v>
      </c>
      <c r="B1264" s="1">
        <v>46148</v>
      </c>
      <c r="C1264" t="s">
        <v>169</v>
      </c>
      <c r="D1264" s="38">
        <v>5</v>
      </c>
      <c r="E1264" t="s">
        <v>169</v>
      </c>
      <c r="F1264">
        <v>302028</v>
      </c>
      <c r="G1264" t="s">
        <v>246</v>
      </c>
      <c r="H1264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4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hidden="1" x14ac:dyDescent="0.25">
      <c r="A1265" s="1">
        <v>46148</v>
      </c>
      <c r="B1265" s="1">
        <v>46148</v>
      </c>
      <c r="C1265" t="s">
        <v>169</v>
      </c>
      <c r="D1265" s="38">
        <v>5</v>
      </c>
      <c r="E1265" t="s">
        <v>169</v>
      </c>
      <c r="F1265">
        <v>302054</v>
      </c>
      <c r="G1265" t="s">
        <v>356</v>
      </c>
      <c r="H1265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4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hidden="1" x14ac:dyDescent="0.25">
      <c r="A1266" s="1">
        <v>46148</v>
      </c>
      <c r="B1266" s="1">
        <v>46148</v>
      </c>
      <c r="C1266" t="s">
        <v>169</v>
      </c>
      <c r="D1266" s="38">
        <v>5</v>
      </c>
      <c r="E1266" t="s">
        <v>169</v>
      </c>
      <c r="F1266">
        <v>304007</v>
      </c>
      <c r="G1266" t="s">
        <v>80</v>
      </c>
      <c r="H1266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4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hidden="1" x14ac:dyDescent="0.25">
      <c r="A1267" s="1">
        <v>46149</v>
      </c>
      <c r="B1267" s="1">
        <v>46149</v>
      </c>
      <c r="C1267" t="s">
        <v>169</v>
      </c>
      <c r="D1267" s="38">
        <v>5</v>
      </c>
      <c r="E1267" t="s">
        <v>169</v>
      </c>
      <c r="F1267">
        <v>2304056</v>
      </c>
      <c r="G1267" t="s">
        <v>417</v>
      </c>
      <c r="H1267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4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hidden="1" x14ac:dyDescent="0.25">
      <c r="A1268" s="1">
        <v>46149</v>
      </c>
      <c r="B1268" s="1">
        <v>46149</v>
      </c>
      <c r="C1268" t="s">
        <v>169</v>
      </c>
      <c r="D1268" s="38">
        <v>5</v>
      </c>
      <c r="E1268" t="s">
        <v>169</v>
      </c>
      <c r="F1268">
        <v>2304003</v>
      </c>
      <c r="G1268" t="s">
        <v>132</v>
      </c>
      <c r="H1268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4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hidden="1" x14ac:dyDescent="0.25">
      <c r="A1269" s="1">
        <v>46149</v>
      </c>
      <c r="B1269" s="1">
        <v>46149</v>
      </c>
      <c r="C1269" t="s">
        <v>169</v>
      </c>
      <c r="D1269" s="38">
        <v>5</v>
      </c>
      <c r="E1269" t="s">
        <v>169</v>
      </c>
      <c r="F1269">
        <v>1808156</v>
      </c>
      <c r="G1269" t="s">
        <v>277</v>
      </c>
      <c r="H1269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4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hidden="1" x14ac:dyDescent="0.25">
      <c r="A1270" s="1">
        <v>46149</v>
      </c>
      <c r="B1270" s="1">
        <v>46149</v>
      </c>
      <c r="C1270" t="s">
        <v>169</v>
      </c>
      <c r="D1270" s="38">
        <v>5</v>
      </c>
      <c r="E1270" t="s">
        <v>169</v>
      </c>
      <c r="F1270">
        <v>1808006</v>
      </c>
      <c r="G1270" t="s">
        <v>194</v>
      </c>
      <c r="H1270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4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hidden="1" x14ac:dyDescent="0.25">
      <c r="A1271" s="1">
        <v>46149</v>
      </c>
      <c r="B1271" s="1">
        <v>46149</v>
      </c>
      <c r="C1271" t="s">
        <v>169</v>
      </c>
      <c r="D1271" s="38">
        <v>5</v>
      </c>
      <c r="E1271" t="s">
        <v>169</v>
      </c>
      <c r="F1271">
        <v>1808003</v>
      </c>
      <c r="G1271" t="s">
        <v>195</v>
      </c>
      <c r="H127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4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hidden="1" x14ac:dyDescent="0.25">
      <c r="A1272" s="1">
        <v>46149</v>
      </c>
      <c r="B1272" s="1">
        <v>46149</v>
      </c>
      <c r="C1272" t="s">
        <v>169</v>
      </c>
      <c r="D1272" s="38">
        <v>5</v>
      </c>
      <c r="E1272" t="s">
        <v>169</v>
      </c>
      <c r="F1272">
        <v>1802172</v>
      </c>
      <c r="G1272" t="s">
        <v>266</v>
      </c>
      <c r="H1272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4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hidden="1" x14ac:dyDescent="0.25">
      <c r="A1273" s="1">
        <v>46149</v>
      </c>
      <c r="B1273" s="1">
        <v>46149</v>
      </c>
      <c r="C1273" t="s">
        <v>169</v>
      </c>
      <c r="D1273" s="38">
        <v>5</v>
      </c>
      <c r="E1273" t="s">
        <v>169</v>
      </c>
      <c r="F1273">
        <v>1802171</v>
      </c>
      <c r="G1273" t="s">
        <v>265</v>
      </c>
      <c r="H1273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4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hidden="1" x14ac:dyDescent="0.25">
      <c r="A1274" s="1">
        <v>46149</v>
      </c>
      <c r="B1274" s="1">
        <v>46149</v>
      </c>
      <c r="C1274" t="s">
        <v>169</v>
      </c>
      <c r="D1274" s="38">
        <v>5</v>
      </c>
      <c r="E1274" t="s">
        <v>169</v>
      </c>
      <c r="F1274">
        <v>1206002</v>
      </c>
      <c r="G1274" t="s">
        <v>192</v>
      </c>
      <c r="H1274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4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hidden="1" x14ac:dyDescent="0.25">
      <c r="A1275" s="1">
        <v>46149</v>
      </c>
      <c r="B1275" s="1">
        <v>46149</v>
      </c>
      <c r="C1275" t="s">
        <v>169</v>
      </c>
      <c r="D1275" s="38">
        <v>5</v>
      </c>
      <c r="E1275" t="s">
        <v>169</v>
      </c>
      <c r="F1275">
        <v>704079</v>
      </c>
      <c r="G1275" t="s">
        <v>209</v>
      </c>
      <c r="H1275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4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hidden="1" x14ac:dyDescent="0.25">
      <c r="A1276" s="1">
        <v>46149</v>
      </c>
      <c r="B1276" s="1">
        <v>46149</v>
      </c>
      <c r="C1276" t="s">
        <v>169</v>
      </c>
      <c r="D1276" s="38">
        <v>5</v>
      </c>
      <c r="E1276" t="s">
        <v>169</v>
      </c>
      <c r="F1276">
        <v>2304008</v>
      </c>
      <c r="G1276" t="s">
        <v>704</v>
      </c>
      <c r="H1276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4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hidden="1" x14ac:dyDescent="0.25">
      <c r="A1277" s="1">
        <v>46149</v>
      </c>
      <c r="B1277" s="1">
        <v>46149</v>
      </c>
      <c r="C1277" t="s">
        <v>169</v>
      </c>
      <c r="D1277" s="38">
        <v>5</v>
      </c>
      <c r="E1277" t="s">
        <v>169</v>
      </c>
      <c r="F1277">
        <v>307033</v>
      </c>
      <c r="G1277" t="s">
        <v>248</v>
      </c>
      <c r="H1277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4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hidden="1" x14ac:dyDescent="0.25">
      <c r="A1278" s="1">
        <v>46149</v>
      </c>
      <c r="B1278" s="1">
        <v>46149</v>
      </c>
      <c r="C1278" t="s">
        <v>169</v>
      </c>
      <c r="D1278" s="38">
        <v>5</v>
      </c>
      <c r="E1278" t="s">
        <v>169</v>
      </c>
      <c r="F1278">
        <v>307096</v>
      </c>
      <c r="G1278" t="s">
        <v>249</v>
      </c>
      <c r="H1278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4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hidden="1" x14ac:dyDescent="0.25">
      <c r="A1279" s="1">
        <v>46149</v>
      </c>
      <c r="B1279" s="1">
        <v>46149</v>
      </c>
      <c r="C1279" t="s">
        <v>169</v>
      </c>
      <c r="D1279" s="38">
        <v>5</v>
      </c>
      <c r="E1279" t="s">
        <v>169</v>
      </c>
      <c r="F1279">
        <v>617057</v>
      </c>
      <c r="G1279" t="s">
        <v>134</v>
      </c>
      <c r="H1279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4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hidden="1" x14ac:dyDescent="0.25">
      <c r="A1280" s="1">
        <v>46149</v>
      </c>
      <c r="B1280" s="1">
        <v>46149</v>
      </c>
      <c r="C1280" t="s">
        <v>169</v>
      </c>
      <c r="D1280" s="38">
        <v>5</v>
      </c>
      <c r="E1280" t="s">
        <v>169</v>
      </c>
      <c r="F1280">
        <v>617016</v>
      </c>
      <c r="G1280" t="s">
        <v>133</v>
      </c>
      <c r="H1280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4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hidden="1" x14ac:dyDescent="0.25">
      <c r="A1281" s="1">
        <v>46149</v>
      </c>
      <c r="B1281" s="1">
        <v>46149</v>
      </c>
      <c r="C1281" t="s">
        <v>169</v>
      </c>
      <c r="D1281" s="38">
        <v>5</v>
      </c>
      <c r="E1281" t="s">
        <v>169</v>
      </c>
      <c r="F1281">
        <v>408034</v>
      </c>
      <c r="G1281" t="s">
        <v>250</v>
      </c>
      <c r="H12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4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hidden="1" x14ac:dyDescent="0.25">
      <c r="A1282" s="1">
        <v>46149</v>
      </c>
      <c r="B1282" s="1">
        <v>46149</v>
      </c>
      <c r="C1282" t="s">
        <v>169</v>
      </c>
      <c r="D1282" s="38">
        <v>5</v>
      </c>
      <c r="E1282" t="s">
        <v>169</v>
      </c>
      <c r="F1282" t="s">
        <v>345</v>
      </c>
      <c r="G1282" t="s">
        <v>167</v>
      </c>
      <c r="H1282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4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hidden="1" x14ac:dyDescent="0.25">
      <c r="A1283" s="1">
        <v>46149</v>
      </c>
      <c r="B1283" s="1">
        <v>46149</v>
      </c>
      <c r="C1283" t="s">
        <v>169</v>
      </c>
      <c r="D1283" s="38">
        <v>5</v>
      </c>
      <c r="E1283" t="s">
        <v>169</v>
      </c>
      <c r="F1283">
        <v>408042</v>
      </c>
      <c r="G1283" t="s">
        <v>144</v>
      </c>
      <c r="H1283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4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hidden="1" x14ac:dyDescent="0.25">
      <c r="A1284" s="1">
        <v>46149</v>
      </c>
      <c r="B1284" s="1">
        <v>46149</v>
      </c>
      <c r="C1284" t="s">
        <v>169</v>
      </c>
      <c r="D1284" s="38">
        <v>5</v>
      </c>
      <c r="E1284" t="s">
        <v>169</v>
      </c>
      <c r="F1284">
        <v>304007</v>
      </c>
      <c r="G1284" t="s">
        <v>80</v>
      </c>
      <c r="H1284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4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hidden="1" x14ac:dyDescent="0.25">
      <c r="A1285" s="1">
        <v>46149</v>
      </c>
      <c r="B1285" s="1">
        <v>46149</v>
      </c>
      <c r="C1285" t="s">
        <v>169</v>
      </c>
      <c r="D1285" s="38">
        <v>5</v>
      </c>
      <c r="E1285" t="s">
        <v>169</v>
      </c>
      <c r="F1285">
        <v>302046</v>
      </c>
      <c r="G1285" t="s">
        <v>115</v>
      </c>
      <c r="H1285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4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hidden="1" x14ac:dyDescent="0.25">
      <c r="A1286" s="1">
        <v>46149</v>
      </c>
      <c r="B1286" s="1">
        <v>46149</v>
      </c>
      <c r="C1286" t="s">
        <v>169</v>
      </c>
      <c r="D1286" s="38">
        <v>5</v>
      </c>
      <c r="E1286" t="s">
        <v>169</v>
      </c>
      <c r="F1286">
        <v>409011</v>
      </c>
      <c r="G1286" t="s">
        <v>251</v>
      </c>
      <c r="H1286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4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hidden="1" x14ac:dyDescent="0.25">
      <c r="A1287" s="1">
        <v>46149</v>
      </c>
      <c r="B1287" s="1">
        <v>46149</v>
      </c>
      <c r="C1287" t="s">
        <v>169</v>
      </c>
      <c r="D1287" s="38">
        <v>5</v>
      </c>
      <c r="E1287" t="s">
        <v>169</v>
      </c>
      <c r="F1287" t="s">
        <v>231</v>
      </c>
      <c r="G1287" t="s">
        <v>180</v>
      </c>
      <c r="H1287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4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hidden="1" x14ac:dyDescent="0.25">
      <c r="A1288" s="1">
        <v>46149</v>
      </c>
      <c r="B1288" s="1">
        <v>46149</v>
      </c>
      <c r="C1288" t="s">
        <v>169</v>
      </c>
      <c r="D1288" s="38">
        <v>5</v>
      </c>
      <c r="E1288" t="s">
        <v>169</v>
      </c>
      <c r="F1288">
        <v>2302098</v>
      </c>
      <c r="G1288" t="s">
        <v>24</v>
      </c>
      <c r="H1288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4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hidden="1" x14ac:dyDescent="0.25">
      <c r="A1289" s="1">
        <v>46149</v>
      </c>
      <c r="B1289" s="1">
        <v>46149</v>
      </c>
      <c r="C1289" t="s">
        <v>169</v>
      </c>
      <c r="D1289" s="38">
        <v>5</v>
      </c>
      <c r="E1289" t="s">
        <v>169</v>
      </c>
      <c r="F1289">
        <v>412313</v>
      </c>
      <c r="G1289" t="s">
        <v>253</v>
      </c>
      <c r="H1289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4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hidden="1" x14ac:dyDescent="0.25">
      <c r="A1290" s="1">
        <v>46149</v>
      </c>
      <c r="B1290" s="1">
        <v>46149</v>
      </c>
      <c r="C1290" t="s">
        <v>169</v>
      </c>
      <c r="D1290" s="38">
        <v>5</v>
      </c>
      <c r="E1290" t="s">
        <v>169</v>
      </c>
      <c r="F1290">
        <v>407011</v>
      </c>
      <c r="G1290" t="s">
        <v>30</v>
      </c>
      <c r="H1290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4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hidden="1" x14ac:dyDescent="0.25">
      <c r="A1291" s="1">
        <v>46149</v>
      </c>
      <c r="B1291" s="1">
        <v>46149</v>
      </c>
      <c r="C1291" t="s">
        <v>169</v>
      </c>
      <c r="D1291" s="38">
        <v>5</v>
      </c>
      <c r="E1291" t="s">
        <v>169</v>
      </c>
      <c r="F1291" t="s">
        <v>21</v>
      </c>
      <c r="G1291" t="s">
        <v>22</v>
      </c>
      <c r="H129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4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hidden="1" x14ac:dyDescent="0.25">
      <c r="A1292" s="1">
        <v>46149</v>
      </c>
      <c r="B1292" s="1">
        <v>46149</v>
      </c>
      <c r="C1292" t="s">
        <v>169</v>
      </c>
      <c r="D1292" s="38">
        <v>5</v>
      </c>
      <c r="E1292" t="s">
        <v>169</v>
      </c>
      <c r="F1292">
        <v>407423</v>
      </c>
      <c r="G1292" t="s">
        <v>106</v>
      </c>
      <c r="H1292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4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hidden="1" x14ac:dyDescent="0.25">
      <c r="A1293" s="1">
        <v>46149</v>
      </c>
      <c r="B1293" s="1">
        <v>46149</v>
      </c>
      <c r="C1293" t="s">
        <v>169</v>
      </c>
      <c r="D1293" s="38">
        <v>5</v>
      </c>
      <c r="E1293" t="s">
        <v>169</v>
      </c>
      <c r="F1293">
        <v>1902013</v>
      </c>
      <c r="G1293" t="s">
        <v>338</v>
      </c>
      <c r="H1293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4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hidden="1" x14ac:dyDescent="0.25">
      <c r="A1294" s="1">
        <v>46149</v>
      </c>
      <c r="B1294" s="1">
        <v>46149</v>
      </c>
      <c r="C1294" t="s">
        <v>169</v>
      </c>
      <c r="D1294" s="38">
        <v>5</v>
      </c>
      <c r="E1294" t="s">
        <v>169</v>
      </c>
      <c r="F1294">
        <v>304049</v>
      </c>
      <c r="G1294" t="s">
        <v>318</v>
      </c>
      <c r="H1294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4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hidden="1" x14ac:dyDescent="0.25">
      <c r="A1295" s="1">
        <v>46149</v>
      </c>
      <c r="B1295" s="1">
        <v>46149</v>
      </c>
      <c r="C1295" t="s">
        <v>169</v>
      </c>
      <c r="D1295" s="38">
        <v>5</v>
      </c>
      <c r="E1295" t="s">
        <v>169</v>
      </c>
      <c r="F1295">
        <v>5309018</v>
      </c>
      <c r="G1295" t="s">
        <v>112</v>
      </c>
      <c r="H1295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4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hidden="1" x14ac:dyDescent="0.25">
      <c r="A1296" s="1">
        <v>46149</v>
      </c>
      <c r="B1296" s="1">
        <v>46149</v>
      </c>
      <c r="C1296" t="s">
        <v>169</v>
      </c>
      <c r="D1296" s="38">
        <v>5</v>
      </c>
      <c r="E1296" t="s">
        <v>169</v>
      </c>
      <c r="F1296">
        <v>1902003</v>
      </c>
      <c r="G1296" t="s">
        <v>155</v>
      </c>
      <c r="H1296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4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hidden="1" x14ac:dyDescent="0.25">
      <c r="A1297" s="1">
        <v>46149</v>
      </c>
      <c r="B1297" s="1">
        <v>46149</v>
      </c>
      <c r="C1297" t="s">
        <v>169</v>
      </c>
      <c r="D1297" s="38">
        <v>5</v>
      </c>
      <c r="E1297" t="s">
        <v>169</v>
      </c>
      <c r="F1297">
        <v>410045</v>
      </c>
      <c r="G1297" t="s">
        <v>110</v>
      </c>
      <c r="H1297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4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hidden="1" x14ac:dyDescent="0.25">
      <c r="A1298" s="1">
        <v>46149</v>
      </c>
      <c r="B1298" s="1">
        <v>46149</v>
      </c>
      <c r="C1298" t="s">
        <v>169</v>
      </c>
      <c r="D1298" s="38">
        <v>5</v>
      </c>
      <c r="E1298" t="s">
        <v>169</v>
      </c>
      <c r="F1298" t="s">
        <v>386</v>
      </c>
      <c r="G1298" t="s">
        <v>83</v>
      </c>
      <c r="H1298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4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hidden="1" x14ac:dyDescent="0.25">
      <c r="A1299" s="1">
        <v>46149</v>
      </c>
      <c r="B1299" s="1">
        <v>46149</v>
      </c>
      <c r="C1299" t="s">
        <v>169</v>
      </c>
      <c r="D1299" s="38">
        <v>5</v>
      </c>
      <c r="E1299" t="s">
        <v>169</v>
      </c>
      <c r="F1299">
        <v>701043</v>
      </c>
      <c r="G1299" t="s">
        <v>197</v>
      </c>
      <c r="H1299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4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hidden="1" x14ac:dyDescent="0.25">
      <c r="A1300" s="1">
        <v>46149</v>
      </c>
      <c r="B1300" s="1">
        <v>46149</v>
      </c>
      <c r="C1300" t="s">
        <v>169</v>
      </c>
      <c r="D1300" s="38">
        <v>5</v>
      </c>
      <c r="E1300" t="s">
        <v>169</v>
      </c>
      <c r="F1300">
        <v>304101</v>
      </c>
      <c r="G1300" t="s">
        <v>17</v>
      </c>
      <c r="H1300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4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hidden="1" x14ac:dyDescent="0.25">
      <c r="A1301" s="1">
        <v>46149</v>
      </c>
      <c r="B1301" s="1">
        <v>46149</v>
      </c>
      <c r="C1301" t="s">
        <v>169</v>
      </c>
      <c r="D1301" s="38">
        <v>5</v>
      </c>
      <c r="E1301" t="s">
        <v>169</v>
      </c>
      <c r="F1301">
        <v>412281</v>
      </c>
      <c r="G1301" t="s">
        <v>326</v>
      </c>
      <c r="H130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4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hidden="1" x14ac:dyDescent="0.25">
      <c r="A1302" s="1">
        <v>46149</v>
      </c>
      <c r="B1302" s="1">
        <v>46149</v>
      </c>
      <c r="C1302" t="s">
        <v>169</v>
      </c>
      <c r="D1302" s="38">
        <v>5</v>
      </c>
      <c r="E1302" t="s">
        <v>169</v>
      </c>
      <c r="F1302">
        <v>412280</v>
      </c>
      <c r="G1302" t="s">
        <v>40</v>
      </c>
      <c r="H1302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4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hidden="1" x14ac:dyDescent="0.25">
      <c r="A1303" s="1">
        <v>46149</v>
      </c>
      <c r="B1303" s="1">
        <v>46149</v>
      </c>
      <c r="C1303" t="s">
        <v>169</v>
      </c>
      <c r="D1303" s="38">
        <v>5</v>
      </c>
      <c r="E1303" t="s">
        <v>169</v>
      </c>
      <c r="F1303">
        <v>302048</v>
      </c>
      <c r="G1303" t="s">
        <v>126</v>
      </c>
      <c r="H1303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4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hidden="1" x14ac:dyDescent="0.25">
      <c r="A1304" s="1">
        <v>46149</v>
      </c>
      <c r="B1304" s="1">
        <v>46149</v>
      </c>
      <c r="C1304" t="s">
        <v>169</v>
      </c>
      <c r="D1304" s="38">
        <v>5</v>
      </c>
      <c r="E1304" t="s">
        <v>169</v>
      </c>
      <c r="F1304">
        <v>1902014</v>
      </c>
      <c r="G1304" t="s">
        <v>316</v>
      </c>
      <c r="H1304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4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hidden="1" x14ac:dyDescent="0.25">
      <c r="A1305" s="1">
        <v>46121</v>
      </c>
      <c r="B1305" s="1">
        <v>46121</v>
      </c>
      <c r="C1305" t="s">
        <v>169</v>
      </c>
      <c r="D1305" s="38">
        <v>4</v>
      </c>
      <c r="E1305" t="s">
        <v>169</v>
      </c>
      <c r="F1305">
        <v>1207210</v>
      </c>
      <c r="G1305" t="s">
        <v>781</v>
      </c>
      <c r="H1305" t="s">
        <v>782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4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hidden="1" x14ac:dyDescent="0.25">
      <c r="A1306" s="1">
        <v>46139</v>
      </c>
      <c r="B1306" s="1">
        <v>46139</v>
      </c>
      <c r="C1306" t="s">
        <v>169</v>
      </c>
      <c r="D1306" s="38">
        <v>4</v>
      </c>
      <c r="E1306" t="s">
        <v>169</v>
      </c>
      <c r="F1306">
        <v>1207210</v>
      </c>
      <c r="G1306" t="s">
        <v>783</v>
      </c>
      <c r="H1306" t="s">
        <v>782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4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hidden="1" x14ac:dyDescent="0.25">
      <c r="A1307" s="1">
        <v>46150</v>
      </c>
      <c r="B1307" s="1">
        <v>46150</v>
      </c>
      <c r="C1307" t="s">
        <v>169</v>
      </c>
      <c r="D1307" s="38">
        <v>5</v>
      </c>
      <c r="E1307" t="s">
        <v>169</v>
      </c>
      <c r="F1307" t="s">
        <v>784</v>
      </c>
      <c r="G1307" t="s">
        <v>95</v>
      </c>
      <c r="H1307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4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hidden="1" x14ac:dyDescent="0.25">
      <c r="A1308" s="1">
        <v>46150</v>
      </c>
      <c r="B1308" s="1">
        <v>46150</v>
      </c>
      <c r="C1308" t="s">
        <v>169</v>
      </c>
      <c r="D1308" s="38">
        <v>5</v>
      </c>
      <c r="E1308" t="s">
        <v>169</v>
      </c>
      <c r="F1308">
        <v>1802659</v>
      </c>
      <c r="G1308" t="s">
        <v>161</v>
      </c>
      <c r="H1308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4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hidden="1" x14ac:dyDescent="0.25">
      <c r="A1309" s="1">
        <v>46150</v>
      </c>
      <c r="B1309" s="1">
        <v>46150</v>
      </c>
      <c r="C1309" t="s">
        <v>169</v>
      </c>
      <c r="D1309" s="38">
        <v>5</v>
      </c>
      <c r="E1309" t="s">
        <v>169</v>
      </c>
      <c r="F1309">
        <v>412016</v>
      </c>
      <c r="G1309" t="s">
        <v>719</v>
      </c>
      <c r="H1309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4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hidden="1" x14ac:dyDescent="0.25">
      <c r="A1310" s="1">
        <v>46150</v>
      </c>
      <c r="B1310" s="1">
        <v>46150</v>
      </c>
      <c r="C1310" t="s">
        <v>169</v>
      </c>
      <c r="D1310" s="38">
        <v>5</v>
      </c>
      <c r="E1310" t="s">
        <v>169</v>
      </c>
      <c r="F1310">
        <v>1610023</v>
      </c>
      <c r="G1310" t="s">
        <v>351</v>
      </c>
      <c r="H1310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4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hidden="1" x14ac:dyDescent="0.25">
      <c r="A1311" s="1">
        <v>46150</v>
      </c>
      <c r="B1311" s="1">
        <v>46150</v>
      </c>
      <c r="C1311" t="s">
        <v>169</v>
      </c>
      <c r="D1311" s="38">
        <v>5</v>
      </c>
      <c r="E1311" t="s">
        <v>169</v>
      </c>
      <c r="F1311">
        <v>1901008</v>
      </c>
      <c r="G1311" t="s">
        <v>278</v>
      </c>
      <c r="H131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4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hidden="1" x14ac:dyDescent="0.25">
      <c r="A1312" s="1">
        <v>46150</v>
      </c>
      <c r="B1312" s="1">
        <v>46150</v>
      </c>
      <c r="C1312" t="s">
        <v>169</v>
      </c>
      <c r="D1312" s="38">
        <v>5</v>
      </c>
      <c r="E1312" t="s">
        <v>169</v>
      </c>
      <c r="F1312">
        <v>1801230</v>
      </c>
      <c r="G1312" t="s">
        <v>51</v>
      </c>
      <c r="H1312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4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hidden="1" x14ac:dyDescent="0.25">
      <c r="A1313" s="1">
        <v>46150</v>
      </c>
      <c r="B1313" s="1">
        <v>46150</v>
      </c>
      <c r="C1313" t="s">
        <v>169</v>
      </c>
      <c r="D1313" s="38">
        <v>5</v>
      </c>
      <c r="E1313" t="s">
        <v>169</v>
      </c>
      <c r="F1313">
        <v>2304003</v>
      </c>
      <c r="G1313" t="s">
        <v>132</v>
      </c>
      <c r="H1313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4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hidden="1" x14ac:dyDescent="0.25">
      <c r="A1314" s="1">
        <v>46150</v>
      </c>
      <c r="B1314" s="1">
        <v>46150</v>
      </c>
      <c r="C1314" t="s">
        <v>169</v>
      </c>
      <c r="D1314" s="38">
        <v>5</v>
      </c>
      <c r="E1314" t="s">
        <v>169</v>
      </c>
      <c r="F1314">
        <v>701096</v>
      </c>
      <c r="G1314" t="s">
        <v>204</v>
      </c>
      <c r="H1314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4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hidden="1" x14ac:dyDescent="0.25">
      <c r="A1315" s="1">
        <v>46150</v>
      </c>
      <c r="B1315" s="1">
        <v>46150</v>
      </c>
      <c r="C1315" t="s">
        <v>169</v>
      </c>
      <c r="D1315" s="38">
        <v>5</v>
      </c>
      <c r="E1315" t="s">
        <v>169</v>
      </c>
      <c r="F1315">
        <v>701040</v>
      </c>
      <c r="G1315" t="s">
        <v>19</v>
      </c>
      <c r="H1315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4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hidden="1" x14ac:dyDescent="0.25">
      <c r="A1316" s="1">
        <v>46150</v>
      </c>
      <c r="B1316" s="1">
        <v>46150</v>
      </c>
      <c r="C1316" t="s">
        <v>169</v>
      </c>
      <c r="D1316" s="38">
        <v>5</v>
      </c>
      <c r="E1316" t="s">
        <v>169</v>
      </c>
      <c r="F1316">
        <v>304101</v>
      </c>
      <c r="G1316" t="s">
        <v>17</v>
      </c>
      <c r="H1316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4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hidden="1" x14ac:dyDescent="0.25">
      <c r="A1317" s="1">
        <v>46150</v>
      </c>
      <c r="B1317" s="1">
        <v>46150</v>
      </c>
      <c r="C1317" t="s">
        <v>169</v>
      </c>
      <c r="D1317" s="38">
        <v>5</v>
      </c>
      <c r="E1317" t="s">
        <v>169</v>
      </c>
      <c r="F1317">
        <v>304007</v>
      </c>
      <c r="G1317" t="s">
        <v>80</v>
      </c>
      <c r="H1317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4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hidden="1" x14ac:dyDescent="0.25">
      <c r="A1318" s="1">
        <v>46150</v>
      </c>
      <c r="B1318" s="1">
        <v>46150</v>
      </c>
      <c r="C1318" t="s">
        <v>169</v>
      </c>
      <c r="D1318" s="38">
        <v>5</v>
      </c>
      <c r="E1318" t="s">
        <v>169</v>
      </c>
      <c r="F1318">
        <v>1901086</v>
      </c>
      <c r="G1318" t="s">
        <v>279</v>
      </c>
      <c r="H1318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4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hidden="1" x14ac:dyDescent="0.25">
      <c r="A1319" s="1">
        <v>46150</v>
      </c>
      <c r="B1319" s="1">
        <v>46150</v>
      </c>
      <c r="C1319" t="s">
        <v>169</v>
      </c>
      <c r="D1319" s="38">
        <v>5</v>
      </c>
      <c r="E1319" t="s">
        <v>169</v>
      </c>
      <c r="F1319">
        <v>1901008</v>
      </c>
      <c r="G1319" t="s">
        <v>278</v>
      </c>
      <c r="H1319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4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hidden="1" x14ac:dyDescent="0.25">
      <c r="A1320" s="1">
        <v>46150</v>
      </c>
      <c r="B1320" s="1">
        <v>46150</v>
      </c>
      <c r="C1320" t="s">
        <v>169</v>
      </c>
      <c r="D1320" s="38">
        <v>5</v>
      </c>
      <c r="E1320" t="s">
        <v>169</v>
      </c>
      <c r="F1320">
        <v>704079</v>
      </c>
      <c r="G1320" t="s">
        <v>209</v>
      </c>
      <c r="H1320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4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hidden="1" x14ac:dyDescent="0.25">
      <c r="A1321" s="1">
        <v>46150</v>
      </c>
      <c r="B1321" s="1">
        <v>46150</v>
      </c>
      <c r="C1321" t="s">
        <v>169</v>
      </c>
      <c r="D1321" s="38">
        <v>5</v>
      </c>
      <c r="E1321" t="s">
        <v>169</v>
      </c>
      <c r="F1321">
        <v>707023</v>
      </c>
      <c r="G1321" t="s">
        <v>794</v>
      </c>
      <c r="H132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4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hidden="1" x14ac:dyDescent="0.25">
      <c r="A1322" s="1">
        <v>46150</v>
      </c>
      <c r="B1322" s="1">
        <v>46150</v>
      </c>
      <c r="C1322" t="s">
        <v>169</v>
      </c>
      <c r="D1322" s="38">
        <v>5</v>
      </c>
      <c r="E1322" t="s">
        <v>169</v>
      </c>
      <c r="F1322">
        <v>608013</v>
      </c>
      <c r="G1322" t="s">
        <v>328</v>
      </c>
      <c r="H1322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4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hidden="1" x14ac:dyDescent="0.25">
      <c r="A1323" s="1">
        <v>46150</v>
      </c>
      <c r="B1323" s="1">
        <v>46150</v>
      </c>
      <c r="C1323" t="s">
        <v>169</v>
      </c>
      <c r="D1323" s="38">
        <v>5</v>
      </c>
      <c r="E1323" t="s">
        <v>169</v>
      </c>
      <c r="F1323">
        <v>2304053</v>
      </c>
      <c r="G1323" t="s">
        <v>213</v>
      </c>
      <c r="H1323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4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hidden="1" x14ac:dyDescent="0.25">
      <c r="A1324" s="1">
        <v>46150</v>
      </c>
      <c r="B1324" s="1">
        <v>46150</v>
      </c>
      <c r="C1324" t="s">
        <v>169</v>
      </c>
      <c r="D1324" s="38">
        <v>5</v>
      </c>
      <c r="E1324" t="s">
        <v>169</v>
      </c>
      <c r="F1324">
        <v>1610023</v>
      </c>
      <c r="G1324" t="s">
        <v>351</v>
      </c>
      <c r="H1324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4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hidden="1" x14ac:dyDescent="0.25">
      <c r="A1325" s="1">
        <v>46150</v>
      </c>
      <c r="B1325" s="1">
        <v>46150</v>
      </c>
      <c r="C1325" t="s">
        <v>169</v>
      </c>
      <c r="D1325" s="38">
        <v>5</v>
      </c>
      <c r="E1325" t="s">
        <v>169</v>
      </c>
      <c r="F1325">
        <v>609007</v>
      </c>
      <c r="G1325" t="s">
        <v>210</v>
      </c>
      <c r="H1325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4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hidden="1" x14ac:dyDescent="0.25">
      <c r="A1326" s="1">
        <v>46153</v>
      </c>
      <c r="B1326" s="1">
        <v>46153</v>
      </c>
      <c r="C1326" t="s">
        <v>169</v>
      </c>
      <c r="D1326" s="38">
        <v>5</v>
      </c>
      <c r="E1326" t="s">
        <v>169</v>
      </c>
      <c r="F1326">
        <v>404252</v>
      </c>
      <c r="G1326" t="s">
        <v>181</v>
      </c>
      <c r="H1326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2008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4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hidden="1" x14ac:dyDescent="0.25">
      <c r="A1327" s="1">
        <v>46153</v>
      </c>
      <c r="B1327" s="1">
        <v>46153</v>
      </c>
      <c r="C1327" t="s">
        <v>169</v>
      </c>
      <c r="D1327" s="38">
        <v>5</v>
      </c>
      <c r="E1327" t="s">
        <v>169</v>
      </c>
      <c r="F1327">
        <v>2304053</v>
      </c>
      <c r="G1327" t="s">
        <v>213</v>
      </c>
      <c r="H1327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4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hidden="1" x14ac:dyDescent="0.25">
      <c r="A1328" s="1">
        <v>46153</v>
      </c>
      <c r="B1328" s="1">
        <v>46153</v>
      </c>
      <c r="C1328" t="s">
        <v>169</v>
      </c>
      <c r="D1328" s="38">
        <v>5</v>
      </c>
      <c r="E1328" t="s">
        <v>169</v>
      </c>
      <c r="F1328">
        <v>2302119</v>
      </c>
      <c r="G1328" t="s">
        <v>74</v>
      </c>
      <c r="H1328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4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hidden="1" x14ac:dyDescent="0.25">
      <c r="A1329" s="1">
        <v>46153</v>
      </c>
      <c r="B1329" s="1">
        <v>46153</v>
      </c>
      <c r="C1329" t="s">
        <v>169</v>
      </c>
      <c r="D1329" s="38">
        <v>5</v>
      </c>
      <c r="E1329" t="s">
        <v>169</v>
      </c>
      <c r="F1329">
        <v>407185</v>
      </c>
      <c r="G1329" t="s">
        <v>43</v>
      </c>
      <c r="H1329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4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hidden="1" x14ac:dyDescent="0.25">
      <c r="A1330" s="1">
        <v>46153</v>
      </c>
      <c r="B1330" s="1">
        <v>46153</v>
      </c>
      <c r="C1330" t="s">
        <v>169</v>
      </c>
      <c r="D1330" s="38">
        <v>5</v>
      </c>
      <c r="E1330" t="s">
        <v>169</v>
      </c>
      <c r="F1330">
        <v>307096</v>
      </c>
      <c r="G1330" t="s">
        <v>249</v>
      </c>
      <c r="H1330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4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hidden="1" x14ac:dyDescent="0.25">
      <c r="A1331" s="1">
        <v>46153</v>
      </c>
      <c r="B1331" s="1">
        <v>46153</v>
      </c>
      <c r="C1331" t="s">
        <v>169</v>
      </c>
      <c r="D1331" s="38">
        <v>5</v>
      </c>
      <c r="E1331" t="s">
        <v>169</v>
      </c>
      <c r="F1331">
        <v>307032</v>
      </c>
      <c r="G1331" t="s">
        <v>186</v>
      </c>
      <c r="H133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4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hidden="1" x14ac:dyDescent="0.25">
      <c r="A1332" s="1">
        <v>46153</v>
      </c>
      <c r="B1332" s="1">
        <v>46153</v>
      </c>
      <c r="C1332" t="s">
        <v>169</v>
      </c>
      <c r="D1332" s="38">
        <v>5</v>
      </c>
      <c r="E1332" t="s">
        <v>169</v>
      </c>
      <c r="F1332">
        <v>704024</v>
      </c>
      <c r="G1332" t="s">
        <v>332</v>
      </c>
      <c r="H1332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4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hidden="1" x14ac:dyDescent="0.25">
      <c r="A1333" s="1">
        <v>46153</v>
      </c>
      <c r="B1333" s="1">
        <v>46153</v>
      </c>
      <c r="C1333" t="s">
        <v>169</v>
      </c>
      <c r="D1333" s="38">
        <v>5</v>
      </c>
      <c r="E1333" t="s">
        <v>169</v>
      </c>
      <c r="F1333">
        <v>704022</v>
      </c>
      <c r="G1333" t="s">
        <v>330</v>
      </c>
      <c r="H1333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4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hidden="1" x14ac:dyDescent="0.25">
      <c r="A1334" s="1">
        <v>46153</v>
      </c>
      <c r="B1334" s="1">
        <v>46153</v>
      </c>
      <c r="C1334" t="s">
        <v>169</v>
      </c>
      <c r="D1334" s="38">
        <v>5</v>
      </c>
      <c r="E1334" t="s">
        <v>169</v>
      </c>
      <c r="F1334">
        <v>704021</v>
      </c>
      <c r="G1334" t="s">
        <v>329</v>
      </c>
      <c r="H1334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4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hidden="1" x14ac:dyDescent="0.25">
      <c r="A1335" s="1">
        <v>46153</v>
      </c>
      <c r="B1335" s="1">
        <v>46153</v>
      </c>
      <c r="C1335" t="s">
        <v>169</v>
      </c>
      <c r="D1335" s="38">
        <v>5</v>
      </c>
      <c r="E1335" t="s">
        <v>169</v>
      </c>
      <c r="F1335">
        <v>106022</v>
      </c>
      <c r="G1335" t="s">
        <v>245</v>
      </c>
      <c r="H1335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2008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4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hidden="1" x14ac:dyDescent="0.25">
      <c r="A1336" s="1">
        <v>46153</v>
      </c>
      <c r="B1336" s="1">
        <v>46153</v>
      </c>
      <c r="C1336" t="s">
        <v>169</v>
      </c>
      <c r="D1336" s="38">
        <v>5</v>
      </c>
      <c r="E1336" t="s">
        <v>169</v>
      </c>
      <c r="F1336">
        <v>2304002</v>
      </c>
      <c r="G1336" t="s">
        <v>212</v>
      </c>
      <c r="H1336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4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hidden="1" x14ac:dyDescent="0.25">
      <c r="A1337" s="1">
        <v>46153</v>
      </c>
      <c r="B1337" s="1">
        <v>46153</v>
      </c>
      <c r="C1337" t="s">
        <v>169</v>
      </c>
      <c r="D1337" s="38">
        <v>5</v>
      </c>
      <c r="E1337" t="s">
        <v>169</v>
      </c>
      <c r="F1337">
        <v>2304002</v>
      </c>
      <c r="G1337" t="s">
        <v>212</v>
      </c>
      <c r="H1337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2010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4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hidden="1" x14ac:dyDescent="0.25">
      <c r="A1338" s="1">
        <v>46153</v>
      </c>
      <c r="B1338" s="1">
        <v>46153</v>
      </c>
      <c r="C1338" t="s">
        <v>169</v>
      </c>
      <c r="D1338" s="38">
        <v>5</v>
      </c>
      <c r="E1338" t="s">
        <v>169</v>
      </c>
      <c r="F1338">
        <v>412280</v>
      </c>
      <c r="G1338" t="s">
        <v>40</v>
      </c>
      <c r="H1338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4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hidden="1" x14ac:dyDescent="0.25">
      <c r="A1339" s="1">
        <v>46153</v>
      </c>
      <c r="B1339" s="1">
        <v>46153</v>
      </c>
      <c r="C1339" t="s">
        <v>169</v>
      </c>
      <c r="D1339" s="38">
        <v>5</v>
      </c>
      <c r="E1339" t="s">
        <v>169</v>
      </c>
      <c r="F1339">
        <v>412281</v>
      </c>
      <c r="G1339" t="s">
        <v>326</v>
      </c>
      <c r="H1339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0</v>
      </c>
      <c r="P1339" s="2">
        <v>-8951.4285999999993</v>
      </c>
      <c r="Q1339" s="2">
        <v>-250640</v>
      </c>
      <c r="R1339" s="4"/>
      <c r="T1339">
        <v>314982</v>
      </c>
      <c r="U1339" s="26"/>
      <c r="V1339" s="2"/>
      <c r="W1339">
        <v>6161</v>
      </c>
      <c r="X1339" s="2">
        <v>6579000000</v>
      </c>
      <c r="Y1339" s="6">
        <v>0</v>
      </c>
      <c r="Z1339" s="38">
        <v>10010</v>
      </c>
      <c r="AA1339" s="4" t="e">
        <f>+((DETALLE_GD_1[[#This Row],[VALOR X UN (GD)]]-DETALLE_GD_1[[#This Row],[VALOR PPTO]])/DETALLE_GD_1[[#This Row],[VALOR PPTO]])</f>
        <v>#DIV/0!</v>
      </c>
      <c r="AB1339" s="2">
        <f>+DETALLE_GD_1[[#This Row],[VALOR PPTO]]*DETALLE_GD_1[[#This Row],[CANTIDAD RECIBIDA]]</f>
        <v>0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hidden="1" x14ac:dyDescent="0.25">
      <c r="A1340" s="1">
        <v>46153</v>
      </c>
      <c r="B1340" s="1">
        <v>46153</v>
      </c>
      <c r="C1340" t="s">
        <v>169</v>
      </c>
      <c r="D1340" s="38">
        <v>5</v>
      </c>
      <c r="E1340" t="s">
        <v>169</v>
      </c>
      <c r="F1340">
        <v>1901038</v>
      </c>
      <c r="G1340" t="s">
        <v>39</v>
      </c>
      <c r="H1340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2008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4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hidden="1" x14ac:dyDescent="0.25">
      <c r="A1341" s="1">
        <v>46153</v>
      </c>
      <c r="B1341" s="1">
        <v>46153</v>
      </c>
      <c r="C1341" t="s">
        <v>169</v>
      </c>
      <c r="D1341" s="38">
        <v>5</v>
      </c>
      <c r="E1341" t="s">
        <v>169</v>
      </c>
      <c r="F1341">
        <v>1901038</v>
      </c>
      <c r="G1341" t="s">
        <v>39</v>
      </c>
      <c r="H134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2010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4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hidden="1" x14ac:dyDescent="0.25">
      <c r="A1342" s="1">
        <v>46153</v>
      </c>
      <c r="B1342" s="1">
        <v>46153</v>
      </c>
      <c r="C1342" t="s">
        <v>169</v>
      </c>
      <c r="D1342" s="38">
        <v>5</v>
      </c>
      <c r="E1342" t="s">
        <v>169</v>
      </c>
      <c r="F1342">
        <v>407185</v>
      </c>
      <c r="G1342" t="s">
        <v>43</v>
      </c>
      <c r="H1342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2010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4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hidden="1" x14ac:dyDescent="0.25">
      <c r="A1343" s="1">
        <v>46153</v>
      </c>
      <c r="B1343" s="1">
        <v>46153</v>
      </c>
      <c r="C1343" t="s">
        <v>169</v>
      </c>
      <c r="D1343" s="38">
        <v>5</v>
      </c>
      <c r="E1343" t="s">
        <v>169</v>
      </c>
      <c r="F1343">
        <v>2304008</v>
      </c>
      <c r="G1343" t="s">
        <v>704</v>
      </c>
      <c r="H1343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2011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4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hidden="1" x14ac:dyDescent="0.25">
      <c r="A1344" s="1">
        <v>46153</v>
      </c>
      <c r="B1344" s="1">
        <v>46153</v>
      </c>
      <c r="C1344" t="s">
        <v>169</v>
      </c>
      <c r="D1344" s="38">
        <v>5</v>
      </c>
      <c r="E1344" t="s">
        <v>169</v>
      </c>
      <c r="F1344">
        <v>1103076</v>
      </c>
      <c r="G1344" t="s">
        <v>311</v>
      </c>
      <c r="H1344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4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hidden="1" x14ac:dyDescent="0.25">
      <c r="A1345" s="1">
        <v>46153</v>
      </c>
      <c r="B1345" s="1">
        <v>46153</v>
      </c>
      <c r="C1345" t="s">
        <v>169</v>
      </c>
      <c r="D1345" s="38">
        <v>5</v>
      </c>
      <c r="E1345" t="s">
        <v>169</v>
      </c>
      <c r="F1345">
        <v>705028</v>
      </c>
      <c r="G1345" t="s">
        <v>72</v>
      </c>
      <c r="H1345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4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hidden="1" x14ac:dyDescent="0.25">
      <c r="A1346" s="1">
        <v>46153</v>
      </c>
      <c r="B1346" s="1">
        <v>46153</v>
      </c>
      <c r="C1346" t="s">
        <v>169</v>
      </c>
      <c r="D1346" s="38">
        <v>5</v>
      </c>
      <c r="E1346" t="s">
        <v>169</v>
      </c>
      <c r="F1346">
        <v>704021</v>
      </c>
      <c r="G1346" t="s">
        <v>329</v>
      </c>
      <c r="H1346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4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hidden="1" x14ac:dyDescent="0.25">
      <c r="A1347" s="1">
        <v>46153</v>
      </c>
      <c r="B1347" s="1">
        <v>46153</v>
      </c>
      <c r="C1347" t="s">
        <v>169</v>
      </c>
      <c r="D1347" s="38">
        <v>5</v>
      </c>
      <c r="E1347" t="s">
        <v>169</v>
      </c>
      <c r="F1347">
        <v>307033</v>
      </c>
      <c r="G1347" t="s">
        <v>248</v>
      </c>
      <c r="H1347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4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hidden="1" x14ac:dyDescent="0.25">
      <c r="A1348" s="1">
        <v>46153</v>
      </c>
      <c r="B1348" s="1">
        <v>46153</v>
      </c>
      <c r="C1348" t="s">
        <v>169</v>
      </c>
      <c r="D1348" s="38">
        <v>5</v>
      </c>
      <c r="E1348" t="s">
        <v>169</v>
      </c>
      <c r="F1348">
        <v>404252</v>
      </c>
      <c r="G1348" t="s">
        <v>181</v>
      </c>
      <c r="H1348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4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hidden="1" x14ac:dyDescent="0.25">
      <c r="A1349" s="1">
        <v>46153</v>
      </c>
      <c r="B1349" s="1">
        <v>46153</v>
      </c>
      <c r="C1349" t="s">
        <v>169</v>
      </c>
      <c r="D1349" s="38">
        <v>5</v>
      </c>
      <c r="E1349" t="s">
        <v>169</v>
      </c>
      <c r="F1349">
        <v>704025</v>
      </c>
      <c r="G1349" t="s">
        <v>333</v>
      </c>
      <c r="H1349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4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hidden="1" x14ac:dyDescent="0.25">
      <c r="A1350" s="1">
        <v>46153</v>
      </c>
      <c r="B1350" s="1">
        <v>46153</v>
      </c>
      <c r="C1350" t="s">
        <v>169</v>
      </c>
      <c r="D1350" s="38">
        <v>5</v>
      </c>
      <c r="E1350" t="s">
        <v>169</v>
      </c>
      <c r="F1350">
        <v>704023</v>
      </c>
      <c r="G1350" t="s">
        <v>331</v>
      </c>
      <c r="H1350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4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hidden="1" x14ac:dyDescent="0.25">
      <c r="A1351" s="1">
        <v>46153</v>
      </c>
      <c r="B1351" s="1">
        <v>46153</v>
      </c>
      <c r="C1351" t="s">
        <v>169</v>
      </c>
      <c r="D1351" s="38">
        <v>5</v>
      </c>
      <c r="E1351" t="s">
        <v>169</v>
      </c>
      <c r="F1351">
        <v>307030</v>
      </c>
      <c r="G1351" t="s">
        <v>64</v>
      </c>
      <c r="H135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4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hidden="1" x14ac:dyDescent="0.25">
      <c r="A1352" s="1">
        <v>46153</v>
      </c>
      <c r="B1352" s="1">
        <v>46153</v>
      </c>
      <c r="C1352" t="s">
        <v>169</v>
      </c>
      <c r="D1352" s="38">
        <v>5</v>
      </c>
      <c r="E1352" t="s">
        <v>169</v>
      </c>
      <c r="F1352">
        <v>704024</v>
      </c>
      <c r="G1352" t="s">
        <v>332</v>
      </c>
      <c r="H1352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4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hidden="1" x14ac:dyDescent="0.25">
      <c r="A1353" s="1">
        <v>46153</v>
      </c>
      <c r="B1353" s="1">
        <v>46153</v>
      </c>
      <c r="C1353" t="s">
        <v>169</v>
      </c>
      <c r="D1353" s="38">
        <v>5</v>
      </c>
      <c r="E1353" t="s">
        <v>169</v>
      </c>
      <c r="F1353">
        <v>307031</v>
      </c>
      <c r="G1353" t="s">
        <v>65</v>
      </c>
      <c r="H1353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4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hidden="1" x14ac:dyDescent="0.25">
      <c r="A1354" s="1">
        <v>46153</v>
      </c>
      <c r="B1354" s="1">
        <v>46153</v>
      </c>
      <c r="C1354" t="s">
        <v>169</v>
      </c>
      <c r="D1354" s="38">
        <v>5</v>
      </c>
      <c r="E1354" t="s">
        <v>169</v>
      </c>
      <c r="F1354">
        <v>307096</v>
      </c>
      <c r="G1354" t="s">
        <v>249</v>
      </c>
      <c r="H1354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4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hidden="1" x14ac:dyDescent="0.25">
      <c r="A1355" s="1">
        <v>46153</v>
      </c>
      <c r="B1355" s="1">
        <v>46153</v>
      </c>
      <c r="C1355" t="s">
        <v>169</v>
      </c>
      <c r="D1355" s="38">
        <v>5</v>
      </c>
      <c r="E1355" t="s">
        <v>169</v>
      </c>
      <c r="F1355">
        <v>307032</v>
      </c>
      <c r="G1355" t="s">
        <v>186</v>
      </c>
      <c r="H1355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4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hidden="1" x14ac:dyDescent="0.25">
      <c r="A1356" s="1">
        <v>46153</v>
      </c>
      <c r="B1356" s="1">
        <v>46153</v>
      </c>
      <c r="C1356" t="s">
        <v>169</v>
      </c>
      <c r="D1356" s="38">
        <v>5</v>
      </c>
      <c r="E1356" t="s">
        <v>169</v>
      </c>
      <c r="F1356">
        <v>5314002</v>
      </c>
      <c r="G1356" t="s">
        <v>342</v>
      </c>
      <c r="H1356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4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hidden="1" x14ac:dyDescent="0.25">
      <c r="A1357" s="1">
        <v>46153</v>
      </c>
      <c r="B1357" s="1">
        <v>46153</v>
      </c>
      <c r="C1357" t="s">
        <v>169</v>
      </c>
      <c r="D1357" s="38">
        <v>5</v>
      </c>
      <c r="E1357" t="s">
        <v>169</v>
      </c>
      <c r="F1357">
        <v>1610023</v>
      </c>
      <c r="G1357" t="s">
        <v>351</v>
      </c>
      <c r="H1357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4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hidden="1" x14ac:dyDescent="0.25">
      <c r="A1358" s="1">
        <v>46153</v>
      </c>
      <c r="B1358" s="1">
        <v>46153</v>
      </c>
      <c r="C1358" t="s">
        <v>169</v>
      </c>
      <c r="D1358" s="38">
        <v>5</v>
      </c>
      <c r="E1358" t="s">
        <v>169</v>
      </c>
      <c r="F1358">
        <v>1610007</v>
      </c>
      <c r="G1358" t="s">
        <v>334</v>
      </c>
      <c r="H1358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4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hidden="1" x14ac:dyDescent="0.25">
      <c r="A1359" s="1">
        <v>46153</v>
      </c>
      <c r="B1359" s="1">
        <v>46153</v>
      </c>
      <c r="C1359" t="s">
        <v>169</v>
      </c>
      <c r="D1359" s="38">
        <v>5</v>
      </c>
      <c r="E1359" t="s">
        <v>169</v>
      </c>
      <c r="F1359">
        <v>608013</v>
      </c>
      <c r="G1359" t="s">
        <v>328</v>
      </c>
      <c r="H1359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4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hidden="1" x14ac:dyDescent="0.25">
      <c r="A1360" s="1">
        <v>46153</v>
      </c>
      <c r="B1360" s="1">
        <v>46153</v>
      </c>
      <c r="C1360" t="s">
        <v>169</v>
      </c>
      <c r="D1360" s="38">
        <v>5</v>
      </c>
      <c r="E1360" t="s">
        <v>169</v>
      </c>
      <c r="F1360">
        <v>304012</v>
      </c>
      <c r="G1360" t="s">
        <v>707</v>
      </c>
      <c r="H1360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4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hidden="1" x14ac:dyDescent="0.25">
      <c r="A1361" s="1">
        <v>46153</v>
      </c>
      <c r="B1361" s="1">
        <v>46153</v>
      </c>
      <c r="C1361" t="s">
        <v>169</v>
      </c>
      <c r="D1361" s="38">
        <v>5</v>
      </c>
      <c r="E1361" t="s">
        <v>169</v>
      </c>
      <c r="F1361" t="s">
        <v>757</v>
      </c>
      <c r="G1361" t="s">
        <v>226</v>
      </c>
      <c r="H136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4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hidden="1" x14ac:dyDescent="0.25">
      <c r="A1362" s="1">
        <v>46153</v>
      </c>
      <c r="B1362" s="1">
        <v>46153</v>
      </c>
      <c r="C1362" t="s">
        <v>169</v>
      </c>
      <c r="D1362" s="38">
        <v>5</v>
      </c>
      <c r="E1362" t="s">
        <v>169</v>
      </c>
      <c r="F1362">
        <v>701096</v>
      </c>
      <c r="G1362" t="s">
        <v>204</v>
      </c>
      <c r="H1362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4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hidden="1" x14ac:dyDescent="0.25">
      <c r="A1363" s="1">
        <v>46153</v>
      </c>
      <c r="B1363" s="1">
        <v>46153</v>
      </c>
      <c r="C1363" t="s">
        <v>169</v>
      </c>
      <c r="D1363" s="38">
        <v>5</v>
      </c>
      <c r="E1363" t="s">
        <v>169</v>
      </c>
      <c r="F1363">
        <v>1802659</v>
      </c>
      <c r="G1363" t="s">
        <v>161</v>
      </c>
      <c r="H1363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4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hidden="1" x14ac:dyDescent="0.25">
      <c r="A1364" s="1">
        <v>46153</v>
      </c>
      <c r="B1364" s="1">
        <v>46153</v>
      </c>
      <c r="C1364" t="s">
        <v>169</v>
      </c>
      <c r="D1364" s="38">
        <v>5</v>
      </c>
      <c r="E1364" t="s">
        <v>169</v>
      </c>
      <c r="F1364">
        <v>617057</v>
      </c>
      <c r="G1364" t="s">
        <v>134</v>
      </c>
      <c r="H1364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4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hidden="1" x14ac:dyDescent="0.25">
      <c r="A1365" s="1">
        <v>46153</v>
      </c>
      <c r="B1365" s="1">
        <v>46153</v>
      </c>
      <c r="C1365" t="s">
        <v>169</v>
      </c>
      <c r="D1365" s="38">
        <v>5</v>
      </c>
      <c r="E1365" t="s">
        <v>169</v>
      </c>
      <c r="F1365">
        <v>810007</v>
      </c>
      <c r="G1365" t="s">
        <v>235</v>
      </c>
      <c r="H1365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4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hidden="1" x14ac:dyDescent="0.25">
      <c r="A1366" s="1">
        <v>46153</v>
      </c>
      <c r="B1366" s="1">
        <v>46153</v>
      </c>
      <c r="C1366" t="s">
        <v>169</v>
      </c>
      <c r="D1366" s="38">
        <v>5</v>
      </c>
      <c r="E1366" t="s">
        <v>169</v>
      </c>
      <c r="F1366">
        <v>2302024</v>
      </c>
      <c r="G1366" t="s">
        <v>234</v>
      </c>
      <c r="H1366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4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hidden="1" x14ac:dyDescent="0.25">
      <c r="A1367" s="1">
        <v>46153</v>
      </c>
      <c r="B1367" s="1">
        <v>46153</v>
      </c>
      <c r="C1367" t="s">
        <v>169</v>
      </c>
      <c r="D1367" s="38">
        <v>5</v>
      </c>
      <c r="E1367" t="s">
        <v>169</v>
      </c>
      <c r="F1367">
        <v>2304056</v>
      </c>
      <c r="G1367" t="s">
        <v>417</v>
      </c>
      <c r="H1367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4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hidden="1" x14ac:dyDescent="0.25">
      <c r="A1368" s="1">
        <v>46153</v>
      </c>
      <c r="B1368" s="1">
        <v>46153</v>
      </c>
      <c r="C1368" t="s">
        <v>169</v>
      </c>
      <c r="D1368" s="38">
        <v>5</v>
      </c>
      <c r="E1368" t="s">
        <v>169</v>
      </c>
      <c r="F1368" t="s">
        <v>345</v>
      </c>
      <c r="G1368" t="s">
        <v>167</v>
      </c>
      <c r="H1368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4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hidden="1" x14ac:dyDescent="0.25">
      <c r="A1369" s="1">
        <v>46153</v>
      </c>
      <c r="B1369" s="1">
        <v>46153</v>
      </c>
      <c r="C1369" t="s">
        <v>169</v>
      </c>
      <c r="D1369" s="38">
        <v>5</v>
      </c>
      <c r="E1369" t="s">
        <v>169</v>
      </c>
      <c r="F1369" t="s">
        <v>559</v>
      </c>
      <c r="G1369" t="s">
        <v>705</v>
      </c>
      <c r="H1369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4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hidden="1" x14ac:dyDescent="0.25">
      <c r="A1370" s="1">
        <v>46154</v>
      </c>
      <c r="B1370" s="1">
        <v>46154</v>
      </c>
      <c r="C1370" t="s">
        <v>169</v>
      </c>
      <c r="D1370" s="38">
        <v>5</v>
      </c>
      <c r="E1370" t="s">
        <v>169</v>
      </c>
      <c r="F1370">
        <v>1610023</v>
      </c>
      <c r="G1370" t="s">
        <v>351</v>
      </c>
      <c r="H1370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2008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4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hidden="1" x14ac:dyDescent="0.25">
      <c r="A1371" s="1">
        <v>46154</v>
      </c>
      <c r="B1371" s="1">
        <v>46154</v>
      </c>
      <c r="C1371" t="s">
        <v>169</v>
      </c>
      <c r="D1371" s="38">
        <v>5</v>
      </c>
      <c r="E1371" t="s">
        <v>169</v>
      </c>
      <c r="F1371">
        <v>609007</v>
      </c>
      <c r="G1371" t="s">
        <v>210</v>
      </c>
      <c r="H137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4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hidden="1" x14ac:dyDescent="0.25">
      <c r="A1372" s="1">
        <v>46154</v>
      </c>
      <c r="B1372" s="1">
        <v>46154</v>
      </c>
      <c r="C1372" t="s">
        <v>169</v>
      </c>
      <c r="D1372" s="38">
        <v>5</v>
      </c>
      <c r="E1372" t="s">
        <v>169</v>
      </c>
      <c r="F1372">
        <v>1405040</v>
      </c>
      <c r="G1372" t="s">
        <v>449</v>
      </c>
      <c r="H1372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4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hidden="1" x14ac:dyDescent="0.25">
      <c r="A1373" s="1">
        <v>46154</v>
      </c>
      <c r="B1373" s="1">
        <v>46154</v>
      </c>
      <c r="C1373" t="s">
        <v>169</v>
      </c>
      <c r="D1373" s="38">
        <v>5</v>
      </c>
      <c r="E1373" t="s">
        <v>169</v>
      </c>
      <c r="F1373">
        <v>412016</v>
      </c>
      <c r="G1373" t="s">
        <v>719</v>
      </c>
      <c r="H1373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4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hidden="1" x14ac:dyDescent="0.25">
      <c r="A1374" s="1">
        <v>46154</v>
      </c>
      <c r="B1374" s="1">
        <v>46154</v>
      </c>
      <c r="C1374" t="s">
        <v>169</v>
      </c>
      <c r="D1374" s="38">
        <v>5</v>
      </c>
      <c r="E1374" t="s">
        <v>169</v>
      </c>
      <c r="F1374">
        <v>1802659</v>
      </c>
      <c r="G1374" t="s">
        <v>161</v>
      </c>
      <c r="H1374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4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hidden="1" x14ac:dyDescent="0.25">
      <c r="A1375" s="1">
        <v>46154</v>
      </c>
      <c r="B1375" s="1">
        <v>46154</v>
      </c>
      <c r="C1375" t="s">
        <v>169</v>
      </c>
      <c r="D1375" s="38">
        <v>5</v>
      </c>
      <c r="E1375" t="s">
        <v>169</v>
      </c>
      <c r="F1375" t="s">
        <v>784</v>
      </c>
      <c r="G1375" t="s">
        <v>95</v>
      </c>
      <c r="H1375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4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hidden="1" x14ac:dyDescent="0.25">
      <c r="A1376" s="1">
        <v>46154</v>
      </c>
      <c r="B1376" s="1">
        <v>46154</v>
      </c>
      <c r="C1376" t="s">
        <v>169</v>
      </c>
      <c r="D1376" s="38">
        <v>5</v>
      </c>
      <c r="E1376" t="s">
        <v>169</v>
      </c>
      <c r="F1376">
        <v>704079</v>
      </c>
      <c r="G1376" t="s">
        <v>209</v>
      </c>
      <c r="H1376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4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hidden="1" x14ac:dyDescent="0.25">
      <c r="A1377" s="1">
        <v>46154</v>
      </c>
      <c r="B1377" s="1">
        <v>46154</v>
      </c>
      <c r="C1377" t="s">
        <v>169</v>
      </c>
      <c r="D1377" s="38">
        <v>5</v>
      </c>
      <c r="E1377" t="s">
        <v>169</v>
      </c>
      <c r="F1377">
        <v>617057</v>
      </c>
      <c r="G1377" t="s">
        <v>134</v>
      </c>
      <c r="H1377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4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hidden="1" x14ac:dyDescent="0.25">
      <c r="A1378" s="1">
        <v>46154</v>
      </c>
      <c r="B1378" s="1">
        <v>46154</v>
      </c>
      <c r="C1378" t="s">
        <v>169</v>
      </c>
      <c r="D1378" s="38">
        <v>5</v>
      </c>
      <c r="E1378" t="s">
        <v>169</v>
      </c>
      <c r="F1378">
        <v>617016</v>
      </c>
      <c r="G1378" t="s">
        <v>133</v>
      </c>
      <c r="H1378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4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hidden="1" x14ac:dyDescent="0.25">
      <c r="A1379" s="1">
        <v>46154</v>
      </c>
      <c r="B1379" s="1">
        <v>46154</v>
      </c>
      <c r="C1379" t="s">
        <v>169</v>
      </c>
      <c r="D1379" s="38">
        <v>5</v>
      </c>
      <c r="E1379" t="s">
        <v>169</v>
      </c>
      <c r="F1379">
        <v>106022</v>
      </c>
      <c r="G1379" t="s">
        <v>245</v>
      </c>
      <c r="H1379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2010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4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hidden="1" x14ac:dyDescent="0.25">
      <c r="A1380" s="1">
        <v>46154</v>
      </c>
      <c r="B1380" s="1">
        <v>46154</v>
      </c>
      <c r="C1380" t="s">
        <v>169</v>
      </c>
      <c r="D1380" s="38">
        <v>5</v>
      </c>
      <c r="E1380" t="s">
        <v>169</v>
      </c>
      <c r="F1380">
        <v>1901505</v>
      </c>
      <c r="G1380" t="s">
        <v>27</v>
      </c>
      <c r="H1380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4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hidden="1" x14ac:dyDescent="0.25">
      <c r="A1381" s="1">
        <v>46154</v>
      </c>
      <c r="B1381" s="1">
        <v>46154</v>
      </c>
      <c r="C1381" t="s">
        <v>169</v>
      </c>
      <c r="D1381" s="38">
        <v>5</v>
      </c>
      <c r="E1381" t="s">
        <v>169</v>
      </c>
      <c r="F1381">
        <v>304049</v>
      </c>
      <c r="G1381" t="s">
        <v>318</v>
      </c>
      <c r="H13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4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hidden="1" x14ac:dyDescent="0.25">
      <c r="A1382" s="1">
        <v>46154</v>
      </c>
      <c r="B1382" s="1">
        <v>46154</v>
      </c>
      <c r="C1382" t="s">
        <v>169</v>
      </c>
      <c r="D1382" s="38">
        <v>5</v>
      </c>
      <c r="E1382" t="s">
        <v>169</v>
      </c>
      <c r="F1382">
        <v>408014</v>
      </c>
      <c r="G1382" t="s">
        <v>108</v>
      </c>
      <c r="H1382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4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hidden="1" x14ac:dyDescent="0.25">
      <c r="A1383" s="1">
        <v>46154</v>
      </c>
      <c r="B1383" s="1">
        <v>46154</v>
      </c>
      <c r="C1383" t="s">
        <v>169</v>
      </c>
      <c r="D1383" s="38">
        <v>5</v>
      </c>
      <c r="E1383" t="s">
        <v>169</v>
      </c>
      <c r="F1383">
        <v>407011</v>
      </c>
      <c r="G1383" t="s">
        <v>30</v>
      </c>
      <c r="H1383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4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hidden="1" x14ac:dyDescent="0.25">
      <c r="A1384" s="1">
        <v>46154</v>
      </c>
      <c r="B1384" s="1">
        <v>46154</v>
      </c>
      <c r="C1384" t="s">
        <v>169</v>
      </c>
      <c r="D1384" s="38">
        <v>5</v>
      </c>
      <c r="E1384" t="s">
        <v>169</v>
      </c>
      <c r="F1384">
        <v>412313</v>
      </c>
      <c r="G1384" t="s">
        <v>253</v>
      </c>
      <c r="H1384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4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hidden="1" x14ac:dyDescent="0.25">
      <c r="A1385" s="1">
        <v>46154</v>
      </c>
      <c r="B1385" s="1">
        <v>46154</v>
      </c>
      <c r="C1385" t="s">
        <v>169</v>
      </c>
      <c r="D1385" s="38">
        <v>5</v>
      </c>
      <c r="E1385" t="s">
        <v>169</v>
      </c>
      <c r="F1385" t="s">
        <v>386</v>
      </c>
      <c r="G1385" t="s">
        <v>83</v>
      </c>
      <c r="H1385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4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hidden="1" x14ac:dyDescent="0.25">
      <c r="A1386" s="1">
        <v>46154</v>
      </c>
      <c r="B1386" s="1">
        <v>46154</v>
      </c>
      <c r="C1386" t="s">
        <v>169</v>
      </c>
      <c r="D1386" s="38">
        <v>5</v>
      </c>
      <c r="E1386" t="s">
        <v>169</v>
      </c>
      <c r="F1386">
        <v>1901008</v>
      </c>
      <c r="G1386" t="s">
        <v>278</v>
      </c>
      <c r="H1386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4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hidden="1" x14ac:dyDescent="0.25">
      <c r="A1387" s="1">
        <v>46154</v>
      </c>
      <c r="B1387" s="1">
        <v>46154</v>
      </c>
      <c r="C1387" t="s">
        <v>169</v>
      </c>
      <c r="D1387" s="38">
        <v>5</v>
      </c>
      <c r="E1387" t="s">
        <v>169</v>
      </c>
      <c r="F1387">
        <v>1902013</v>
      </c>
      <c r="G1387" t="s">
        <v>338</v>
      </c>
      <c r="H1387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4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hidden="1" x14ac:dyDescent="0.25">
      <c r="A1388" s="1">
        <v>46154</v>
      </c>
      <c r="B1388" s="1">
        <v>46154</v>
      </c>
      <c r="C1388" t="s">
        <v>169</v>
      </c>
      <c r="D1388" s="38">
        <v>5</v>
      </c>
      <c r="E1388" t="s">
        <v>169</v>
      </c>
      <c r="F1388">
        <v>1902003</v>
      </c>
      <c r="G1388" t="s">
        <v>155</v>
      </c>
      <c r="H1388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4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hidden="1" x14ac:dyDescent="0.25">
      <c r="A1389" s="1">
        <v>46154</v>
      </c>
      <c r="B1389" s="1">
        <v>46154</v>
      </c>
      <c r="C1389" t="s">
        <v>169</v>
      </c>
      <c r="D1389" s="38">
        <v>5</v>
      </c>
      <c r="E1389" t="s">
        <v>169</v>
      </c>
      <c r="F1389">
        <v>302054</v>
      </c>
      <c r="G1389" t="s">
        <v>356</v>
      </c>
      <c r="H1389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4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hidden="1" x14ac:dyDescent="0.25">
      <c r="A1390" s="1">
        <v>46154</v>
      </c>
      <c r="B1390" s="1">
        <v>46154</v>
      </c>
      <c r="C1390" t="s">
        <v>169</v>
      </c>
      <c r="D1390" s="38">
        <v>5</v>
      </c>
      <c r="E1390" t="s">
        <v>169</v>
      </c>
      <c r="F1390">
        <v>302028</v>
      </c>
      <c r="G1390" t="s">
        <v>246</v>
      </c>
      <c r="H1390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4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hidden="1" x14ac:dyDescent="0.25">
      <c r="A1391" s="1">
        <v>46154</v>
      </c>
      <c r="B1391" s="1">
        <v>46154</v>
      </c>
      <c r="C1391" t="s">
        <v>169</v>
      </c>
      <c r="D1391" s="38">
        <v>5</v>
      </c>
      <c r="E1391" t="s">
        <v>169</v>
      </c>
      <c r="F1391">
        <v>302010</v>
      </c>
      <c r="G1391" t="s">
        <v>323</v>
      </c>
      <c r="H139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4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hidden="1" x14ac:dyDescent="0.25">
      <c r="A1392" s="1">
        <v>46154</v>
      </c>
      <c r="B1392" s="1">
        <v>46154</v>
      </c>
      <c r="C1392" t="s">
        <v>169</v>
      </c>
      <c r="D1392" s="38">
        <v>5</v>
      </c>
      <c r="E1392" t="s">
        <v>169</v>
      </c>
      <c r="F1392">
        <v>2302119</v>
      </c>
      <c r="G1392" t="s">
        <v>74</v>
      </c>
      <c r="H1392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2011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4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hidden="1" x14ac:dyDescent="0.25">
      <c r="A1393" s="1">
        <v>46154</v>
      </c>
      <c r="B1393" s="1">
        <v>46154</v>
      </c>
      <c r="C1393" t="s">
        <v>169</v>
      </c>
      <c r="D1393" s="38">
        <v>5</v>
      </c>
      <c r="E1393" t="s">
        <v>169</v>
      </c>
      <c r="F1393">
        <v>408034</v>
      </c>
      <c r="G1393" t="s">
        <v>250</v>
      </c>
      <c r="H1393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4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hidden="1" x14ac:dyDescent="0.25">
      <c r="A1394" s="1">
        <v>46154</v>
      </c>
      <c r="B1394" s="1">
        <v>46154</v>
      </c>
      <c r="C1394" t="s">
        <v>169</v>
      </c>
      <c r="D1394" s="38">
        <v>5</v>
      </c>
      <c r="E1394" t="s">
        <v>169</v>
      </c>
      <c r="F1394">
        <v>407185</v>
      </c>
      <c r="G1394" t="s">
        <v>43</v>
      </c>
      <c r="H1394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4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hidden="1" x14ac:dyDescent="0.25">
      <c r="A1395" s="1">
        <v>46154</v>
      </c>
      <c r="B1395" s="1">
        <v>46154</v>
      </c>
      <c r="C1395" t="s">
        <v>169</v>
      </c>
      <c r="D1395" s="38">
        <v>5</v>
      </c>
      <c r="E1395" t="s">
        <v>169</v>
      </c>
      <c r="F1395">
        <v>1405039</v>
      </c>
      <c r="G1395" t="s">
        <v>314</v>
      </c>
      <c r="H1395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4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hidden="1" x14ac:dyDescent="0.25">
      <c r="A1396" s="1">
        <v>46154</v>
      </c>
      <c r="B1396" s="1">
        <v>46154</v>
      </c>
      <c r="C1396" t="s">
        <v>169</v>
      </c>
      <c r="D1396" s="38">
        <v>5</v>
      </c>
      <c r="E1396" t="s">
        <v>169</v>
      </c>
      <c r="F1396">
        <v>1405040</v>
      </c>
      <c r="G1396" t="s">
        <v>449</v>
      </c>
      <c r="H1396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4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hidden="1" x14ac:dyDescent="0.25">
      <c r="A1397" s="1">
        <v>46154</v>
      </c>
      <c r="B1397" s="1">
        <v>46154</v>
      </c>
      <c r="C1397" t="s">
        <v>169</v>
      </c>
      <c r="D1397" s="38">
        <v>5</v>
      </c>
      <c r="E1397" t="s">
        <v>169</v>
      </c>
      <c r="F1397">
        <v>407423</v>
      </c>
      <c r="G1397" t="s">
        <v>106</v>
      </c>
      <c r="H1397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4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hidden="1" x14ac:dyDescent="0.25">
      <c r="A1398" s="1">
        <v>46154</v>
      </c>
      <c r="B1398" s="1">
        <v>46154</v>
      </c>
      <c r="C1398" t="s">
        <v>169</v>
      </c>
      <c r="D1398" s="38">
        <v>5</v>
      </c>
      <c r="E1398" t="s">
        <v>169</v>
      </c>
      <c r="F1398">
        <v>1803045</v>
      </c>
      <c r="G1398" t="s">
        <v>337</v>
      </c>
      <c r="H1398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4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hidden="1" x14ac:dyDescent="0.25">
      <c r="A1399" s="1">
        <v>46154</v>
      </c>
      <c r="B1399" s="1">
        <v>46154</v>
      </c>
      <c r="C1399" t="s">
        <v>169</v>
      </c>
      <c r="D1399" s="38">
        <v>5</v>
      </c>
      <c r="E1399" t="s">
        <v>169</v>
      </c>
      <c r="F1399">
        <v>1803044</v>
      </c>
      <c r="G1399" t="s">
        <v>336</v>
      </c>
      <c r="H1399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4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hidden="1" x14ac:dyDescent="0.25">
      <c r="A1400" s="1">
        <v>46154</v>
      </c>
      <c r="B1400" s="1">
        <v>46154</v>
      </c>
      <c r="C1400" t="s">
        <v>169</v>
      </c>
      <c r="D1400" s="38">
        <v>5</v>
      </c>
      <c r="E1400" t="s">
        <v>169</v>
      </c>
      <c r="F1400">
        <v>2508993</v>
      </c>
      <c r="G1400" t="s">
        <v>485</v>
      </c>
      <c r="H1400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4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hidden="1" x14ac:dyDescent="0.25">
      <c r="A1401" s="1">
        <v>46154</v>
      </c>
      <c r="B1401" s="1">
        <v>46154</v>
      </c>
      <c r="C1401" t="s">
        <v>169</v>
      </c>
      <c r="D1401" s="38">
        <v>5</v>
      </c>
      <c r="E1401" t="s">
        <v>169</v>
      </c>
      <c r="F1401">
        <v>2508994</v>
      </c>
      <c r="G1401" t="s">
        <v>486</v>
      </c>
      <c r="H140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4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hidden="1" x14ac:dyDescent="0.25">
      <c r="A1402" s="1">
        <v>46154</v>
      </c>
      <c r="B1402" s="1">
        <v>46154</v>
      </c>
      <c r="C1402" t="s">
        <v>169</v>
      </c>
      <c r="D1402" s="38">
        <v>5</v>
      </c>
      <c r="E1402" t="s">
        <v>169</v>
      </c>
      <c r="F1402">
        <v>2508992</v>
      </c>
      <c r="G1402" t="s">
        <v>484</v>
      </c>
      <c r="H1402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4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hidden="1" x14ac:dyDescent="0.25">
      <c r="A1403" s="1">
        <v>46154</v>
      </c>
      <c r="B1403" s="1">
        <v>46154</v>
      </c>
      <c r="C1403" t="s">
        <v>169</v>
      </c>
      <c r="D1403" s="38">
        <v>5</v>
      </c>
      <c r="E1403" t="s">
        <v>169</v>
      </c>
      <c r="F1403">
        <v>2508991</v>
      </c>
      <c r="G1403" t="s">
        <v>483</v>
      </c>
      <c r="H1403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4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hidden="1" x14ac:dyDescent="0.25">
      <c r="A1404" s="1">
        <v>46154</v>
      </c>
      <c r="B1404" s="1">
        <v>46154</v>
      </c>
      <c r="C1404" t="s">
        <v>169</v>
      </c>
      <c r="D1404" s="38">
        <v>5</v>
      </c>
      <c r="E1404" t="s">
        <v>169</v>
      </c>
      <c r="F1404">
        <v>2508990</v>
      </c>
      <c r="G1404" t="s">
        <v>482</v>
      </c>
      <c r="H1404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4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hidden="1" x14ac:dyDescent="0.25">
      <c r="A1405" s="1">
        <v>46154</v>
      </c>
      <c r="B1405" s="1">
        <v>46154</v>
      </c>
      <c r="C1405" t="s">
        <v>169</v>
      </c>
      <c r="D1405" s="38">
        <v>5</v>
      </c>
      <c r="E1405" t="s">
        <v>169</v>
      </c>
      <c r="F1405">
        <v>1405025</v>
      </c>
      <c r="G1405" t="s">
        <v>189</v>
      </c>
      <c r="H1405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4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hidden="1" x14ac:dyDescent="0.25">
      <c r="A1406" s="1">
        <v>46154</v>
      </c>
      <c r="B1406" s="1">
        <v>46154</v>
      </c>
      <c r="C1406" t="s">
        <v>169</v>
      </c>
      <c r="D1406" s="38">
        <v>5</v>
      </c>
      <c r="E1406" t="s">
        <v>169</v>
      </c>
      <c r="F1406">
        <v>106022</v>
      </c>
      <c r="G1406" t="s">
        <v>245</v>
      </c>
      <c r="H1406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4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hidden="1" x14ac:dyDescent="0.25">
      <c r="A1407" s="1">
        <v>46154</v>
      </c>
      <c r="B1407" s="1">
        <v>46154</v>
      </c>
      <c r="C1407" t="s">
        <v>169</v>
      </c>
      <c r="D1407" s="38">
        <v>5</v>
      </c>
      <c r="E1407" t="s">
        <v>169</v>
      </c>
      <c r="F1407" t="s">
        <v>94</v>
      </c>
      <c r="G1407" t="s">
        <v>95</v>
      </c>
      <c r="H1407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4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hidden="1" x14ac:dyDescent="0.25">
      <c r="A1408" s="1">
        <v>46154</v>
      </c>
      <c r="B1408" s="1">
        <v>46154</v>
      </c>
      <c r="C1408" t="s">
        <v>169</v>
      </c>
      <c r="D1408" s="38">
        <v>5</v>
      </c>
      <c r="E1408" t="s">
        <v>169</v>
      </c>
      <c r="F1408">
        <v>1405040</v>
      </c>
      <c r="G1408" t="s">
        <v>449</v>
      </c>
      <c r="H1408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4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hidden="1" x14ac:dyDescent="0.25">
      <c r="A1409" s="1">
        <v>46154</v>
      </c>
      <c r="B1409" s="1">
        <v>46154</v>
      </c>
      <c r="C1409" t="s">
        <v>169</v>
      </c>
      <c r="D1409" s="38">
        <v>5</v>
      </c>
      <c r="E1409" t="s">
        <v>169</v>
      </c>
      <c r="F1409">
        <v>2508988</v>
      </c>
      <c r="G1409" t="s">
        <v>467</v>
      </c>
      <c r="H1409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4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hidden="1" x14ac:dyDescent="0.25">
      <c r="A1410" s="1">
        <v>46154</v>
      </c>
      <c r="B1410" s="1">
        <v>46154</v>
      </c>
      <c r="C1410" t="s">
        <v>169</v>
      </c>
      <c r="D1410" s="38">
        <v>5</v>
      </c>
      <c r="E1410" t="s">
        <v>169</v>
      </c>
      <c r="F1410">
        <v>2304056</v>
      </c>
      <c r="G1410" t="s">
        <v>417</v>
      </c>
      <c r="H1410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4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hidden="1" x14ac:dyDescent="0.25">
      <c r="A1411" s="1">
        <v>46155</v>
      </c>
      <c r="B1411" s="1">
        <v>46155</v>
      </c>
      <c r="C1411" t="s">
        <v>169</v>
      </c>
      <c r="D1411" s="38">
        <v>5</v>
      </c>
      <c r="E1411" t="s">
        <v>169</v>
      </c>
      <c r="F1411">
        <v>617016</v>
      </c>
      <c r="G1411" t="s">
        <v>133</v>
      </c>
      <c r="H141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4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hidden="1" x14ac:dyDescent="0.25">
      <c r="A1412" s="1">
        <v>46155</v>
      </c>
      <c r="B1412" s="1">
        <v>46155</v>
      </c>
      <c r="C1412" t="s">
        <v>169</v>
      </c>
      <c r="D1412" s="38">
        <v>5</v>
      </c>
      <c r="E1412" t="s">
        <v>169</v>
      </c>
      <c r="F1412">
        <v>617057</v>
      </c>
      <c r="G1412" t="s">
        <v>134</v>
      </c>
      <c r="H1412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4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hidden="1" x14ac:dyDescent="0.25">
      <c r="A1413" s="1">
        <v>46155</v>
      </c>
      <c r="B1413" s="1">
        <v>46155</v>
      </c>
      <c r="C1413" t="s">
        <v>169</v>
      </c>
      <c r="D1413" s="38">
        <v>5</v>
      </c>
      <c r="E1413" t="s">
        <v>169</v>
      </c>
      <c r="F1413">
        <v>2304053</v>
      </c>
      <c r="G1413" t="s">
        <v>213</v>
      </c>
      <c r="H1413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4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hidden="1" x14ac:dyDescent="0.25">
      <c r="A1414" s="1">
        <v>46155</v>
      </c>
      <c r="B1414" s="1">
        <v>46155</v>
      </c>
      <c r="C1414" t="s">
        <v>169</v>
      </c>
      <c r="D1414" s="38">
        <v>5</v>
      </c>
      <c r="E1414" t="s">
        <v>169</v>
      </c>
      <c r="F1414">
        <v>2304002</v>
      </c>
      <c r="G1414" t="s">
        <v>212</v>
      </c>
      <c r="H1414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4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hidden="1" x14ac:dyDescent="0.25">
      <c r="A1415" s="1">
        <v>46155</v>
      </c>
      <c r="B1415" s="1">
        <v>46155</v>
      </c>
      <c r="C1415" t="s">
        <v>169</v>
      </c>
      <c r="D1415" s="38">
        <v>5</v>
      </c>
      <c r="E1415" t="s">
        <v>169</v>
      </c>
      <c r="F1415">
        <v>2302119</v>
      </c>
      <c r="G1415" t="s">
        <v>74</v>
      </c>
      <c r="H1415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4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hidden="1" x14ac:dyDescent="0.25">
      <c r="A1416" s="1">
        <v>46155</v>
      </c>
      <c r="B1416" s="1">
        <v>46155</v>
      </c>
      <c r="C1416" t="s">
        <v>169</v>
      </c>
      <c r="D1416" s="38">
        <v>5</v>
      </c>
      <c r="E1416" t="s">
        <v>169</v>
      </c>
      <c r="F1416">
        <v>407423</v>
      </c>
      <c r="G1416" t="s">
        <v>106</v>
      </c>
      <c r="H1416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4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hidden="1" x14ac:dyDescent="0.25">
      <c r="A1417" s="1">
        <v>46155</v>
      </c>
      <c r="B1417" s="1">
        <v>46155</v>
      </c>
      <c r="C1417" t="s">
        <v>169</v>
      </c>
      <c r="D1417" s="38">
        <v>5</v>
      </c>
      <c r="E1417" t="s">
        <v>169</v>
      </c>
      <c r="F1417">
        <v>407185</v>
      </c>
      <c r="G1417" t="s">
        <v>43</v>
      </c>
      <c r="H1417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4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hidden="1" x14ac:dyDescent="0.25">
      <c r="A1418" s="1">
        <v>46155</v>
      </c>
      <c r="B1418" s="1">
        <v>46155</v>
      </c>
      <c r="C1418" t="s">
        <v>169</v>
      </c>
      <c r="D1418" s="38">
        <v>5</v>
      </c>
      <c r="E1418" t="s">
        <v>169</v>
      </c>
      <c r="F1418">
        <v>1402016</v>
      </c>
      <c r="G1418" t="s">
        <v>795</v>
      </c>
      <c r="H1418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4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hidden="1" x14ac:dyDescent="0.25">
      <c r="A1419" s="1">
        <v>46155</v>
      </c>
      <c r="B1419" s="1">
        <v>46155</v>
      </c>
      <c r="C1419" t="s">
        <v>169</v>
      </c>
      <c r="D1419" s="38">
        <v>5</v>
      </c>
      <c r="E1419" t="s">
        <v>169</v>
      </c>
      <c r="F1419">
        <v>1101298</v>
      </c>
      <c r="G1419" t="s">
        <v>796</v>
      </c>
      <c r="H1419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4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hidden="1" x14ac:dyDescent="0.25">
      <c r="A1420" s="1">
        <v>46155</v>
      </c>
      <c r="B1420" s="1">
        <v>46155</v>
      </c>
      <c r="C1420" t="s">
        <v>169</v>
      </c>
      <c r="D1420" s="38">
        <v>5</v>
      </c>
      <c r="E1420" t="s">
        <v>169</v>
      </c>
      <c r="F1420">
        <v>1610023</v>
      </c>
      <c r="G1420" t="s">
        <v>351</v>
      </c>
      <c r="H1420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4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hidden="1" x14ac:dyDescent="0.25">
      <c r="A1421" s="1">
        <v>46155</v>
      </c>
      <c r="B1421" s="1">
        <v>46155</v>
      </c>
      <c r="C1421" t="s">
        <v>169</v>
      </c>
      <c r="D1421" s="38">
        <v>5</v>
      </c>
      <c r="E1421" t="s">
        <v>169</v>
      </c>
      <c r="F1421">
        <v>609007</v>
      </c>
      <c r="G1421" t="s">
        <v>210</v>
      </c>
      <c r="H142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4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hidden="1" x14ac:dyDescent="0.25">
      <c r="A1422" s="1">
        <v>46155</v>
      </c>
      <c r="B1422" s="1">
        <v>46155</v>
      </c>
      <c r="C1422" t="s">
        <v>169</v>
      </c>
      <c r="D1422" s="38">
        <v>5</v>
      </c>
      <c r="E1422" t="s">
        <v>169</v>
      </c>
      <c r="F1422">
        <v>907034</v>
      </c>
      <c r="G1422" t="s">
        <v>256</v>
      </c>
      <c r="H1422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4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hidden="1" x14ac:dyDescent="0.25">
      <c r="A1423" s="1">
        <v>46155</v>
      </c>
      <c r="B1423" s="1">
        <v>46155</v>
      </c>
      <c r="C1423" t="s">
        <v>169</v>
      </c>
      <c r="D1423" s="38">
        <v>5</v>
      </c>
      <c r="E1423" t="s">
        <v>169</v>
      </c>
      <c r="F1423">
        <v>2302098</v>
      </c>
      <c r="G1423" t="s">
        <v>24</v>
      </c>
      <c r="H1423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4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hidden="1" x14ac:dyDescent="0.25">
      <c r="A1424" s="1">
        <v>46155</v>
      </c>
      <c r="B1424" s="1">
        <v>46155</v>
      </c>
      <c r="C1424" t="s">
        <v>169</v>
      </c>
      <c r="D1424" s="38">
        <v>5</v>
      </c>
      <c r="E1424" t="s">
        <v>169</v>
      </c>
      <c r="F1424">
        <v>1701154</v>
      </c>
      <c r="G1424" t="s">
        <v>710</v>
      </c>
      <c r="H1424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4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hidden="1" x14ac:dyDescent="0.25">
      <c r="A1425" s="1">
        <v>46155</v>
      </c>
      <c r="B1425" s="1">
        <v>46155</v>
      </c>
      <c r="C1425" t="s">
        <v>169</v>
      </c>
      <c r="D1425" s="38">
        <v>5</v>
      </c>
      <c r="E1425" t="s">
        <v>169</v>
      </c>
      <c r="F1425">
        <v>1802175</v>
      </c>
      <c r="G1425" t="s">
        <v>269</v>
      </c>
      <c r="H1425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4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hidden="1" x14ac:dyDescent="0.25">
      <c r="A1426" s="1">
        <v>46155</v>
      </c>
      <c r="B1426" s="1">
        <v>46155</v>
      </c>
      <c r="C1426" t="s">
        <v>169</v>
      </c>
      <c r="D1426" s="38">
        <v>5</v>
      </c>
      <c r="E1426" t="s">
        <v>169</v>
      </c>
      <c r="F1426">
        <v>1802174</v>
      </c>
      <c r="G1426" t="s">
        <v>268</v>
      </c>
      <c r="H1426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4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hidden="1" x14ac:dyDescent="0.25">
      <c r="A1427" s="1">
        <v>46155</v>
      </c>
      <c r="B1427" s="1">
        <v>46155</v>
      </c>
      <c r="C1427" t="s">
        <v>169</v>
      </c>
      <c r="D1427" s="38">
        <v>5</v>
      </c>
      <c r="E1427" t="s">
        <v>169</v>
      </c>
      <c r="F1427">
        <v>1802173</v>
      </c>
      <c r="G1427" t="s">
        <v>267</v>
      </c>
      <c r="H1427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4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hidden="1" x14ac:dyDescent="0.25">
      <c r="A1428" s="1">
        <v>46155</v>
      </c>
      <c r="B1428" s="1">
        <v>46155</v>
      </c>
      <c r="C1428" t="s">
        <v>169</v>
      </c>
      <c r="D1428" s="38">
        <v>5</v>
      </c>
      <c r="E1428" t="s">
        <v>169</v>
      </c>
      <c r="F1428">
        <v>5316484</v>
      </c>
      <c r="G1428" t="s">
        <v>96</v>
      </c>
      <c r="H1428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4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hidden="1" x14ac:dyDescent="0.25">
      <c r="A1429" s="1">
        <v>46155</v>
      </c>
      <c r="B1429" s="1">
        <v>46155</v>
      </c>
      <c r="C1429" t="s">
        <v>169</v>
      </c>
      <c r="D1429" s="38">
        <v>5</v>
      </c>
      <c r="E1429" t="s">
        <v>169</v>
      </c>
      <c r="F1429">
        <v>5316483</v>
      </c>
      <c r="G1429" t="s">
        <v>97</v>
      </c>
      <c r="H1429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4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hidden="1" x14ac:dyDescent="0.25">
      <c r="A1430" s="1">
        <v>46155</v>
      </c>
      <c r="B1430" s="1">
        <v>46155</v>
      </c>
      <c r="C1430" t="s">
        <v>169</v>
      </c>
      <c r="D1430" s="38">
        <v>5</v>
      </c>
      <c r="E1430" t="s">
        <v>169</v>
      </c>
      <c r="F1430">
        <v>1802170</v>
      </c>
      <c r="G1430" t="s">
        <v>264</v>
      </c>
      <c r="H1430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4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hidden="1" x14ac:dyDescent="0.25">
      <c r="A1431" s="1">
        <v>46155</v>
      </c>
      <c r="B1431" s="1">
        <v>46155</v>
      </c>
      <c r="C1431" t="s">
        <v>169</v>
      </c>
      <c r="D1431" s="38">
        <v>5</v>
      </c>
      <c r="E1431" t="s">
        <v>169</v>
      </c>
      <c r="F1431">
        <v>1802169</v>
      </c>
      <c r="G1431" t="s">
        <v>263</v>
      </c>
      <c r="H143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4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hidden="1" x14ac:dyDescent="0.25">
      <c r="A1432" s="1">
        <v>46155</v>
      </c>
      <c r="B1432" s="1">
        <v>46155</v>
      </c>
      <c r="C1432" t="s">
        <v>169</v>
      </c>
      <c r="D1432" s="38">
        <v>5</v>
      </c>
      <c r="E1432" t="s">
        <v>169</v>
      </c>
      <c r="F1432">
        <v>1802167</v>
      </c>
      <c r="G1432" t="s">
        <v>262</v>
      </c>
      <c r="H1432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4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hidden="1" x14ac:dyDescent="0.25">
      <c r="A1433" s="1">
        <v>46155</v>
      </c>
      <c r="B1433" s="1">
        <v>46155</v>
      </c>
      <c r="C1433" t="s">
        <v>169</v>
      </c>
      <c r="D1433" s="38">
        <v>5</v>
      </c>
      <c r="E1433" t="s">
        <v>169</v>
      </c>
      <c r="F1433">
        <v>1801229</v>
      </c>
      <c r="G1433" t="s">
        <v>259</v>
      </c>
      <c r="H1433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4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hidden="1" x14ac:dyDescent="0.25">
      <c r="A1434" s="1">
        <v>46155</v>
      </c>
      <c r="B1434" s="1">
        <v>46155</v>
      </c>
      <c r="C1434" t="s">
        <v>169</v>
      </c>
      <c r="D1434" s="38">
        <v>5</v>
      </c>
      <c r="E1434" t="s">
        <v>169</v>
      </c>
      <c r="F1434">
        <v>1808146</v>
      </c>
      <c r="G1434" t="s">
        <v>274</v>
      </c>
      <c r="H1434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4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hidden="1" x14ac:dyDescent="0.25">
      <c r="A1435" s="1">
        <v>46155</v>
      </c>
      <c r="B1435" s="1">
        <v>46155</v>
      </c>
      <c r="C1435" t="s">
        <v>169</v>
      </c>
      <c r="D1435" s="38">
        <v>5</v>
      </c>
      <c r="E1435" t="s">
        <v>169</v>
      </c>
      <c r="F1435">
        <v>2304002</v>
      </c>
      <c r="G1435" t="s">
        <v>212</v>
      </c>
      <c r="H1435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4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hidden="1" x14ac:dyDescent="0.25">
      <c r="A1436" s="1">
        <v>46155</v>
      </c>
      <c r="B1436" s="1">
        <v>46155</v>
      </c>
      <c r="C1436" t="s">
        <v>169</v>
      </c>
      <c r="D1436" s="38">
        <v>5</v>
      </c>
      <c r="E1436" t="s">
        <v>169</v>
      </c>
      <c r="F1436">
        <v>1808148</v>
      </c>
      <c r="G1436" t="s">
        <v>276</v>
      </c>
      <c r="H1436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4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hidden="1" x14ac:dyDescent="0.25">
      <c r="A1437" s="1">
        <v>46155</v>
      </c>
      <c r="B1437" s="1">
        <v>46155</v>
      </c>
      <c r="C1437" t="s">
        <v>169</v>
      </c>
      <c r="D1437" s="38">
        <v>5</v>
      </c>
      <c r="E1437" t="s">
        <v>169</v>
      </c>
      <c r="F1437">
        <v>1808147</v>
      </c>
      <c r="G1437" t="s">
        <v>275</v>
      </c>
      <c r="H1437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4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hidden="1" x14ac:dyDescent="0.25">
      <c r="A1438" s="1">
        <v>46155</v>
      </c>
      <c r="B1438" s="1">
        <v>46155</v>
      </c>
      <c r="C1438" t="s">
        <v>169</v>
      </c>
      <c r="D1438" s="38">
        <v>5</v>
      </c>
      <c r="E1438" t="s">
        <v>169</v>
      </c>
      <c r="F1438">
        <v>1808145</v>
      </c>
      <c r="G1438" t="s">
        <v>273</v>
      </c>
      <c r="H1438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4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hidden="1" x14ac:dyDescent="0.25">
      <c r="A1439" s="1">
        <v>46155</v>
      </c>
      <c r="B1439" s="1">
        <v>46155</v>
      </c>
      <c r="C1439" t="s">
        <v>169</v>
      </c>
      <c r="D1439" s="38">
        <v>5</v>
      </c>
      <c r="E1439" t="s">
        <v>169</v>
      </c>
      <c r="F1439">
        <v>1808144</v>
      </c>
      <c r="G1439" t="s">
        <v>272</v>
      </c>
      <c r="H1439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4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hidden="1" x14ac:dyDescent="0.25">
      <c r="A1440" s="1">
        <v>46155</v>
      </c>
      <c r="B1440" s="1">
        <v>46155</v>
      </c>
      <c r="C1440" t="s">
        <v>169</v>
      </c>
      <c r="D1440" s="38">
        <v>5</v>
      </c>
      <c r="E1440" t="s">
        <v>169</v>
      </c>
      <c r="F1440">
        <v>407795</v>
      </c>
      <c r="G1440" t="s">
        <v>325</v>
      </c>
      <c r="H1440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4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hidden="1" x14ac:dyDescent="0.25">
      <c r="A1441" s="1">
        <v>46155</v>
      </c>
      <c r="B1441" s="1">
        <v>46155</v>
      </c>
      <c r="C1441" t="s">
        <v>169</v>
      </c>
      <c r="D1441" s="38">
        <v>5</v>
      </c>
      <c r="E1441" t="s">
        <v>169</v>
      </c>
      <c r="F1441">
        <v>1802166</v>
      </c>
      <c r="G1441" t="s">
        <v>283</v>
      </c>
      <c r="H144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4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hidden="1" x14ac:dyDescent="0.25">
      <c r="A1442" s="1">
        <v>46155</v>
      </c>
      <c r="B1442" s="1">
        <v>46155</v>
      </c>
      <c r="C1442" t="s">
        <v>169</v>
      </c>
      <c r="D1442" s="38">
        <v>5</v>
      </c>
      <c r="E1442" t="s">
        <v>169</v>
      </c>
      <c r="F1442">
        <v>1703006</v>
      </c>
      <c r="G1442" t="s">
        <v>48</v>
      </c>
      <c r="H1442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4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hidden="1" x14ac:dyDescent="0.25">
      <c r="A1443" s="1">
        <v>46155</v>
      </c>
      <c r="B1443" s="1">
        <v>46155</v>
      </c>
      <c r="C1443" t="s">
        <v>169</v>
      </c>
      <c r="D1443" s="38">
        <v>5</v>
      </c>
      <c r="E1443" t="s">
        <v>169</v>
      </c>
      <c r="F1443">
        <v>5316509</v>
      </c>
      <c r="G1443" t="s">
        <v>56</v>
      </c>
      <c r="H1443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4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hidden="1" x14ac:dyDescent="0.25">
      <c r="A1444" s="1">
        <v>46155</v>
      </c>
      <c r="B1444" s="1">
        <v>46155</v>
      </c>
      <c r="C1444" t="s">
        <v>169</v>
      </c>
      <c r="D1444" s="38">
        <v>5</v>
      </c>
      <c r="E1444" t="s">
        <v>169</v>
      </c>
      <c r="F1444">
        <v>5316507</v>
      </c>
      <c r="G1444" t="s">
        <v>55</v>
      </c>
      <c r="H1444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4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hidden="1" x14ac:dyDescent="0.25">
      <c r="A1445" s="1">
        <v>46155</v>
      </c>
      <c r="B1445" s="1">
        <v>46155</v>
      </c>
      <c r="C1445" t="s">
        <v>169</v>
      </c>
      <c r="D1445" s="38">
        <v>5</v>
      </c>
      <c r="E1445" t="s">
        <v>169</v>
      </c>
      <c r="F1445">
        <v>2505426</v>
      </c>
      <c r="G1445" t="s">
        <v>708</v>
      </c>
      <c r="H1445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4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hidden="1" x14ac:dyDescent="0.25">
      <c r="A1446" s="1">
        <v>46155</v>
      </c>
      <c r="B1446" s="1">
        <v>46155</v>
      </c>
      <c r="C1446" t="s">
        <v>169</v>
      </c>
      <c r="D1446" s="38">
        <v>5</v>
      </c>
      <c r="E1446" t="s">
        <v>169</v>
      </c>
      <c r="F1446">
        <v>1802176</v>
      </c>
      <c r="G1446" t="s">
        <v>196</v>
      </c>
      <c r="H1446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4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hidden="1" x14ac:dyDescent="0.25">
      <c r="A1447" s="1">
        <v>46155</v>
      </c>
      <c r="B1447" s="1">
        <v>46155</v>
      </c>
      <c r="C1447" t="s">
        <v>169</v>
      </c>
      <c r="D1447" s="38">
        <v>5</v>
      </c>
      <c r="E1447" t="s">
        <v>169</v>
      </c>
      <c r="F1447">
        <v>1802165</v>
      </c>
      <c r="G1447" t="s">
        <v>261</v>
      </c>
      <c r="H1447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4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hidden="1" x14ac:dyDescent="0.25">
      <c r="A1448" s="1">
        <v>46155</v>
      </c>
      <c r="B1448" s="1">
        <v>46155</v>
      </c>
      <c r="C1448" t="s">
        <v>169</v>
      </c>
      <c r="D1448" s="38">
        <v>5</v>
      </c>
      <c r="E1448" t="s">
        <v>169</v>
      </c>
      <c r="F1448">
        <v>609007</v>
      </c>
      <c r="G1448" t="s">
        <v>210</v>
      </c>
      <c r="H1448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4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hidden="1" x14ac:dyDescent="0.25">
      <c r="A1449" s="1">
        <v>46155</v>
      </c>
      <c r="B1449" s="1">
        <v>46155</v>
      </c>
      <c r="C1449" t="s">
        <v>169</v>
      </c>
      <c r="D1449" s="38">
        <v>5</v>
      </c>
      <c r="E1449" t="s">
        <v>169</v>
      </c>
      <c r="F1449">
        <v>408034</v>
      </c>
      <c r="G1449" t="s">
        <v>250</v>
      </c>
      <c r="H1449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4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hidden="1" x14ac:dyDescent="0.25">
      <c r="A1450" s="1">
        <v>46155</v>
      </c>
      <c r="B1450" s="1">
        <v>46155</v>
      </c>
      <c r="C1450" t="s">
        <v>169</v>
      </c>
      <c r="D1450" s="38">
        <v>5</v>
      </c>
      <c r="E1450" t="s">
        <v>169</v>
      </c>
      <c r="F1450" t="s">
        <v>559</v>
      </c>
      <c r="G1450" t="s">
        <v>705</v>
      </c>
      <c r="H1450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4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hidden="1" x14ac:dyDescent="0.25">
      <c r="A1451" s="1">
        <v>46155</v>
      </c>
      <c r="B1451" s="1">
        <v>46155</v>
      </c>
      <c r="C1451" t="s">
        <v>169</v>
      </c>
      <c r="D1451" s="38">
        <v>5</v>
      </c>
      <c r="E1451" t="s">
        <v>169</v>
      </c>
      <c r="F1451">
        <v>408034</v>
      </c>
      <c r="G1451" t="s">
        <v>250</v>
      </c>
      <c r="H145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4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hidden="1" x14ac:dyDescent="0.25">
      <c r="A1452" s="1">
        <v>46155</v>
      </c>
      <c r="B1452" s="1">
        <v>46155</v>
      </c>
      <c r="C1452" t="s">
        <v>169</v>
      </c>
      <c r="D1452" s="38">
        <v>5</v>
      </c>
      <c r="E1452" t="s">
        <v>169</v>
      </c>
      <c r="F1452">
        <v>2505058</v>
      </c>
      <c r="G1452" t="s">
        <v>142</v>
      </c>
      <c r="H1452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4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hidden="1" x14ac:dyDescent="0.25">
      <c r="A1453" s="1">
        <v>46155</v>
      </c>
      <c r="B1453" s="1">
        <v>46155</v>
      </c>
      <c r="C1453" t="s">
        <v>169</v>
      </c>
      <c r="D1453" s="38">
        <v>5</v>
      </c>
      <c r="E1453" t="s">
        <v>169</v>
      </c>
      <c r="F1453">
        <v>609007</v>
      </c>
      <c r="G1453" t="s">
        <v>210</v>
      </c>
      <c r="H1453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4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hidden="1" x14ac:dyDescent="0.25">
      <c r="A1454" s="1">
        <v>46155</v>
      </c>
      <c r="B1454" s="1">
        <v>46155</v>
      </c>
      <c r="C1454" t="s">
        <v>169</v>
      </c>
      <c r="D1454" s="38">
        <v>5</v>
      </c>
      <c r="E1454" t="s">
        <v>169</v>
      </c>
      <c r="F1454">
        <v>1610023</v>
      </c>
      <c r="G1454" t="s">
        <v>351</v>
      </c>
      <c r="H1454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4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hidden="1" x14ac:dyDescent="0.25">
      <c r="A1455" s="1">
        <v>46155</v>
      </c>
      <c r="B1455" s="1">
        <v>46155</v>
      </c>
      <c r="C1455" t="s">
        <v>169</v>
      </c>
      <c r="D1455" s="38">
        <v>5</v>
      </c>
      <c r="E1455" t="s">
        <v>169</v>
      </c>
      <c r="F1455">
        <v>2508987</v>
      </c>
      <c r="G1455" t="s">
        <v>305</v>
      </c>
      <c r="H1455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4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hidden="1" x14ac:dyDescent="0.25">
      <c r="A1456" s="1">
        <v>46155</v>
      </c>
      <c r="B1456" s="1">
        <v>46155</v>
      </c>
      <c r="C1456" t="s">
        <v>169</v>
      </c>
      <c r="D1456" s="38">
        <v>5</v>
      </c>
      <c r="E1456" t="s">
        <v>169</v>
      </c>
      <c r="F1456">
        <v>1803045</v>
      </c>
      <c r="G1456" t="s">
        <v>337</v>
      </c>
      <c r="H1456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4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hidden="1" x14ac:dyDescent="0.25">
      <c r="A1457" s="1">
        <v>46155</v>
      </c>
      <c r="B1457" s="1">
        <v>46155</v>
      </c>
      <c r="C1457" t="s">
        <v>169</v>
      </c>
      <c r="D1457" s="38">
        <v>5</v>
      </c>
      <c r="E1457" t="s">
        <v>169</v>
      </c>
      <c r="F1457">
        <v>1803044</v>
      </c>
      <c r="G1457" t="s">
        <v>336</v>
      </c>
      <c r="H1457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4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hidden="1" x14ac:dyDescent="0.25">
      <c r="A1458" s="1">
        <v>46155</v>
      </c>
      <c r="B1458" s="1">
        <v>46155</v>
      </c>
      <c r="C1458" t="s">
        <v>169</v>
      </c>
      <c r="D1458" s="38">
        <v>5</v>
      </c>
      <c r="E1458" t="s">
        <v>169</v>
      </c>
      <c r="F1458">
        <v>407423</v>
      </c>
      <c r="G1458" t="s">
        <v>106</v>
      </c>
      <c r="H1458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4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hidden="1" x14ac:dyDescent="0.25">
      <c r="A1459" s="1">
        <v>46155</v>
      </c>
      <c r="B1459" s="1">
        <v>46155</v>
      </c>
      <c r="C1459" t="s">
        <v>169</v>
      </c>
      <c r="D1459" s="38">
        <v>5</v>
      </c>
      <c r="E1459" t="s">
        <v>169</v>
      </c>
      <c r="F1459">
        <v>407185</v>
      </c>
      <c r="G1459" t="s">
        <v>43</v>
      </c>
      <c r="H1459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4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hidden="1" x14ac:dyDescent="0.25">
      <c r="A1460" s="1">
        <v>46155</v>
      </c>
      <c r="B1460" s="1">
        <v>46155</v>
      </c>
      <c r="C1460" t="s">
        <v>169</v>
      </c>
      <c r="D1460" s="38">
        <v>5</v>
      </c>
      <c r="E1460" t="s">
        <v>169</v>
      </c>
      <c r="F1460">
        <v>617055</v>
      </c>
      <c r="G1460" t="s">
        <v>182</v>
      </c>
      <c r="H1460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4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hidden="1" x14ac:dyDescent="0.25">
      <c r="A1461" s="1">
        <v>46155</v>
      </c>
      <c r="B1461" s="1">
        <v>46155</v>
      </c>
      <c r="C1461" t="s">
        <v>169</v>
      </c>
      <c r="D1461" s="38">
        <v>5</v>
      </c>
      <c r="E1461" t="s">
        <v>169</v>
      </c>
      <c r="F1461">
        <v>1402016</v>
      </c>
      <c r="G1461" t="s">
        <v>795</v>
      </c>
      <c r="H146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4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hidden="1" x14ac:dyDescent="0.25">
      <c r="A1462" s="1">
        <v>46155</v>
      </c>
      <c r="B1462" s="1">
        <v>46155</v>
      </c>
      <c r="C1462" t="s">
        <v>169</v>
      </c>
      <c r="D1462" s="38">
        <v>5</v>
      </c>
      <c r="E1462" t="s">
        <v>169</v>
      </c>
      <c r="F1462">
        <v>1101298</v>
      </c>
      <c r="G1462" t="s">
        <v>796</v>
      </c>
      <c r="H1462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4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hidden="1" x14ac:dyDescent="0.25">
      <c r="A1463" s="1">
        <v>46155</v>
      </c>
      <c r="B1463" s="1">
        <v>46155</v>
      </c>
      <c r="C1463" t="s">
        <v>169</v>
      </c>
      <c r="D1463" s="38">
        <v>5</v>
      </c>
      <c r="E1463" t="s">
        <v>169</v>
      </c>
      <c r="F1463">
        <v>2304053</v>
      </c>
      <c r="G1463" t="s">
        <v>213</v>
      </c>
      <c r="H1463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4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hidden="1" x14ac:dyDescent="0.25">
      <c r="A1464" s="1">
        <v>46155</v>
      </c>
      <c r="B1464" s="1">
        <v>46155</v>
      </c>
      <c r="C1464" t="s">
        <v>169</v>
      </c>
      <c r="D1464" s="38">
        <v>5</v>
      </c>
      <c r="E1464" t="s">
        <v>169</v>
      </c>
      <c r="F1464">
        <v>307096</v>
      </c>
      <c r="G1464" t="s">
        <v>249</v>
      </c>
      <c r="H1464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4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hidden="1" x14ac:dyDescent="0.25">
      <c r="A1465" s="1">
        <v>46155</v>
      </c>
      <c r="B1465" s="1">
        <v>46155</v>
      </c>
      <c r="C1465" t="s">
        <v>169</v>
      </c>
      <c r="D1465" s="38">
        <v>5</v>
      </c>
      <c r="E1465" t="s">
        <v>169</v>
      </c>
      <c r="F1465">
        <v>1405040</v>
      </c>
      <c r="G1465" t="s">
        <v>449</v>
      </c>
      <c r="H1465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4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hidden="1" x14ac:dyDescent="0.25">
      <c r="A1466" s="1">
        <v>46155</v>
      </c>
      <c r="B1466" s="1">
        <v>46155</v>
      </c>
      <c r="C1466" t="s">
        <v>169</v>
      </c>
      <c r="D1466" s="38">
        <v>5</v>
      </c>
      <c r="E1466" t="s">
        <v>169</v>
      </c>
      <c r="F1466">
        <v>704079</v>
      </c>
      <c r="G1466" t="s">
        <v>209</v>
      </c>
      <c r="H1466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4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hidden="1" x14ac:dyDescent="0.25">
      <c r="A1467" s="1">
        <v>46155</v>
      </c>
      <c r="B1467" s="1">
        <v>46155</v>
      </c>
      <c r="C1467" t="s">
        <v>169</v>
      </c>
      <c r="D1467" s="38">
        <v>5</v>
      </c>
      <c r="E1467" t="s">
        <v>169</v>
      </c>
      <c r="F1467">
        <v>617057</v>
      </c>
      <c r="G1467" t="s">
        <v>134</v>
      </c>
      <c r="H1467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4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hidden="1" x14ac:dyDescent="0.25">
      <c r="A1468" s="1">
        <v>46155</v>
      </c>
      <c r="B1468" s="1">
        <v>46155</v>
      </c>
      <c r="C1468" t="s">
        <v>169</v>
      </c>
      <c r="D1468" s="38">
        <v>5</v>
      </c>
      <c r="E1468" t="s">
        <v>169</v>
      </c>
      <c r="F1468">
        <v>617016</v>
      </c>
      <c r="G1468" t="s">
        <v>133</v>
      </c>
      <c r="H1468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4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hidden="1" x14ac:dyDescent="0.25">
      <c r="A1469" s="1">
        <v>46156</v>
      </c>
      <c r="B1469" s="1">
        <v>46156</v>
      </c>
      <c r="C1469" t="s">
        <v>169</v>
      </c>
      <c r="D1469" s="38">
        <v>5</v>
      </c>
      <c r="E1469" t="s">
        <v>169</v>
      </c>
      <c r="F1469">
        <v>407423</v>
      </c>
      <c r="G1469" t="s">
        <v>106</v>
      </c>
      <c r="H1469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4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hidden="1" x14ac:dyDescent="0.25">
      <c r="A1470" s="1">
        <v>46156</v>
      </c>
      <c r="B1470" s="1">
        <v>46156</v>
      </c>
      <c r="C1470" t="s">
        <v>169</v>
      </c>
      <c r="D1470" s="38">
        <v>5</v>
      </c>
      <c r="E1470" t="s">
        <v>169</v>
      </c>
      <c r="F1470">
        <v>1901086</v>
      </c>
      <c r="G1470" t="s">
        <v>279</v>
      </c>
      <c r="H1470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4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hidden="1" x14ac:dyDescent="0.25">
      <c r="A1471" s="1">
        <v>46156</v>
      </c>
      <c r="B1471" s="1">
        <v>46156</v>
      </c>
      <c r="C1471" t="s">
        <v>169</v>
      </c>
      <c r="D1471" s="38">
        <v>5</v>
      </c>
      <c r="E1471" t="s">
        <v>169</v>
      </c>
      <c r="F1471">
        <v>1901466</v>
      </c>
      <c r="G1471" t="s">
        <v>398</v>
      </c>
      <c r="H147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4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hidden="1" x14ac:dyDescent="0.25">
      <c r="A1472" s="1">
        <v>46156</v>
      </c>
      <c r="B1472" s="1">
        <v>46156</v>
      </c>
      <c r="C1472" t="s">
        <v>169</v>
      </c>
      <c r="D1472" s="38">
        <v>5</v>
      </c>
      <c r="E1472" t="s">
        <v>169</v>
      </c>
      <c r="F1472">
        <v>1901038</v>
      </c>
      <c r="G1472" t="s">
        <v>39</v>
      </c>
      <c r="H1472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4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hidden="1" x14ac:dyDescent="0.25">
      <c r="A1473" s="1">
        <v>46156</v>
      </c>
      <c r="B1473" s="1">
        <v>46156</v>
      </c>
      <c r="C1473" t="s">
        <v>169</v>
      </c>
      <c r="D1473" s="38">
        <v>5</v>
      </c>
      <c r="E1473" t="s">
        <v>169</v>
      </c>
      <c r="F1473">
        <v>609008</v>
      </c>
      <c r="G1473" t="s">
        <v>57</v>
      </c>
      <c r="H1473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4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hidden="1" x14ac:dyDescent="0.25">
      <c r="A1474" s="1">
        <v>46156</v>
      </c>
      <c r="B1474" s="1">
        <v>46156</v>
      </c>
      <c r="C1474" t="s">
        <v>169</v>
      </c>
      <c r="D1474" s="38">
        <v>5</v>
      </c>
      <c r="E1474" t="s">
        <v>169</v>
      </c>
      <c r="F1474">
        <v>617057</v>
      </c>
      <c r="G1474" t="s">
        <v>134</v>
      </c>
      <c r="H1474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4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hidden="1" x14ac:dyDescent="0.25">
      <c r="A1475" s="1">
        <v>46156</v>
      </c>
      <c r="B1475" s="1">
        <v>46156</v>
      </c>
      <c r="C1475" t="s">
        <v>169</v>
      </c>
      <c r="D1475" s="38">
        <v>5</v>
      </c>
      <c r="E1475" t="s">
        <v>169</v>
      </c>
      <c r="F1475">
        <v>617055</v>
      </c>
      <c r="G1475" t="s">
        <v>182</v>
      </c>
      <c r="H1475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4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hidden="1" x14ac:dyDescent="0.25">
      <c r="A1476" s="1">
        <v>46156</v>
      </c>
      <c r="B1476" s="1">
        <v>46156</v>
      </c>
      <c r="C1476" t="s">
        <v>169</v>
      </c>
      <c r="D1476" s="38">
        <v>5</v>
      </c>
      <c r="E1476" t="s">
        <v>169</v>
      </c>
      <c r="F1476">
        <v>5309018</v>
      </c>
      <c r="G1476" t="s">
        <v>112</v>
      </c>
      <c r="H1476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4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hidden="1" x14ac:dyDescent="0.25">
      <c r="A1477" s="1">
        <v>46156</v>
      </c>
      <c r="B1477" s="1">
        <v>46156</v>
      </c>
      <c r="C1477" t="s">
        <v>169</v>
      </c>
      <c r="D1477" s="38">
        <v>5</v>
      </c>
      <c r="E1477" t="s">
        <v>169</v>
      </c>
      <c r="F1477">
        <v>302054</v>
      </c>
      <c r="G1477" t="s">
        <v>356</v>
      </c>
      <c r="H1477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4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hidden="1" x14ac:dyDescent="0.25">
      <c r="A1478" s="1">
        <v>46156</v>
      </c>
      <c r="B1478" s="1">
        <v>46156</v>
      </c>
      <c r="C1478" t="s">
        <v>169</v>
      </c>
      <c r="D1478" s="38">
        <v>5</v>
      </c>
      <c r="E1478" t="s">
        <v>169</v>
      </c>
      <c r="F1478">
        <v>1610023</v>
      </c>
      <c r="G1478" t="s">
        <v>351</v>
      </c>
      <c r="H1478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4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hidden="1" x14ac:dyDescent="0.25">
      <c r="A1479" s="1">
        <v>46156</v>
      </c>
      <c r="B1479" s="1">
        <v>46156</v>
      </c>
      <c r="C1479" t="s">
        <v>169</v>
      </c>
      <c r="D1479" s="38">
        <v>5</v>
      </c>
      <c r="E1479" t="s">
        <v>169</v>
      </c>
      <c r="F1479">
        <v>407427</v>
      </c>
      <c r="G1479" t="s">
        <v>172</v>
      </c>
      <c r="H1479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4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hidden="1" x14ac:dyDescent="0.25">
      <c r="A1480" s="1">
        <v>46156</v>
      </c>
      <c r="B1480" s="1">
        <v>46156</v>
      </c>
      <c r="C1480" t="s">
        <v>169</v>
      </c>
      <c r="D1480" s="38">
        <v>5</v>
      </c>
      <c r="E1480" t="s">
        <v>169</v>
      </c>
      <c r="F1480">
        <v>2304053</v>
      </c>
      <c r="G1480" t="s">
        <v>213</v>
      </c>
      <c r="H1480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4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hidden="1" x14ac:dyDescent="0.25">
      <c r="A1481" s="1">
        <v>46156</v>
      </c>
      <c r="B1481" s="1">
        <v>46156</v>
      </c>
      <c r="C1481" t="s">
        <v>169</v>
      </c>
      <c r="D1481" s="38">
        <v>5</v>
      </c>
      <c r="E1481" t="s">
        <v>169</v>
      </c>
      <c r="F1481">
        <v>2304002</v>
      </c>
      <c r="G1481" t="s">
        <v>212</v>
      </c>
      <c r="H14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4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hidden="1" x14ac:dyDescent="0.25">
      <c r="A1482" s="1">
        <v>46156</v>
      </c>
      <c r="B1482" s="1">
        <v>46156</v>
      </c>
      <c r="C1482" t="s">
        <v>169</v>
      </c>
      <c r="D1482" s="38">
        <v>5</v>
      </c>
      <c r="E1482" t="s">
        <v>169</v>
      </c>
      <c r="F1482" t="s">
        <v>21</v>
      </c>
      <c r="G1482" t="s">
        <v>22</v>
      </c>
      <c r="H1482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4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hidden="1" x14ac:dyDescent="0.25">
      <c r="A1483" s="1">
        <v>46156</v>
      </c>
      <c r="B1483" s="1">
        <v>46156</v>
      </c>
      <c r="C1483" t="s">
        <v>169</v>
      </c>
      <c r="D1483" s="38">
        <v>5</v>
      </c>
      <c r="E1483" t="s">
        <v>169</v>
      </c>
      <c r="F1483">
        <v>2302098</v>
      </c>
      <c r="G1483" t="s">
        <v>24</v>
      </c>
      <c r="H1483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4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hidden="1" x14ac:dyDescent="0.25">
      <c r="A1484" s="1">
        <v>46156</v>
      </c>
      <c r="B1484" s="1">
        <v>46156</v>
      </c>
      <c r="C1484" t="s">
        <v>169</v>
      </c>
      <c r="D1484" s="38">
        <v>5</v>
      </c>
      <c r="E1484" t="s">
        <v>169</v>
      </c>
      <c r="F1484">
        <v>1902003</v>
      </c>
      <c r="G1484" t="s">
        <v>155</v>
      </c>
      <c r="H1484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4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hidden="1" x14ac:dyDescent="0.25">
      <c r="A1485" s="1">
        <v>46156</v>
      </c>
      <c r="B1485" s="1">
        <v>46156</v>
      </c>
      <c r="C1485" t="s">
        <v>169</v>
      </c>
      <c r="D1485" s="38">
        <v>5</v>
      </c>
      <c r="E1485" t="s">
        <v>169</v>
      </c>
      <c r="F1485">
        <v>412302</v>
      </c>
      <c r="G1485" t="s">
        <v>165</v>
      </c>
      <c r="H1485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4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hidden="1" x14ac:dyDescent="0.25">
      <c r="A1486" s="1">
        <v>46156</v>
      </c>
      <c r="B1486" s="1">
        <v>46156</v>
      </c>
      <c r="C1486" t="s">
        <v>169</v>
      </c>
      <c r="D1486" s="38">
        <v>5</v>
      </c>
      <c r="E1486" t="s">
        <v>169</v>
      </c>
      <c r="F1486">
        <v>302048</v>
      </c>
      <c r="G1486" t="s">
        <v>126</v>
      </c>
      <c r="H1486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4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hidden="1" x14ac:dyDescent="0.25">
      <c r="A1487" s="1">
        <v>46156</v>
      </c>
      <c r="B1487" s="1">
        <v>46156</v>
      </c>
      <c r="C1487" t="s">
        <v>169</v>
      </c>
      <c r="D1487" s="38">
        <v>5</v>
      </c>
      <c r="E1487" t="s">
        <v>169</v>
      </c>
      <c r="F1487">
        <v>302028</v>
      </c>
      <c r="G1487" t="s">
        <v>246</v>
      </c>
      <c r="H1487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4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hidden="1" x14ac:dyDescent="0.25">
      <c r="A1488" s="1">
        <v>46156</v>
      </c>
      <c r="B1488" s="1">
        <v>46156</v>
      </c>
      <c r="C1488" t="s">
        <v>169</v>
      </c>
      <c r="D1488" s="38">
        <v>5</v>
      </c>
      <c r="E1488" t="s">
        <v>169</v>
      </c>
      <c r="F1488">
        <v>302010</v>
      </c>
      <c r="G1488" t="s">
        <v>323</v>
      </c>
      <c r="H1488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4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hidden="1" x14ac:dyDescent="0.25">
      <c r="A1489" s="1">
        <v>46156</v>
      </c>
      <c r="B1489" s="1">
        <v>46156</v>
      </c>
      <c r="C1489" t="s">
        <v>169</v>
      </c>
      <c r="D1489" s="38">
        <v>5</v>
      </c>
      <c r="E1489" t="s">
        <v>169</v>
      </c>
      <c r="F1489">
        <v>1902013</v>
      </c>
      <c r="G1489" t="s">
        <v>338</v>
      </c>
      <c r="H1489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4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hidden="1" x14ac:dyDescent="0.25">
      <c r="A1490" s="1">
        <v>46156</v>
      </c>
      <c r="B1490" s="1">
        <v>46156</v>
      </c>
      <c r="C1490" t="s">
        <v>169</v>
      </c>
      <c r="D1490" s="38">
        <v>5</v>
      </c>
      <c r="E1490" t="s">
        <v>169</v>
      </c>
      <c r="F1490">
        <v>1901008</v>
      </c>
      <c r="G1490" t="s">
        <v>278</v>
      </c>
      <c r="H1490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4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hidden="1" x14ac:dyDescent="0.25">
      <c r="A1491" s="1">
        <v>46157</v>
      </c>
      <c r="B1491" s="1">
        <v>46157</v>
      </c>
      <c r="C1491" t="s">
        <v>169</v>
      </c>
      <c r="D1491" s="38">
        <v>5</v>
      </c>
      <c r="E1491" t="s">
        <v>169</v>
      </c>
      <c r="F1491">
        <v>1803045</v>
      </c>
      <c r="G1491" t="s">
        <v>337</v>
      </c>
      <c r="H149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4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hidden="1" x14ac:dyDescent="0.25">
      <c r="A1492" s="1">
        <v>46157</v>
      </c>
      <c r="B1492" s="1">
        <v>46157</v>
      </c>
      <c r="C1492" t="s">
        <v>169</v>
      </c>
      <c r="D1492" s="38">
        <v>5</v>
      </c>
      <c r="E1492" t="s">
        <v>169</v>
      </c>
      <c r="F1492">
        <v>1803044</v>
      </c>
      <c r="G1492" t="s">
        <v>336</v>
      </c>
      <c r="H1492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4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hidden="1" x14ac:dyDescent="0.25">
      <c r="A1493" s="1">
        <v>46157</v>
      </c>
      <c r="B1493" s="1">
        <v>46157</v>
      </c>
      <c r="C1493" t="s">
        <v>169</v>
      </c>
      <c r="D1493" s="38">
        <v>5</v>
      </c>
      <c r="E1493" t="s">
        <v>169</v>
      </c>
      <c r="F1493">
        <v>2302119</v>
      </c>
      <c r="G1493" t="s">
        <v>74</v>
      </c>
      <c r="H1493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4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hidden="1" x14ac:dyDescent="0.25">
      <c r="A1494" s="1">
        <v>46157</v>
      </c>
      <c r="B1494" s="1">
        <v>46157</v>
      </c>
      <c r="C1494" t="s">
        <v>169</v>
      </c>
      <c r="D1494" s="38">
        <v>5</v>
      </c>
      <c r="E1494" t="s">
        <v>169</v>
      </c>
      <c r="F1494">
        <v>617057</v>
      </c>
      <c r="G1494" t="s">
        <v>134</v>
      </c>
      <c r="H1494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4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hidden="1" x14ac:dyDescent="0.25">
      <c r="A1495" s="1">
        <v>46157</v>
      </c>
      <c r="B1495" s="1">
        <v>46157</v>
      </c>
      <c r="C1495" t="s">
        <v>169</v>
      </c>
      <c r="D1495" s="38">
        <v>5</v>
      </c>
      <c r="E1495" t="s">
        <v>169</v>
      </c>
      <c r="F1495">
        <v>617055</v>
      </c>
      <c r="G1495" t="s">
        <v>182</v>
      </c>
      <c r="H1495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4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hidden="1" x14ac:dyDescent="0.25">
      <c r="A1496" s="1">
        <v>46157</v>
      </c>
      <c r="B1496" s="1">
        <v>46157</v>
      </c>
      <c r="C1496" t="s">
        <v>169</v>
      </c>
      <c r="D1496" s="38">
        <v>5</v>
      </c>
      <c r="E1496" t="s">
        <v>169</v>
      </c>
      <c r="F1496">
        <v>617016</v>
      </c>
      <c r="G1496" t="s">
        <v>133</v>
      </c>
      <c r="H1496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4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hidden="1" x14ac:dyDescent="0.25">
      <c r="A1497" s="1">
        <v>46157</v>
      </c>
      <c r="B1497" s="1">
        <v>46157</v>
      </c>
      <c r="C1497" t="s">
        <v>169</v>
      </c>
      <c r="D1497" s="38">
        <v>5</v>
      </c>
      <c r="E1497" t="s">
        <v>169</v>
      </c>
      <c r="F1497">
        <v>2304053</v>
      </c>
      <c r="G1497" t="s">
        <v>213</v>
      </c>
      <c r="H1497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4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hidden="1" x14ac:dyDescent="0.25">
      <c r="A1498" s="1">
        <v>46157</v>
      </c>
      <c r="B1498" s="1">
        <v>46157</v>
      </c>
      <c r="C1498" t="s">
        <v>169</v>
      </c>
      <c r="D1498" s="38">
        <v>5</v>
      </c>
      <c r="E1498" t="s">
        <v>169</v>
      </c>
      <c r="F1498">
        <v>2304002</v>
      </c>
      <c r="G1498" t="s">
        <v>212</v>
      </c>
      <c r="H1498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4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hidden="1" x14ac:dyDescent="0.25">
      <c r="A1499" s="1">
        <v>46157</v>
      </c>
      <c r="B1499" s="1">
        <v>46157</v>
      </c>
      <c r="C1499" t="s">
        <v>169</v>
      </c>
      <c r="D1499" s="38">
        <v>5</v>
      </c>
      <c r="E1499" t="s">
        <v>169</v>
      </c>
      <c r="F1499">
        <v>2304008</v>
      </c>
      <c r="G1499" t="s">
        <v>704</v>
      </c>
      <c r="H1499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4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hidden="1" x14ac:dyDescent="0.25">
      <c r="A1500" s="1">
        <v>46157</v>
      </c>
      <c r="B1500" s="1">
        <v>46157</v>
      </c>
      <c r="C1500" t="s">
        <v>169</v>
      </c>
      <c r="D1500" s="38">
        <v>5</v>
      </c>
      <c r="E1500" t="s">
        <v>169</v>
      </c>
      <c r="F1500">
        <v>412132</v>
      </c>
      <c r="G1500" t="s">
        <v>738</v>
      </c>
      <c r="H1500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4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hidden="1" x14ac:dyDescent="0.25">
      <c r="A1501" s="1">
        <v>46157</v>
      </c>
      <c r="B1501" s="1">
        <v>46157</v>
      </c>
      <c r="C1501" t="s">
        <v>169</v>
      </c>
      <c r="D1501" s="38">
        <v>5</v>
      </c>
      <c r="E1501" t="s">
        <v>169</v>
      </c>
      <c r="F1501">
        <v>412016</v>
      </c>
      <c r="G1501" t="s">
        <v>719</v>
      </c>
      <c r="H150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4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hidden="1" x14ac:dyDescent="0.25">
      <c r="A1502" s="1">
        <v>46157</v>
      </c>
      <c r="B1502" s="1">
        <v>46157</v>
      </c>
      <c r="C1502" t="s">
        <v>169</v>
      </c>
      <c r="D1502" s="38">
        <v>5</v>
      </c>
      <c r="E1502" t="s">
        <v>169</v>
      </c>
      <c r="F1502">
        <v>609008</v>
      </c>
      <c r="G1502" t="s">
        <v>57</v>
      </c>
      <c r="H1502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4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hidden="1" x14ac:dyDescent="0.25">
      <c r="A1503" s="1">
        <v>46157</v>
      </c>
      <c r="B1503" s="1">
        <v>46157</v>
      </c>
      <c r="C1503" t="s">
        <v>169</v>
      </c>
      <c r="D1503" s="38">
        <v>5</v>
      </c>
      <c r="E1503" t="s">
        <v>169</v>
      </c>
      <c r="F1503">
        <v>307096</v>
      </c>
      <c r="G1503" t="s">
        <v>249</v>
      </c>
      <c r="H1503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4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hidden="1" x14ac:dyDescent="0.25">
      <c r="A1504" s="1">
        <v>46157</v>
      </c>
      <c r="B1504" s="1">
        <v>46157</v>
      </c>
      <c r="C1504" t="s">
        <v>169</v>
      </c>
      <c r="D1504" s="38">
        <v>5</v>
      </c>
      <c r="E1504" t="s">
        <v>169</v>
      </c>
      <c r="F1504">
        <v>307032</v>
      </c>
      <c r="G1504" t="s">
        <v>186</v>
      </c>
      <c r="H1504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4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hidden="1" x14ac:dyDescent="0.25">
      <c r="A1505" s="1">
        <v>46157</v>
      </c>
      <c r="B1505" s="1">
        <v>46157</v>
      </c>
      <c r="C1505" t="s">
        <v>169</v>
      </c>
      <c r="D1505" s="38">
        <v>5</v>
      </c>
      <c r="E1505" t="s">
        <v>169</v>
      </c>
      <c r="F1505">
        <v>601047</v>
      </c>
      <c r="G1505" t="s">
        <v>129</v>
      </c>
      <c r="H1505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4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hidden="1" x14ac:dyDescent="0.25">
      <c r="A1506" s="1">
        <v>46157</v>
      </c>
      <c r="B1506" s="1">
        <v>46157</v>
      </c>
      <c r="C1506" t="s">
        <v>169</v>
      </c>
      <c r="D1506" s="38">
        <v>5</v>
      </c>
      <c r="E1506" t="s">
        <v>169</v>
      </c>
      <c r="F1506">
        <v>602255</v>
      </c>
      <c r="G1506" t="s">
        <v>203</v>
      </c>
      <c r="H1506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4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hidden="1" x14ac:dyDescent="0.25">
      <c r="A1507" s="1">
        <v>46157</v>
      </c>
      <c r="B1507" s="1">
        <v>46157</v>
      </c>
      <c r="C1507" t="s">
        <v>169</v>
      </c>
      <c r="D1507" s="38">
        <v>5</v>
      </c>
      <c r="E1507" t="s">
        <v>169</v>
      </c>
      <c r="F1507">
        <v>602254</v>
      </c>
      <c r="G1507" t="s">
        <v>214</v>
      </c>
      <c r="H1507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4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hidden="1" x14ac:dyDescent="0.25">
      <c r="A1508" s="1">
        <v>46157</v>
      </c>
      <c r="B1508" s="1">
        <v>46157</v>
      </c>
      <c r="C1508" t="s">
        <v>169</v>
      </c>
      <c r="D1508" s="38">
        <v>5</v>
      </c>
      <c r="E1508" t="s">
        <v>169</v>
      </c>
      <c r="F1508">
        <v>408042</v>
      </c>
      <c r="G1508" t="s">
        <v>144</v>
      </c>
      <c r="H1508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4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hidden="1" x14ac:dyDescent="0.25">
      <c r="A1509" s="1">
        <v>46157</v>
      </c>
      <c r="B1509" s="1">
        <v>46157</v>
      </c>
      <c r="C1509" t="s">
        <v>169</v>
      </c>
      <c r="D1509" s="38">
        <v>5</v>
      </c>
      <c r="E1509" t="s">
        <v>169</v>
      </c>
      <c r="F1509">
        <v>404252</v>
      </c>
      <c r="G1509" t="s">
        <v>181</v>
      </c>
      <c r="H1509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4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hidden="1" x14ac:dyDescent="0.25">
      <c r="A1510" s="1">
        <v>46157</v>
      </c>
      <c r="B1510" s="1">
        <v>46157</v>
      </c>
      <c r="C1510" t="s">
        <v>169</v>
      </c>
      <c r="D1510" s="38">
        <v>5</v>
      </c>
      <c r="E1510" t="s">
        <v>169</v>
      </c>
      <c r="F1510">
        <v>704025</v>
      </c>
      <c r="G1510" t="s">
        <v>333</v>
      </c>
      <c r="H1510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4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hidden="1" x14ac:dyDescent="0.25">
      <c r="A1511" s="1">
        <v>46157</v>
      </c>
      <c r="B1511" s="1">
        <v>46157</v>
      </c>
      <c r="C1511" t="s">
        <v>169</v>
      </c>
      <c r="D1511" s="38">
        <v>5</v>
      </c>
      <c r="E1511" t="s">
        <v>169</v>
      </c>
      <c r="F1511">
        <v>704023</v>
      </c>
      <c r="G1511" t="s">
        <v>331</v>
      </c>
      <c r="H151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4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hidden="1" x14ac:dyDescent="0.25">
      <c r="A1512" s="1">
        <v>46157</v>
      </c>
      <c r="B1512" s="1">
        <v>46157</v>
      </c>
      <c r="C1512" t="s">
        <v>169</v>
      </c>
      <c r="D1512" s="38">
        <v>5</v>
      </c>
      <c r="E1512" t="s">
        <v>169</v>
      </c>
      <c r="F1512">
        <v>1801735</v>
      </c>
      <c r="G1512" t="s">
        <v>73</v>
      </c>
      <c r="H1512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4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hidden="1" x14ac:dyDescent="0.25">
      <c r="A1513" s="1">
        <v>46157</v>
      </c>
      <c r="B1513" s="1">
        <v>46157</v>
      </c>
      <c r="C1513" t="s">
        <v>169</v>
      </c>
      <c r="D1513" s="38">
        <v>5</v>
      </c>
      <c r="E1513" t="s">
        <v>169</v>
      </c>
      <c r="F1513">
        <v>2302017</v>
      </c>
      <c r="G1513" t="s">
        <v>156</v>
      </c>
      <c r="H1513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4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hidden="1" x14ac:dyDescent="0.25">
      <c r="A1514" s="1">
        <v>46157</v>
      </c>
      <c r="B1514" s="1">
        <v>46157</v>
      </c>
      <c r="C1514" t="s">
        <v>169</v>
      </c>
      <c r="D1514" s="38">
        <v>5</v>
      </c>
      <c r="E1514" t="s">
        <v>169</v>
      </c>
      <c r="F1514">
        <v>412630</v>
      </c>
      <c r="G1514" t="s">
        <v>284</v>
      </c>
      <c r="H1514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4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hidden="1" x14ac:dyDescent="0.25">
      <c r="A1515" s="1">
        <v>46157</v>
      </c>
      <c r="B1515" s="1">
        <v>46157</v>
      </c>
      <c r="C1515" t="s">
        <v>169</v>
      </c>
      <c r="D1515" s="38">
        <v>5</v>
      </c>
      <c r="E1515" t="s">
        <v>169</v>
      </c>
      <c r="F1515">
        <v>617016</v>
      </c>
      <c r="G1515" t="s">
        <v>133</v>
      </c>
      <c r="H1515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4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hidden="1" x14ac:dyDescent="0.25">
      <c r="A1516" s="1">
        <v>46157</v>
      </c>
      <c r="B1516" s="1">
        <v>46157</v>
      </c>
      <c r="C1516" t="s">
        <v>169</v>
      </c>
      <c r="D1516" s="38">
        <v>5</v>
      </c>
      <c r="E1516" t="s">
        <v>169</v>
      </c>
      <c r="F1516">
        <v>1402016</v>
      </c>
      <c r="G1516" t="s">
        <v>795</v>
      </c>
      <c r="H1516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4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hidden="1" x14ac:dyDescent="0.25">
      <c r="A1517" s="1">
        <v>46157</v>
      </c>
      <c r="B1517" s="1">
        <v>46157</v>
      </c>
      <c r="C1517" t="s">
        <v>169</v>
      </c>
      <c r="D1517" s="38">
        <v>5</v>
      </c>
      <c r="E1517" t="s">
        <v>169</v>
      </c>
      <c r="F1517">
        <v>1101298</v>
      </c>
      <c r="G1517" t="s">
        <v>796</v>
      </c>
      <c r="H1517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4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hidden="1" x14ac:dyDescent="0.25">
      <c r="A1518" s="1">
        <v>46157</v>
      </c>
      <c r="B1518" s="1">
        <v>46157</v>
      </c>
      <c r="C1518" t="s">
        <v>169</v>
      </c>
      <c r="D1518" s="38">
        <v>5</v>
      </c>
      <c r="E1518" t="s">
        <v>169</v>
      </c>
      <c r="F1518" t="s">
        <v>784</v>
      </c>
      <c r="G1518" t="s">
        <v>95</v>
      </c>
      <c r="H1518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4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hidden="1" x14ac:dyDescent="0.25">
      <c r="A1519" s="1">
        <v>46157</v>
      </c>
      <c r="B1519" s="1">
        <v>46157</v>
      </c>
      <c r="C1519" t="s">
        <v>169</v>
      </c>
      <c r="D1519" s="38">
        <v>5</v>
      </c>
      <c r="E1519" t="s">
        <v>169</v>
      </c>
      <c r="F1519">
        <v>2508993</v>
      </c>
      <c r="G1519" t="s">
        <v>485</v>
      </c>
      <c r="H1519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4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hidden="1" x14ac:dyDescent="0.25">
      <c r="A1520" s="1">
        <v>46157</v>
      </c>
      <c r="B1520" s="1">
        <v>46157</v>
      </c>
      <c r="C1520" t="s">
        <v>169</v>
      </c>
      <c r="D1520" s="38">
        <v>5</v>
      </c>
      <c r="E1520" t="s">
        <v>169</v>
      </c>
      <c r="F1520">
        <v>2508994</v>
      </c>
      <c r="G1520" t="s">
        <v>486</v>
      </c>
      <c r="H1520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4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hidden="1" x14ac:dyDescent="0.25">
      <c r="A1521" s="1">
        <v>46157</v>
      </c>
      <c r="B1521" s="1">
        <v>46157</v>
      </c>
      <c r="C1521" t="s">
        <v>169</v>
      </c>
      <c r="D1521" s="38">
        <v>5</v>
      </c>
      <c r="E1521" t="s">
        <v>169</v>
      </c>
      <c r="F1521">
        <v>2508992</v>
      </c>
      <c r="G1521" t="s">
        <v>484</v>
      </c>
      <c r="H152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4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hidden="1" x14ac:dyDescent="0.25">
      <c r="A1522" s="1">
        <v>46157</v>
      </c>
      <c r="B1522" s="1">
        <v>46157</v>
      </c>
      <c r="C1522" t="s">
        <v>169</v>
      </c>
      <c r="D1522" s="38">
        <v>5</v>
      </c>
      <c r="E1522" t="s">
        <v>169</v>
      </c>
      <c r="F1522">
        <v>2508991</v>
      </c>
      <c r="G1522" t="s">
        <v>483</v>
      </c>
      <c r="H1522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4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hidden="1" x14ac:dyDescent="0.25">
      <c r="A1523" s="1">
        <v>46157</v>
      </c>
      <c r="B1523" s="1">
        <v>46157</v>
      </c>
      <c r="C1523" t="s">
        <v>169</v>
      </c>
      <c r="D1523" s="38">
        <v>5</v>
      </c>
      <c r="E1523" t="s">
        <v>169</v>
      </c>
      <c r="F1523">
        <v>2508990</v>
      </c>
      <c r="G1523" t="s">
        <v>482</v>
      </c>
      <c r="H1523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4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hidden="1" x14ac:dyDescent="0.25">
      <c r="A1524" s="1">
        <v>46157</v>
      </c>
      <c r="B1524" s="1">
        <v>46157</v>
      </c>
      <c r="C1524" t="s">
        <v>169</v>
      </c>
      <c r="D1524" s="38">
        <v>5</v>
      </c>
      <c r="E1524" t="s">
        <v>169</v>
      </c>
      <c r="F1524">
        <v>1405039</v>
      </c>
      <c r="G1524" t="s">
        <v>314</v>
      </c>
      <c r="H1524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4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hidden="1" x14ac:dyDescent="0.25">
      <c r="A1525" s="1">
        <v>46157</v>
      </c>
      <c r="B1525" s="1">
        <v>46157</v>
      </c>
      <c r="C1525" t="s">
        <v>169</v>
      </c>
      <c r="D1525" s="38">
        <v>5</v>
      </c>
      <c r="E1525" t="s">
        <v>169</v>
      </c>
      <c r="F1525">
        <v>304002</v>
      </c>
      <c r="G1525" t="s">
        <v>37</v>
      </c>
      <c r="H1525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4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hidden="1" x14ac:dyDescent="0.25">
      <c r="A1526" s="1">
        <v>46157</v>
      </c>
      <c r="B1526" s="1">
        <v>46157</v>
      </c>
      <c r="C1526" t="s">
        <v>169</v>
      </c>
      <c r="D1526" s="38">
        <v>5</v>
      </c>
      <c r="E1526" t="s">
        <v>169</v>
      </c>
      <c r="F1526">
        <v>602255</v>
      </c>
      <c r="G1526" t="s">
        <v>203</v>
      </c>
      <c r="H1526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4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hidden="1" x14ac:dyDescent="0.25">
      <c r="A1527" s="1">
        <v>46157</v>
      </c>
      <c r="B1527" s="1">
        <v>46157</v>
      </c>
      <c r="C1527" t="s">
        <v>169</v>
      </c>
      <c r="D1527" s="38">
        <v>5</v>
      </c>
      <c r="E1527" t="s">
        <v>169</v>
      </c>
      <c r="F1527">
        <v>602254</v>
      </c>
      <c r="G1527" t="s">
        <v>214</v>
      </c>
      <c r="H1527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4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hidden="1" x14ac:dyDescent="0.25">
      <c r="A1528" s="1">
        <v>46157</v>
      </c>
      <c r="B1528" s="1">
        <v>46157</v>
      </c>
      <c r="C1528" t="s">
        <v>169</v>
      </c>
      <c r="D1528" s="38">
        <v>5</v>
      </c>
      <c r="E1528" t="s">
        <v>169</v>
      </c>
      <c r="F1528">
        <v>704021</v>
      </c>
      <c r="G1528" t="s">
        <v>329</v>
      </c>
      <c r="H1528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4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hidden="1" x14ac:dyDescent="0.25">
      <c r="A1529" s="1">
        <v>46157</v>
      </c>
      <c r="B1529" s="1">
        <v>46157</v>
      </c>
      <c r="C1529" t="s">
        <v>169</v>
      </c>
      <c r="D1529" s="38">
        <v>5</v>
      </c>
      <c r="E1529" t="s">
        <v>169</v>
      </c>
      <c r="F1529">
        <v>704025</v>
      </c>
      <c r="G1529" t="s">
        <v>333</v>
      </c>
      <c r="H1529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4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hidden="1" x14ac:dyDescent="0.25">
      <c r="A1530" s="1">
        <v>46157</v>
      </c>
      <c r="B1530" s="1">
        <v>46157</v>
      </c>
      <c r="C1530" t="s">
        <v>169</v>
      </c>
      <c r="D1530" s="38">
        <v>5</v>
      </c>
      <c r="E1530" t="s">
        <v>169</v>
      </c>
      <c r="F1530">
        <v>704023</v>
      </c>
      <c r="G1530" t="s">
        <v>331</v>
      </c>
      <c r="H1530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4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hidden="1" x14ac:dyDescent="0.25">
      <c r="A1531" s="1">
        <v>46157</v>
      </c>
      <c r="B1531" s="1">
        <v>46157</v>
      </c>
      <c r="C1531" t="s">
        <v>169</v>
      </c>
      <c r="D1531" s="38">
        <v>5</v>
      </c>
      <c r="E1531" t="s">
        <v>169</v>
      </c>
      <c r="F1531">
        <v>704024</v>
      </c>
      <c r="G1531" t="s">
        <v>332</v>
      </c>
      <c r="H153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4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hidden="1" x14ac:dyDescent="0.25">
      <c r="A1532" s="1">
        <v>46157</v>
      </c>
      <c r="B1532" s="1">
        <v>46157</v>
      </c>
      <c r="C1532" t="s">
        <v>169</v>
      </c>
      <c r="D1532" s="38">
        <v>5</v>
      </c>
      <c r="E1532" t="s">
        <v>169</v>
      </c>
      <c r="F1532">
        <v>704022</v>
      </c>
      <c r="G1532" t="s">
        <v>330</v>
      </c>
      <c r="H1532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4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hidden="1" x14ac:dyDescent="0.25">
      <c r="A1533" s="1">
        <v>46157</v>
      </c>
      <c r="B1533" s="1">
        <v>46157</v>
      </c>
      <c r="C1533" t="s">
        <v>169</v>
      </c>
      <c r="D1533" s="38">
        <v>5</v>
      </c>
      <c r="E1533" t="s">
        <v>169</v>
      </c>
      <c r="F1533">
        <v>2302017</v>
      </c>
      <c r="G1533" t="s">
        <v>156</v>
      </c>
      <c r="H1533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4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hidden="1" x14ac:dyDescent="0.25">
      <c r="A1534" s="1">
        <v>46157</v>
      </c>
      <c r="B1534" s="1">
        <v>46157</v>
      </c>
      <c r="C1534" t="s">
        <v>169</v>
      </c>
      <c r="D1534" s="38">
        <v>5</v>
      </c>
      <c r="E1534" t="s">
        <v>169</v>
      </c>
      <c r="F1534" t="s">
        <v>559</v>
      </c>
      <c r="G1534" t="s">
        <v>705</v>
      </c>
      <c r="H1534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4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hidden="1" x14ac:dyDescent="0.25">
      <c r="A1535" s="1">
        <v>46157</v>
      </c>
      <c r="B1535" s="1">
        <v>46157</v>
      </c>
      <c r="C1535" t="s">
        <v>169</v>
      </c>
      <c r="D1535" s="38">
        <v>5</v>
      </c>
      <c r="E1535" t="s">
        <v>169</v>
      </c>
      <c r="F1535">
        <v>2304056</v>
      </c>
      <c r="G1535" t="s">
        <v>417</v>
      </c>
      <c r="H1535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4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hidden="1" x14ac:dyDescent="0.25">
      <c r="A1536" s="1">
        <v>46157</v>
      </c>
      <c r="B1536" s="1">
        <v>46157</v>
      </c>
      <c r="C1536" t="s">
        <v>169</v>
      </c>
      <c r="D1536" s="38">
        <v>5</v>
      </c>
      <c r="E1536" t="s">
        <v>169</v>
      </c>
      <c r="F1536">
        <v>810007</v>
      </c>
      <c r="G1536" t="s">
        <v>235</v>
      </c>
      <c r="H1536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4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hidden="1" x14ac:dyDescent="0.25">
      <c r="A1537" s="1">
        <v>46157</v>
      </c>
      <c r="B1537" s="1">
        <v>46157</v>
      </c>
      <c r="C1537" t="s">
        <v>169</v>
      </c>
      <c r="D1537" s="38">
        <v>5</v>
      </c>
      <c r="E1537" t="s">
        <v>169</v>
      </c>
      <c r="F1537">
        <v>1405040</v>
      </c>
      <c r="G1537" t="s">
        <v>449</v>
      </c>
      <c r="H1537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4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hidden="1" x14ac:dyDescent="0.25">
      <c r="A1538" s="1">
        <v>46157</v>
      </c>
      <c r="B1538" s="1">
        <v>46157</v>
      </c>
      <c r="C1538" t="s">
        <v>169</v>
      </c>
      <c r="D1538" s="38">
        <v>5</v>
      </c>
      <c r="E1538" t="s">
        <v>169</v>
      </c>
      <c r="F1538">
        <v>2508993</v>
      </c>
      <c r="G1538" t="s">
        <v>485</v>
      </c>
      <c r="H1538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4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hidden="1" x14ac:dyDescent="0.25">
      <c r="A1539" s="1">
        <v>46157</v>
      </c>
      <c r="B1539" s="1">
        <v>46157</v>
      </c>
      <c r="C1539" t="s">
        <v>169</v>
      </c>
      <c r="D1539" s="38">
        <v>5</v>
      </c>
      <c r="E1539" t="s">
        <v>169</v>
      </c>
      <c r="F1539">
        <v>2508994</v>
      </c>
      <c r="G1539" t="s">
        <v>486</v>
      </c>
      <c r="H1539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4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hidden="1" x14ac:dyDescent="0.25">
      <c r="A1540" s="1">
        <v>46157</v>
      </c>
      <c r="B1540" s="1">
        <v>46157</v>
      </c>
      <c r="C1540" t="s">
        <v>169</v>
      </c>
      <c r="D1540" s="38">
        <v>5</v>
      </c>
      <c r="E1540" t="s">
        <v>169</v>
      </c>
      <c r="F1540">
        <v>2508992</v>
      </c>
      <c r="G1540" t="s">
        <v>484</v>
      </c>
      <c r="H1540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4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hidden="1" x14ac:dyDescent="0.25">
      <c r="A1541" s="1">
        <v>46157</v>
      </c>
      <c r="B1541" s="1">
        <v>46157</v>
      </c>
      <c r="C1541" t="s">
        <v>169</v>
      </c>
      <c r="D1541" s="38">
        <v>5</v>
      </c>
      <c r="E1541" t="s">
        <v>169</v>
      </c>
      <c r="F1541">
        <v>2508991</v>
      </c>
      <c r="G1541" t="s">
        <v>483</v>
      </c>
      <c r="H154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4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hidden="1" x14ac:dyDescent="0.25">
      <c r="A1542" s="1">
        <v>46157</v>
      </c>
      <c r="B1542" s="1">
        <v>46157</v>
      </c>
      <c r="C1542" t="s">
        <v>169</v>
      </c>
      <c r="D1542" s="38">
        <v>5</v>
      </c>
      <c r="E1542" t="s">
        <v>169</v>
      </c>
      <c r="F1542">
        <v>2508990</v>
      </c>
      <c r="G1542" t="s">
        <v>482</v>
      </c>
      <c r="H1542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4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hidden="1" x14ac:dyDescent="0.25">
      <c r="A1543" s="1">
        <v>46157</v>
      </c>
      <c r="B1543" s="1">
        <v>46157</v>
      </c>
      <c r="C1543" t="s">
        <v>169</v>
      </c>
      <c r="D1543" s="38">
        <v>5</v>
      </c>
      <c r="E1543" t="s">
        <v>169</v>
      </c>
      <c r="F1543">
        <v>2508988</v>
      </c>
      <c r="G1543" t="s">
        <v>467</v>
      </c>
      <c r="H1543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4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hidden="1" x14ac:dyDescent="0.25">
      <c r="A1544" s="1">
        <v>46157</v>
      </c>
      <c r="B1544" s="1">
        <v>46157</v>
      </c>
      <c r="C1544" t="s">
        <v>169</v>
      </c>
      <c r="D1544" s="38">
        <v>5</v>
      </c>
      <c r="E1544" t="s">
        <v>169</v>
      </c>
      <c r="F1544">
        <v>1803044</v>
      </c>
      <c r="G1544" t="s">
        <v>336</v>
      </c>
      <c r="H1544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4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hidden="1" x14ac:dyDescent="0.25">
      <c r="A1545" s="1">
        <v>46157</v>
      </c>
      <c r="B1545" s="1">
        <v>46157</v>
      </c>
      <c r="C1545" t="s">
        <v>169</v>
      </c>
      <c r="D1545" s="38">
        <v>5</v>
      </c>
      <c r="E1545" t="s">
        <v>169</v>
      </c>
      <c r="F1545">
        <v>1803045</v>
      </c>
      <c r="G1545" t="s">
        <v>337</v>
      </c>
      <c r="H1545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4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hidden="1" x14ac:dyDescent="0.25">
      <c r="A1546" s="1">
        <v>46157</v>
      </c>
      <c r="B1546" s="1">
        <v>46157</v>
      </c>
      <c r="C1546" t="s">
        <v>169</v>
      </c>
      <c r="D1546" s="38">
        <v>5</v>
      </c>
      <c r="E1546" t="s">
        <v>169</v>
      </c>
      <c r="F1546" t="s">
        <v>345</v>
      </c>
      <c r="G1546" t="s">
        <v>167</v>
      </c>
      <c r="H1546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4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hidden="1" x14ac:dyDescent="0.25">
      <c r="A1547" s="1">
        <v>46157</v>
      </c>
      <c r="B1547" s="1">
        <v>46157</v>
      </c>
      <c r="C1547" t="s">
        <v>169</v>
      </c>
      <c r="D1547" s="38">
        <v>5</v>
      </c>
      <c r="E1547" t="s">
        <v>169</v>
      </c>
      <c r="F1547">
        <v>2508994</v>
      </c>
      <c r="G1547" t="s">
        <v>486</v>
      </c>
      <c r="H1547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4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hidden="1" x14ac:dyDescent="0.25">
      <c r="A1548" s="1">
        <v>46157</v>
      </c>
      <c r="B1548" s="1">
        <v>46157</v>
      </c>
      <c r="C1548" t="s">
        <v>169</v>
      </c>
      <c r="D1548" s="38">
        <v>5</v>
      </c>
      <c r="E1548" t="s">
        <v>169</v>
      </c>
      <c r="F1548">
        <v>2508993</v>
      </c>
      <c r="G1548" t="s">
        <v>485</v>
      </c>
      <c r="H1548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4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hidden="1" x14ac:dyDescent="0.25">
      <c r="A1549" s="1">
        <v>46157</v>
      </c>
      <c r="B1549" s="1">
        <v>46157</v>
      </c>
      <c r="C1549" t="s">
        <v>169</v>
      </c>
      <c r="D1549" s="38">
        <v>5</v>
      </c>
      <c r="E1549" t="s">
        <v>169</v>
      </c>
      <c r="F1549">
        <v>2508992</v>
      </c>
      <c r="G1549" t="s">
        <v>484</v>
      </c>
      <c r="H1549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4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hidden="1" x14ac:dyDescent="0.25">
      <c r="A1550" s="1">
        <v>46157</v>
      </c>
      <c r="B1550" s="1">
        <v>46157</v>
      </c>
      <c r="C1550" t="s">
        <v>169</v>
      </c>
      <c r="D1550" s="38">
        <v>5</v>
      </c>
      <c r="E1550" t="s">
        <v>169</v>
      </c>
      <c r="F1550">
        <v>2508991</v>
      </c>
      <c r="G1550" t="s">
        <v>483</v>
      </c>
      <c r="H1550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4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hidden="1" x14ac:dyDescent="0.25">
      <c r="A1551" s="1">
        <v>46157</v>
      </c>
      <c r="B1551" s="1">
        <v>46157</v>
      </c>
      <c r="C1551" t="s">
        <v>169</v>
      </c>
      <c r="D1551" s="38">
        <v>5</v>
      </c>
      <c r="E1551" t="s">
        <v>169</v>
      </c>
      <c r="F1551">
        <v>2508990</v>
      </c>
      <c r="G1551" t="s">
        <v>482</v>
      </c>
      <c r="H155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4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hidden="1" x14ac:dyDescent="0.25">
      <c r="A1552" s="1">
        <v>46157</v>
      </c>
      <c r="B1552" s="1">
        <v>46157</v>
      </c>
      <c r="C1552" t="s">
        <v>169</v>
      </c>
      <c r="D1552" s="38">
        <v>5</v>
      </c>
      <c r="E1552" t="s">
        <v>169</v>
      </c>
      <c r="F1552">
        <v>1405025</v>
      </c>
      <c r="G1552" t="s">
        <v>189</v>
      </c>
      <c r="H1552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4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hidden="1" x14ac:dyDescent="0.25">
      <c r="A1553" s="1">
        <v>46157</v>
      </c>
      <c r="B1553" s="1">
        <v>46157</v>
      </c>
      <c r="C1553" t="s">
        <v>169</v>
      </c>
      <c r="D1553" s="38">
        <v>5</v>
      </c>
      <c r="E1553" t="s">
        <v>169</v>
      </c>
      <c r="F1553">
        <v>1808156</v>
      </c>
      <c r="G1553" t="s">
        <v>277</v>
      </c>
      <c r="H1553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4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hidden="1" x14ac:dyDescent="0.25">
      <c r="A1554" s="1">
        <v>46157</v>
      </c>
      <c r="B1554" s="1">
        <v>46157</v>
      </c>
      <c r="C1554" t="s">
        <v>169</v>
      </c>
      <c r="D1554" s="38">
        <v>5</v>
      </c>
      <c r="E1554" t="s">
        <v>169</v>
      </c>
      <c r="F1554">
        <v>1808006</v>
      </c>
      <c r="G1554" t="s">
        <v>194</v>
      </c>
      <c r="H1554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4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hidden="1" x14ac:dyDescent="0.25">
      <c r="A1555" s="1">
        <v>46157</v>
      </c>
      <c r="B1555" s="1">
        <v>46157</v>
      </c>
      <c r="C1555" t="s">
        <v>169</v>
      </c>
      <c r="D1555" s="38">
        <v>5</v>
      </c>
      <c r="E1555" t="s">
        <v>169</v>
      </c>
      <c r="F1555">
        <v>1808003</v>
      </c>
      <c r="G1555" t="s">
        <v>195</v>
      </c>
      <c r="H1555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4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hidden="1" x14ac:dyDescent="0.25">
      <c r="A1556" s="1">
        <v>46157</v>
      </c>
      <c r="B1556" s="1">
        <v>46157</v>
      </c>
      <c r="C1556" t="s">
        <v>169</v>
      </c>
      <c r="D1556" s="38">
        <v>5</v>
      </c>
      <c r="E1556" t="s">
        <v>169</v>
      </c>
      <c r="F1556">
        <v>1802517</v>
      </c>
      <c r="G1556" t="s">
        <v>141</v>
      </c>
      <c r="H1556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4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hidden="1" x14ac:dyDescent="0.25">
      <c r="A1557" s="1">
        <v>46157</v>
      </c>
      <c r="B1557" s="1">
        <v>46157</v>
      </c>
      <c r="C1557" t="s">
        <v>169</v>
      </c>
      <c r="D1557" s="38">
        <v>5</v>
      </c>
      <c r="E1557" t="s">
        <v>169</v>
      </c>
      <c r="F1557">
        <v>1802172</v>
      </c>
      <c r="G1557" t="s">
        <v>266</v>
      </c>
      <c r="H1557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4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hidden="1" x14ac:dyDescent="0.25">
      <c r="A1558" s="1">
        <v>46157</v>
      </c>
      <c r="B1558" s="1">
        <v>46157</v>
      </c>
      <c r="C1558" t="s">
        <v>169</v>
      </c>
      <c r="D1558" s="38">
        <v>5</v>
      </c>
      <c r="E1558" t="s">
        <v>169</v>
      </c>
      <c r="F1558">
        <v>1802171</v>
      </c>
      <c r="G1558" t="s">
        <v>265</v>
      </c>
      <c r="H1558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4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hidden="1" x14ac:dyDescent="0.25">
      <c r="A1559" s="1">
        <v>46157</v>
      </c>
      <c r="B1559" s="1">
        <v>46157</v>
      </c>
      <c r="C1559" t="s">
        <v>169</v>
      </c>
      <c r="D1559" s="38">
        <v>5</v>
      </c>
      <c r="E1559" t="s">
        <v>169</v>
      </c>
      <c r="F1559">
        <v>1206002</v>
      </c>
      <c r="G1559" t="s">
        <v>192</v>
      </c>
      <c r="H1559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4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hidden="1" x14ac:dyDescent="0.25">
      <c r="A1560" s="1">
        <v>46157</v>
      </c>
      <c r="B1560" s="1">
        <v>46157</v>
      </c>
      <c r="C1560" t="s">
        <v>169</v>
      </c>
      <c r="D1560" s="38">
        <v>5</v>
      </c>
      <c r="E1560" t="s">
        <v>169</v>
      </c>
      <c r="F1560">
        <v>307030</v>
      </c>
      <c r="G1560" t="s">
        <v>64</v>
      </c>
      <c r="H1560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4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hidden="1" x14ac:dyDescent="0.25">
      <c r="A1561" s="1">
        <v>46157</v>
      </c>
      <c r="B1561" s="1">
        <v>46157</v>
      </c>
      <c r="C1561" t="s">
        <v>169</v>
      </c>
      <c r="D1561" s="38">
        <v>5</v>
      </c>
      <c r="E1561" t="s">
        <v>169</v>
      </c>
      <c r="F1561">
        <v>1103076</v>
      </c>
      <c r="G1561" t="s">
        <v>311</v>
      </c>
      <c r="H156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4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hidden="1" x14ac:dyDescent="0.25">
      <c r="A1562" s="1">
        <v>46157</v>
      </c>
      <c r="B1562" s="1">
        <v>46157</v>
      </c>
      <c r="C1562" t="s">
        <v>169</v>
      </c>
      <c r="D1562" s="38">
        <v>5</v>
      </c>
      <c r="E1562" t="s">
        <v>169</v>
      </c>
      <c r="F1562">
        <v>1103074</v>
      </c>
      <c r="G1562" t="s">
        <v>310</v>
      </c>
      <c r="H1562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4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hidden="1" x14ac:dyDescent="0.25">
      <c r="A1563" s="1">
        <v>46157</v>
      </c>
      <c r="B1563" s="1">
        <v>46157</v>
      </c>
      <c r="C1563" t="s">
        <v>169</v>
      </c>
      <c r="D1563" s="38">
        <v>5</v>
      </c>
      <c r="E1563" t="s">
        <v>169</v>
      </c>
      <c r="F1563">
        <v>2505058</v>
      </c>
      <c r="G1563" t="s">
        <v>142</v>
      </c>
      <c r="H1563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4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hidden="1" x14ac:dyDescent="0.25">
      <c r="A1564" s="1">
        <v>46157</v>
      </c>
      <c r="B1564" s="1">
        <v>46157</v>
      </c>
      <c r="C1564" t="s">
        <v>169</v>
      </c>
      <c r="D1564" s="38">
        <v>5</v>
      </c>
      <c r="E1564" t="s">
        <v>169</v>
      </c>
      <c r="F1564">
        <v>307033</v>
      </c>
      <c r="G1564" t="s">
        <v>248</v>
      </c>
      <c r="H1564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4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hidden="1" x14ac:dyDescent="0.25">
      <c r="A1565" s="1">
        <v>46157</v>
      </c>
      <c r="B1565" s="1">
        <v>46157</v>
      </c>
      <c r="C1565" t="s">
        <v>169</v>
      </c>
      <c r="D1565" s="38">
        <v>5</v>
      </c>
      <c r="E1565" t="s">
        <v>169</v>
      </c>
      <c r="F1565">
        <v>304002</v>
      </c>
      <c r="G1565" t="s">
        <v>37</v>
      </c>
      <c r="H1565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4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hidden="1" x14ac:dyDescent="0.25">
      <c r="A1566" s="1">
        <v>46157</v>
      </c>
      <c r="B1566" s="1">
        <v>46157</v>
      </c>
      <c r="C1566" t="s">
        <v>169</v>
      </c>
      <c r="D1566" s="38">
        <v>5</v>
      </c>
      <c r="E1566" t="s">
        <v>169</v>
      </c>
      <c r="F1566">
        <v>407185</v>
      </c>
      <c r="G1566" t="s">
        <v>43</v>
      </c>
      <c r="H1566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4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hidden="1" x14ac:dyDescent="0.25">
      <c r="A1567" s="1">
        <v>46157</v>
      </c>
      <c r="B1567" s="1">
        <v>46157</v>
      </c>
      <c r="C1567" t="s">
        <v>169</v>
      </c>
      <c r="D1567" s="38">
        <v>5</v>
      </c>
      <c r="E1567" t="s">
        <v>169</v>
      </c>
      <c r="F1567">
        <v>407423</v>
      </c>
      <c r="G1567" t="s">
        <v>106</v>
      </c>
      <c r="H1567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4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hidden="1" x14ac:dyDescent="0.25">
      <c r="A1568" s="1">
        <v>46157</v>
      </c>
      <c r="B1568" s="1">
        <v>46157</v>
      </c>
      <c r="C1568" t="s">
        <v>169</v>
      </c>
      <c r="D1568" s="38">
        <v>5</v>
      </c>
      <c r="E1568" t="s">
        <v>169</v>
      </c>
      <c r="F1568">
        <v>701096</v>
      </c>
      <c r="G1568" t="s">
        <v>204</v>
      </c>
      <c r="H1568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4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hidden="1" x14ac:dyDescent="0.25">
      <c r="A1569" s="1">
        <v>46157</v>
      </c>
      <c r="B1569" s="1">
        <v>46157</v>
      </c>
      <c r="C1569" t="s">
        <v>169</v>
      </c>
      <c r="D1569" s="38">
        <v>5</v>
      </c>
      <c r="E1569" t="s">
        <v>169</v>
      </c>
      <c r="F1569">
        <v>701040</v>
      </c>
      <c r="G1569" t="s">
        <v>19</v>
      </c>
      <c r="H1569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4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hidden="1" x14ac:dyDescent="0.25">
      <c r="A1570" s="1">
        <v>46157</v>
      </c>
      <c r="B1570" s="1">
        <v>46157</v>
      </c>
      <c r="C1570" t="s">
        <v>169</v>
      </c>
      <c r="D1570" s="38">
        <v>5</v>
      </c>
      <c r="E1570" t="s">
        <v>169</v>
      </c>
      <c r="F1570">
        <v>701043</v>
      </c>
      <c r="G1570" t="s">
        <v>197</v>
      </c>
      <c r="H1570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4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hidden="1" x14ac:dyDescent="0.25">
      <c r="A1571" s="1">
        <v>46157</v>
      </c>
      <c r="B1571" s="1">
        <v>46157</v>
      </c>
      <c r="C1571" t="s">
        <v>169</v>
      </c>
      <c r="D1571" s="38">
        <v>5</v>
      </c>
      <c r="E1571" t="s">
        <v>169</v>
      </c>
      <c r="F1571">
        <v>304101</v>
      </c>
      <c r="G1571" t="s">
        <v>17</v>
      </c>
      <c r="H157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4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hidden="1" x14ac:dyDescent="0.25">
      <c r="A1572" s="1">
        <v>46157</v>
      </c>
      <c r="B1572" s="1">
        <v>46157</v>
      </c>
      <c r="C1572" t="s">
        <v>169</v>
      </c>
      <c r="D1572" s="38">
        <v>5</v>
      </c>
      <c r="E1572" t="s">
        <v>169</v>
      </c>
      <c r="F1572">
        <v>407011</v>
      </c>
      <c r="G1572" t="s">
        <v>30</v>
      </c>
      <c r="H1572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4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hidden="1" x14ac:dyDescent="0.25">
      <c r="A1573" s="1">
        <v>46157</v>
      </c>
      <c r="B1573" s="1">
        <v>46157</v>
      </c>
      <c r="C1573" t="s">
        <v>169</v>
      </c>
      <c r="D1573" s="38">
        <v>5</v>
      </c>
      <c r="E1573" t="s">
        <v>169</v>
      </c>
      <c r="F1573">
        <v>1610023</v>
      </c>
      <c r="G1573" t="s">
        <v>351</v>
      </c>
      <c r="H1573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4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hidden="1" x14ac:dyDescent="0.25">
      <c r="A1574" s="1">
        <v>46157</v>
      </c>
      <c r="B1574" s="1">
        <v>46157</v>
      </c>
      <c r="C1574" t="s">
        <v>169</v>
      </c>
      <c r="D1574" s="38">
        <v>5</v>
      </c>
      <c r="E1574" t="s">
        <v>169</v>
      </c>
      <c r="F1574">
        <v>609008</v>
      </c>
      <c r="G1574" t="s">
        <v>57</v>
      </c>
      <c r="H1574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4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hidden="1" x14ac:dyDescent="0.25">
      <c r="A1575" s="1">
        <v>46157</v>
      </c>
      <c r="B1575" s="1">
        <v>46157</v>
      </c>
      <c r="C1575" t="s">
        <v>169</v>
      </c>
      <c r="D1575" s="38">
        <v>5</v>
      </c>
      <c r="E1575" t="s">
        <v>169</v>
      </c>
      <c r="F1575">
        <v>617016</v>
      </c>
      <c r="G1575" t="s">
        <v>133</v>
      </c>
      <c r="H1575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4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hidden="1" x14ac:dyDescent="0.25">
      <c r="A1576" s="1">
        <v>46157</v>
      </c>
      <c r="B1576" s="1">
        <v>46157</v>
      </c>
      <c r="C1576" t="s">
        <v>169</v>
      </c>
      <c r="D1576" s="38">
        <v>5</v>
      </c>
      <c r="E1576" t="s">
        <v>169</v>
      </c>
      <c r="F1576">
        <v>412630</v>
      </c>
      <c r="G1576" t="s">
        <v>284</v>
      </c>
      <c r="H1576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4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hidden="1" x14ac:dyDescent="0.25">
      <c r="A1577" s="1">
        <v>46157</v>
      </c>
      <c r="B1577" s="1">
        <v>46157</v>
      </c>
      <c r="C1577" t="s">
        <v>169</v>
      </c>
      <c r="D1577" s="38">
        <v>5</v>
      </c>
      <c r="E1577" t="s">
        <v>169</v>
      </c>
      <c r="F1577" t="s">
        <v>345</v>
      </c>
      <c r="G1577" t="s">
        <v>167</v>
      </c>
      <c r="H1577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4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hidden="1" x14ac:dyDescent="0.25">
      <c r="A1578" s="1">
        <v>46157</v>
      </c>
      <c r="B1578" s="1">
        <v>46157</v>
      </c>
      <c r="C1578" t="s">
        <v>169</v>
      </c>
      <c r="D1578" s="38">
        <v>5</v>
      </c>
      <c r="E1578" t="s">
        <v>169</v>
      </c>
      <c r="F1578">
        <v>414025</v>
      </c>
      <c r="G1578" t="s">
        <v>797</v>
      </c>
      <c r="H1578" t="s">
        <v>743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4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hidden="1" x14ac:dyDescent="0.25">
      <c r="A1579" s="1">
        <v>46157</v>
      </c>
      <c r="B1579" s="1">
        <v>46157</v>
      </c>
      <c r="C1579" t="s">
        <v>169</v>
      </c>
      <c r="D1579" s="38">
        <v>5</v>
      </c>
      <c r="E1579" t="s">
        <v>169</v>
      </c>
      <c r="F1579" t="s">
        <v>296</v>
      </c>
      <c r="G1579" t="s">
        <v>297</v>
      </c>
      <c r="H1579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2009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4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hidden="1" x14ac:dyDescent="0.25">
      <c r="A1580" s="1">
        <v>46157</v>
      </c>
      <c r="B1580" s="1">
        <v>46157</v>
      </c>
      <c r="C1580" t="s">
        <v>169</v>
      </c>
      <c r="D1580" s="38">
        <v>5</v>
      </c>
      <c r="E1580" t="s">
        <v>169</v>
      </c>
      <c r="F1580" t="s">
        <v>288</v>
      </c>
      <c r="G1580" t="s">
        <v>289</v>
      </c>
      <c r="H1580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2009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4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hidden="1" x14ac:dyDescent="0.25">
      <c r="A1581" s="1">
        <v>46157</v>
      </c>
      <c r="B1581" s="1">
        <v>46157</v>
      </c>
      <c r="C1581" t="s">
        <v>169</v>
      </c>
      <c r="D1581" s="38">
        <v>5</v>
      </c>
      <c r="E1581" t="s">
        <v>169</v>
      </c>
      <c r="F1581" t="s">
        <v>286</v>
      </c>
      <c r="G1581" t="s">
        <v>287</v>
      </c>
      <c r="H15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2009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4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hidden="1" x14ac:dyDescent="0.25">
      <c r="A1582" s="1">
        <v>46160</v>
      </c>
      <c r="B1582" s="1">
        <v>46160</v>
      </c>
      <c r="C1582" t="s">
        <v>169</v>
      </c>
      <c r="D1582" s="38">
        <v>5</v>
      </c>
      <c r="E1582" t="s">
        <v>169</v>
      </c>
      <c r="F1582">
        <v>1801735</v>
      </c>
      <c r="G1582" t="s">
        <v>73</v>
      </c>
      <c r="H1582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4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hidden="1" x14ac:dyDescent="0.25">
      <c r="A1583" s="1">
        <v>46160</v>
      </c>
      <c r="B1583" s="1">
        <v>46160</v>
      </c>
      <c r="C1583" t="s">
        <v>169</v>
      </c>
      <c r="D1583" s="38">
        <v>5</v>
      </c>
      <c r="E1583" t="s">
        <v>169</v>
      </c>
      <c r="F1583">
        <v>1103076</v>
      </c>
      <c r="G1583" t="s">
        <v>311</v>
      </c>
      <c r="H1583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4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hidden="1" x14ac:dyDescent="0.25">
      <c r="A1584" s="1">
        <v>46160</v>
      </c>
      <c r="B1584" s="1">
        <v>46160</v>
      </c>
      <c r="C1584" t="s">
        <v>169</v>
      </c>
      <c r="D1584" s="38">
        <v>5</v>
      </c>
      <c r="E1584" t="s">
        <v>169</v>
      </c>
      <c r="F1584">
        <v>1103074</v>
      </c>
      <c r="G1584" t="s">
        <v>310</v>
      </c>
      <c r="H1584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4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hidden="1" x14ac:dyDescent="0.25">
      <c r="A1585" s="1">
        <v>46160</v>
      </c>
      <c r="B1585" s="1">
        <v>46160</v>
      </c>
      <c r="C1585" t="s">
        <v>169</v>
      </c>
      <c r="D1585" s="38">
        <v>5</v>
      </c>
      <c r="E1585" t="s">
        <v>169</v>
      </c>
      <c r="F1585">
        <v>1802517</v>
      </c>
      <c r="G1585" t="s">
        <v>141</v>
      </c>
      <c r="H1585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4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hidden="1" x14ac:dyDescent="0.25">
      <c r="A1586" s="1">
        <v>46160</v>
      </c>
      <c r="B1586" s="1">
        <v>46160</v>
      </c>
      <c r="C1586" t="s">
        <v>169</v>
      </c>
      <c r="D1586" s="38">
        <v>5</v>
      </c>
      <c r="E1586" t="s">
        <v>169</v>
      </c>
      <c r="F1586">
        <v>412016</v>
      </c>
      <c r="G1586" t="s">
        <v>719</v>
      </c>
      <c r="H1586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4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hidden="1" x14ac:dyDescent="0.25">
      <c r="A1587" s="1">
        <v>46160</v>
      </c>
      <c r="B1587" s="1">
        <v>46160</v>
      </c>
      <c r="C1587" t="s">
        <v>169</v>
      </c>
      <c r="D1587" s="38">
        <v>5</v>
      </c>
      <c r="E1587" t="s">
        <v>169</v>
      </c>
      <c r="F1587">
        <v>407170</v>
      </c>
      <c r="G1587" t="s">
        <v>107</v>
      </c>
      <c r="H1587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4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hidden="1" x14ac:dyDescent="0.25">
      <c r="A1588" s="1">
        <v>46160</v>
      </c>
      <c r="B1588" s="1">
        <v>46160</v>
      </c>
      <c r="C1588" t="s">
        <v>169</v>
      </c>
      <c r="D1588" s="38">
        <v>5</v>
      </c>
      <c r="E1588" t="s">
        <v>169</v>
      </c>
      <c r="F1588">
        <v>1805340</v>
      </c>
      <c r="G1588" t="s">
        <v>298</v>
      </c>
      <c r="H1588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4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hidden="1" x14ac:dyDescent="0.25">
      <c r="A1589" s="1">
        <v>46160</v>
      </c>
      <c r="B1589" s="1">
        <v>46160</v>
      </c>
      <c r="C1589" t="s">
        <v>169</v>
      </c>
      <c r="D1589" s="38">
        <v>5</v>
      </c>
      <c r="E1589" t="s">
        <v>169</v>
      </c>
      <c r="F1589">
        <v>1802659</v>
      </c>
      <c r="G1589" t="s">
        <v>161</v>
      </c>
      <c r="H1589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4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hidden="1" x14ac:dyDescent="0.25">
      <c r="A1590" s="1">
        <v>46160</v>
      </c>
      <c r="B1590" s="1">
        <v>46160</v>
      </c>
      <c r="C1590" t="s">
        <v>169</v>
      </c>
      <c r="D1590" s="38">
        <v>5</v>
      </c>
      <c r="E1590" t="s">
        <v>169</v>
      </c>
      <c r="F1590">
        <v>2304053</v>
      </c>
      <c r="G1590" t="s">
        <v>213</v>
      </c>
      <c r="H1590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4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hidden="1" x14ac:dyDescent="0.25">
      <c r="A1591" s="1">
        <v>46160</v>
      </c>
      <c r="B1591" s="1">
        <v>46160</v>
      </c>
      <c r="C1591" t="s">
        <v>169</v>
      </c>
      <c r="D1591" s="38">
        <v>5</v>
      </c>
      <c r="E1591" t="s">
        <v>169</v>
      </c>
      <c r="F1591">
        <v>1802162</v>
      </c>
      <c r="G1591" t="s">
        <v>260</v>
      </c>
      <c r="H159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4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hidden="1" x14ac:dyDescent="0.25">
      <c r="A1592" s="1">
        <v>46160</v>
      </c>
      <c r="B1592" s="1">
        <v>46160</v>
      </c>
      <c r="C1592" t="s">
        <v>169</v>
      </c>
      <c r="D1592" s="38">
        <v>5</v>
      </c>
      <c r="E1592" t="s">
        <v>169</v>
      </c>
      <c r="F1592">
        <v>304002</v>
      </c>
      <c r="G1592" t="s">
        <v>37</v>
      </c>
      <c r="H1592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4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hidden="1" x14ac:dyDescent="0.25">
      <c r="A1593" s="1">
        <v>46160</v>
      </c>
      <c r="B1593" s="1">
        <v>46160</v>
      </c>
      <c r="C1593" t="s">
        <v>169</v>
      </c>
      <c r="D1593" s="38">
        <v>5</v>
      </c>
      <c r="E1593" t="s">
        <v>169</v>
      </c>
      <c r="F1593">
        <v>1902003</v>
      </c>
      <c r="G1593" t="s">
        <v>155</v>
      </c>
      <c r="H1593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4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hidden="1" x14ac:dyDescent="0.25">
      <c r="A1594" s="1">
        <v>46160</v>
      </c>
      <c r="B1594" s="1">
        <v>46160</v>
      </c>
      <c r="C1594" t="s">
        <v>169</v>
      </c>
      <c r="D1594" s="38">
        <v>5</v>
      </c>
      <c r="E1594" t="s">
        <v>169</v>
      </c>
      <c r="F1594">
        <v>2304056</v>
      </c>
      <c r="G1594" t="s">
        <v>417</v>
      </c>
      <c r="H1594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4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hidden="1" x14ac:dyDescent="0.25">
      <c r="A1595" s="1">
        <v>46160</v>
      </c>
      <c r="B1595" s="1">
        <v>46160</v>
      </c>
      <c r="C1595" t="s">
        <v>169</v>
      </c>
      <c r="D1595" s="38">
        <v>5</v>
      </c>
      <c r="E1595" t="s">
        <v>169</v>
      </c>
      <c r="F1595">
        <v>609008</v>
      </c>
      <c r="G1595" t="s">
        <v>57</v>
      </c>
      <c r="H1595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4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hidden="1" x14ac:dyDescent="0.25">
      <c r="A1596" s="1">
        <v>46160</v>
      </c>
      <c r="B1596" s="1">
        <v>46160</v>
      </c>
      <c r="C1596" t="s">
        <v>169</v>
      </c>
      <c r="D1596" s="38">
        <v>5</v>
      </c>
      <c r="E1596" t="s">
        <v>169</v>
      </c>
      <c r="F1596">
        <v>617057</v>
      </c>
      <c r="G1596" t="s">
        <v>134</v>
      </c>
      <c r="H1596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4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hidden="1" x14ac:dyDescent="0.25">
      <c r="A1597" s="1">
        <v>46160</v>
      </c>
      <c r="B1597" s="1">
        <v>46160</v>
      </c>
      <c r="C1597" t="s">
        <v>169</v>
      </c>
      <c r="D1597" s="38">
        <v>5</v>
      </c>
      <c r="E1597" t="s">
        <v>169</v>
      </c>
      <c r="F1597">
        <v>617016</v>
      </c>
      <c r="G1597" t="s">
        <v>133</v>
      </c>
      <c r="H1597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4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hidden="1" x14ac:dyDescent="0.25">
      <c r="A1598" s="1">
        <v>46160</v>
      </c>
      <c r="B1598" s="1">
        <v>46160</v>
      </c>
      <c r="C1598" t="s">
        <v>169</v>
      </c>
      <c r="D1598" s="38">
        <v>5</v>
      </c>
      <c r="E1598" t="s">
        <v>169</v>
      </c>
      <c r="F1598">
        <v>1610023</v>
      </c>
      <c r="G1598" t="s">
        <v>351</v>
      </c>
      <c r="H1598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4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hidden="1" x14ac:dyDescent="0.25">
      <c r="A1599" s="1">
        <v>46160</v>
      </c>
      <c r="B1599" s="1">
        <v>46160</v>
      </c>
      <c r="C1599" t="s">
        <v>169</v>
      </c>
      <c r="D1599" s="38">
        <v>5</v>
      </c>
      <c r="E1599" t="s">
        <v>169</v>
      </c>
      <c r="F1599">
        <v>704079</v>
      </c>
      <c r="G1599" t="s">
        <v>209</v>
      </c>
      <c r="H1599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4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hidden="1" x14ac:dyDescent="0.25">
      <c r="A1600" s="1">
        <v>46160</v>
      </c>
      <c r="B1600" s="1">
        <v>46160</v>
      </c>
      <c r="C1600" t="s">
        <v>169</v>
      </c>
      <c r="D1600" s="38">
        <v>5</v>
      </c>
      <c r="E1600" t="s">
        <v>169</v>
      </c>
      <c r="F1600">
        <v>304101</v>
      </c>
      <c r="G1600" t="s">
        <v>17</v>
      </c>
      <c r="H1600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4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hidden="1" x14ac:dyDescent="0.25">
      <c r="A1601" s="1">
        <v>46160</v>
      </c>
      <c r="B1601" s="1">
        <v>46160</v>
      </c>
      <c r="C1601" t="s">
        <v>169</v>
      </c>
      <c r="D1601" s="38">
        <v>5</v>
      </c>
      <c r="E1601" t="s">
        <v>169</v>
      </c>
      <c r="F1601">
        <v>412280</v>
      </c>
      <c r="G1601" t="s">
        <v>40</v>
      </c>
      <c r="H160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4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hidden="1" x14ac:dyDescent="0.25">
      <c r="A1602" s="1">
        <v>46160</v>
      </c>
      <c r="B1602" s="1">
        <v>46160</v>
      </c>
      <c r="C1602" t="s">
        <v>169</v>
      </c>
      <c r="D1602" s="38">
        <v>5</v>
      </c>
      <c r="E1602" t="s">
        <v>169</v>
      </c>
      <c r="F1602">
        <v>4212234</v>
      </c>
      <c r="G1602" t="s">
        <v>54</v>
      </c>
      <c r="H1602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4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hidden="1" x14ac:dyDescent="0.25">
      <c r="A1603" s="1">
        <v>46160</v>
      </c>
      <c r="B1603" s="1">
        <v>46160</v>
      </c>
      <c r="C1603" t="s">
        <v>169</v>
      </c>
      <c r="D1603" s="38">
        <v>5</v>
      </c>
      <c r="E1603" t="s">
        <v>169</v>
      </c>
      <c r="F1603">
        <v>1902013</v>
      </c>
      <c r="G1603" t="s">
        <v>338</v>
      </c>
      <c r="H1603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4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hidden="1" x14ac:dyDescent="0.25">
      <c r="A1604" s="1">
        <v>46160</v>
      </c>
      <c r="B1604" s="1">
        <v>46160</v>
      </c>
      <c r="C1604" t="s">
        <v>169</v>
      </c>
      <c r="D1604" s="38">
        <v>5</v>
      </c>
      <c r="E1604" t="s">
        <v>169</v>
      </c>
      <c r="F1604">
        <v>412301</v>
      </c>
      <c r="G1604" t="s">
        <v>327</v>
      </c>
      <c r="H1604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4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hidden="1" x14ac:dyDescent="0.25">
      <c r="A1605" s="1">
        <v>46160</v>
      </c>
      <c r="B1605" s="1">
        <v>46160</v>
      </c>
      <c r="C1605" t="s">
        <v>169</v>
      </c>
      <c r="D1605" s="38">
        <v>5</v>
      </c>
      <c r="E1605" t="s">
        <v>169</v>
      </c>
      <c r="F1605">
        <v>407011</v>
      </c>
      <c r="G1605" t="s">
        <v>30</v>
      </c>
      <c r="H1605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4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hidden="1" x14ac:dyDescent="0.25">
      <c r="A1606" s="1">
        <v>46160</v>
      </c>
      <c r="B1606" s="1">
        <v>46160</v>
      </c>
      <c r="C1606" t="s">
        <v>169</v>
      </c>
      <c r="D1606" s="38">
        <v>5</v>
      </c>
      <c r="E1606" t="s">
        <v>169</v>
      </c>
      <c r="F1606">
        <v>408017</v>
      </c>
      <c r="G1606" t="s">
        <v>443</v>
      </c>
      <c r="H1606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4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hidden="1" x14ac:dyDescent="0.25">
      <c r="A1607" s="1">
        <v>46160</v>
      </c>
      <c r="B1607" s="1">
        <v>46160</v>
      </c>
      <c r="C1607" t="s">
        <v>169</v>
      </c>
      <c r="D1607" s="38">
        <v>5</v>
      </c>
      <c r="E1607" t="s">
        <v>169</v>
      </c>
      <c r="F1607">
        <v>412302</v>
      </c>
      <c r="G1607" t="s">
        <v>165</v>
      </c>
      <c r="H1607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4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hidden="1" x14ac:dyDescent="0.25">
      <c r="A1608" s="1">
        <v>46160</v>
      </c>
      <c r="B1608" s="1">
        <v>46160</v>
      </c>
      <c r="C1608" t="s">
        <v>169</v>
      </c>
      <c r="D1608" s="38">
        <v>5</v>
      </c>
      <c r="E1608" t="s">
        <v>169</v>
      </c>
      <c r="F1608">
        <v>407427</v>
      </c>
      <c r="G1608" t="s">
        <v>172</v>
      </c>
      <c r="H1608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4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hidden="1" x14ac:dyDescent="0.25">
      <c r="A1609" s="1">
        <v>46160</v>
      </c>
      <c r="B1609" s="1">
        <v>46160</v>
      </c>
      <c r="C1609" t="s">
        <v>169</v>
      </c>
      <c r="D1609" s="38">
        <v>5</v>
      </c>
      <c r="E1609" t="s">
        <v>169</v>
      </c>
      <c r="F1609">
        <v>707023</v>
      </c>
      <c r="G1609" t="s">
        <v>794</v>
      </c>
      <c r="H1609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4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hidden="1" x14ac:dyDescent="0.25">
      <c r="A1610" s="1">
        <v>46160</v>
      </c>
      <c r="B1610" s="1">
        <v>46160</v>
      </c>
      <c r="C1610" t="s">
        <v>169</v>
      </c>
      <c r="D1610" s="38">
        <v>5</v>
      </c>
      <c r="E1610" t="s">
        <v>169</v>
      </c>
      <c r="F1610">
        <v>410045</v>
      </c>
      <c r="G1610" t="s">
        <v>110</v>
      </c>
      <c r="H1610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4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hidden="1" x14ac:dyDescent="0.25">
      <c r="A1611" s="1">
        <v>46160</v>
      </c>
      <c r="B1611" s="1">
        <v>46160</v>
      </c>
      <c r="C1611" t="s">
        <v>169</v>
      </c>
      <c r="D1611" s="38">
        <v>5</v>
      </c>
      <c r="E1611" t="s">
        <v>169</v>
      </c>
      <c r="F1611">
        <v>412260</v>
      </c>
      <c r="G1611" t="s">
        <v>41</v>
      </c>
      <c r="H161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4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hidden="1" x14ac:dyDescent="0.25">
      <c r="A1612" s="1">
        <v>46160</v>
      </c>
      <c r="B1612" s="1">
        <v>46160</v>
      </c>
      <c r="C1612" t="s">
        <v>169</v>
      </c>
      <c r="D1612" s="38">
        <v>5</v>
      </c>
      <c r="E1612" t="s">
        <v>169</v>
      </c>
      <c r="F1612" t="s">
        <v>386</v>
      </c>
      <c r="G1612" t="s">
        <v>83</v>
      </c>
      <c r="H1612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4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hidden="1" x14ac:dyDescent="0.25">
      <c r="A1613" s="1">
        <v>46160</v>
      </c>
      <c r="B1613" s="1">
        <v>46160</v>
      </c>
      <c r="C1613" t="s">
        <v>169</v>
      </c>
      <c r="D1613" s="38">
        <v>5</v>
      </c>
      <c r="E1613" t="s">
        <v>169</v>
      </c>
      <c r="F1613">
        <v>302054</v>
      </c>
      <c r="G1613" t="s">
        <v>356</v>
      </c>
      <c r="H1613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4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hidden="1" x14ac:dyDescent="0.25">
      <c r="A1614" s="1">
        <v>46160</v>
      </c>
      <c r="B1614" s="1">
        <v>46160</v>
      </c>
      <c r="C1614" t="s">
        <v>169</v>
      </c>
      <c r="D1614" s="38">
        <v>5</v>
      </c>
      <c r="E1614" t="s">
        <v>169</v>
      </c>
      <c r="F1614">
        <v>408042</v>
      </c>
      <c r="G1614" t="s">
        <v>144</v>
      </c>
      <c r="H1614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4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hidden="1" x14ac:dyDescent="0.25">
      <c r="A1615" s="1">
        <v>46161</v>
      </c>
      <c r="B1615" s="1">
        <v>46161</v>
      </c>
      <c r="C1615" t="s">
        <v>169</v>
      </c>
      <c r="D1615" s="38">
        <v>5</v>
      </c>
      <c r="E1615" t="s">
        <v>169</v>
      </c>
      <c r="F1615">
        <v>907034</v>
      </c>
      <c r="G1615" t="s">
        <v>256</v>
      </c>
      <c r="H1615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4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hidden="1" x14ac:dyDescent="0.25">
      <c r="A1616" s="1">
        <v>46161</v>
      </c>
      <c r="B1616" s="1">
        <v>46161</v>
      </c>
      <c r="C1616" t="s">
        <v>169</v>
      </c>
      <c r="D1616" s="38">
        <v>5</v>
      </c>
      <c r="E1616" t="s">
        <v>169</v>
      </c>
      <c r="F1616">
        <v>2505058</v>
      </c>
      <c r="G1616" t="s">
        <v>142</v>
      </c>
      <c r="H1616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4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hidden="1" x14ac:dyDescent="0.25">
      <c r="A1617" s="1">
        <v>46161</v>
      </c>
      <c r="B1617" s="1">
        <v>46161</v>
      </c>
      <c r="C1617" t="s">
        <v>169</v>
      </c>
      <c r="D1617" s="38">
        <v>5</v>
      </c>
      <c r="E1617" t="s">
        <v>169</v>
      </c>
      <c r="F1617">
        <v>2304008</v>
      </c>
      <c r="G1617" t="s">
        <v>704</v>
      </c>
      <c r="H1617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4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hidden="1" x14ac:dyDescent="0.25">
      <c r="A1618" s="1">
        <v>46161</v>
      </c>
      <c r="B1618" s="1">
        <v>46161</v>
      </c>
      <c r="C1618" t="s">
        <v>169</v>
      </c>
      <c r="D1618" s="38">
        <v>5</v>
      </c>
      <c r="E1618" t="s">
        <v>169</v>
      </c>
      <c r="F1618">
        <v>1901008</v>
      </c>
      <c r="G1618" t="s">
        <v>278</v>
      </c>
      <c r="H1618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4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hidden="1" x14ac:dyDescent="0.25">
      <c r="A1619" s="1">
        <v>46161</v>
      </c>
      <c r="B1619" s="1">
        <v>46161</v>
      </c>
      <c r="C1619" t="s">
        <v>169</v>
      </c>
      <c r="D1619" s="38">
        <v>5</v>
      </c>
      <c r="E1619" t="s">
        <v>169</v>
      </c>
      <c r="F1619">
        <v>307033</v>
      </c>
      <c r="G1619" t="s">
        <v>248</v>
      </c>
      <c r="H1619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4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hidden="1" x14ac:dyDescent="0.25">
      <c r="A1620" s="1">
        <v>46161</v>
      </c>
      <c r="B1620" s="1">
        <v>46161</v>
      </c>
      <c r="C1620" t="s">
        <v>169</v>
      </c>
      <c r="D1620" s="38">
        <v>5</v>
      </c>
      <c r="E1620" t="s">
        <v>169</v>
      </c>
      <c r="F1620">
        <v>307030</v>
      </c>
      <c r="G1620" t="s">
        <v>64</v>
      </c>
      <c r="H1620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4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hidden="1" x14ac:dyDescent="0.25">
      <c r="A1621" s="1">
        <v>46161</v>
      </c>
      <c r="B1621" s="1">
        <v>46161</v>
      </c>
      <c r="C1621" t="s">
        <v>169</v>
      </c>
      <c r="D1621" s="38">
        <v>5</v>
      </c>
      <c r="E1621" t="s">
        <v>169</v>
      </c>
      <c r="F1621">
        <v>307031</v>
      </c>
      <c r="G1621" t="s">
        <v>65</v>
      </c>
      <c r="H162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4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hidden="1" x14ac:dyDescent="0.25">
      <c r="A1622" s="1">
        <v>46161</v>
      </c>
      <c r="B1622" s="1">
        <v>46161</v>
      </c>
      <c r="C1622" t="s">
        <v>169</v>
      </c>
      <c r="D1622" s="38">
        <v>5</v>
      </c>
      <c r="E1622" t="s">
        <v>169</v>
      </c>
      <c r="F1622">
        <v>307096</v>
      </c>
      <c r="G1622" t="s">
        <v>249</v>
      </c>
      <c r="H1622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4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hidden="1" x14ac:dyDescent="0.25">
      <c r="A1623" s="1">
        <v>46161</v>
      </c>
      <c r="B1623" s="1">
        <v>46161</v>
      </c>
      <c r="C1623" t="s">
        <v>169</v>
      </c>
      <c r="D1623" s="38">
        <v>5</v>
      </c>
      <c r="E1623" t="s">
        <v>169</v>
      </c>
      <c r="F1623">
        <v>2304053</v>
      </c>
      <c r="G1623" t="s">
        <v>213</v>
      </c>
      <c r="H1623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4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hidden="1" x14ac:dyDescent="0.25">
      <c r="A1624" s="1">
        <v>46161</v>
      </c>
      <c r="B1624" s="1">
        <v>46161</v>
      </c>
      <c r="C1624" t="s">
        <v>169</v>
      </c>
      <c r="D1624" s="38">
        <v>5</v>
      </c>
      <c r="E1624" t="s">
        <v>169</v>
      </c>
      <c r="F1624">
        <v>2304002</v>
      </c>
      <c r="G1624" t="s">
        <v>212</v>
      </c>
      <c r="H1624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4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hidden="1" x14ac:dyDescent="0.25">
      <c r="A1625" s="1">
        <v>46161</v>
      </c>
      <c r="B1625" s="1">
        <v>46161</v>
      </c>
      <c r="C1625" t="s">
        <v>169</v>
      </c>
      <c r="D1625" s="38">
        <v>5</v>
      </c>
      <c r="E1625" t="s">
        <v>169</v>
      </c>
      <c r="F1625">
        <v>2302119</v>
      </c>
      <c r="G1625" t="s">
        <v>74</v>
      </c>
      <c r="H1625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4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hidden="1" x14ac:dyDescent="0.25">
      <c r="A1626" s="1">
        <v>46161</v>
      </c>
      <c r="B1626" s="1">
        <v>46161</v>
      </c>
      <c r="C1626" t="s">
        <v>169</v>
      </c>
      <c r="D1626" s="38">
        <v>5</v>
      </c>
      <c r="E1626" t="s">
        <v>169</v>
      </c>
      <c r="F1626">
        <v>408042</v>
      </c>
      <c r="G1626" t="s">
        <v>144</v>
      </c>
      <c r="H1626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4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hidden="1" x14ac:dyDescent="0.25">
      <c r="A1627" s="1">
        <v>46161</v>
      </c>
      <c r="B1627" s="1">
        <v>46161</v>
      </c>
      <c r="C1627" t="s">
        <v>169</v>
      </c>
      <c r="D1627" s="38">
        <v>5</v>
      </c>
      <c r="E1627" t="s">
        <v>169</v>
      </c>
      <c r="F1627">
        <v>1901008</v>
      </c>
      <c r="G1627" t="s">
        <v>278</v>
      </c>
      <c r="H1627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4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hidden="1" x14ac:dyDescent="0.25">
      <c r="A1628" s="1">
        <v>46161</v>
      </c>
      <c r="B1628" s="1">
        <v>46161</v>
      </c>
      <c r="C1628" t="s">
        <v>169</v>
      </c>
      <c r="D1628" s="38">
        <v>5</v>
      </c>
      <c r="E1628" t="s">
        <v>169</v>
      </c>
      <c r="F1628">
        <v>1901038</v>
      </c>
      <c r="G1628" t="s">
        <v>39</v>
      </c>
      <c r="H1628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4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hidden="1" x14ac:dyDescent="0.25">
      <c r="A1629" s="1">
        <v>46161</v>
      </c>
      <c r="B1629" s="1">
        <v>46161</v>
      </c>
      <c r="C1629" t="s">
        <v>169</v>
      </c>
      <c r="D1629" s="38">
        <v>5</v>
      </c>
      <c r="E1629" t="s">
        <v>169</v>
      </c>
      <c r="F1629">
        <v>1901086</v>
      </c>
      <c r="G1629" t="s">
        <v>279</v>
      </c>
      <c r="H1629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4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hidden="1" x14ac:dyDescent="0.25">
      <c r="A1630" s="1">
        <v>46161</v>
      </c>
      <c r="B1630" s="1">
        <v>46161</v>
      </c>
      <c r="C1630" t="s">
        <v>169</v>
      </c>
      <c r="D1630" s="38">
        <v>5</v>
      </c>
      <c r="E1630" t="s">
        <v>169</v>
      </c>
      <c r="F1630">
        <v>412313</v>
      </c>
      <c r="G1630" t="s">
        <v>253</v>
      </c>
      <c r="H1630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4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hidden="1" x14ac:dyDescent="0.25">
      <c r="A1631" s="1">
        <v>46161</v>
      </c>
      <c r="B1631" s="1">
        <v>46161</v>
      </c>
      <c r="C1631" t="s">
        <v>169</v>
      </c>
      <c r="D1631" s="38">
        <v>5</v>
      </c>
      <c r="E1631" t="s">
        <v>169</v>
      </c>
      <c r="F1631">
        <v>302249</v>
      </c>
      <c r="G1631" t="s">
        <v>178</v>
      </c>
      <c r="H163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4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hidden="1" x14ac:dyDescent="0.25">
      <c r="A1632" s="1">
        <v>46161</v>
      </c>
      <c r="B1632" s="1">
        <v>46161</v>
      </c>
      <c r="C1632" t="s">
        <v>169</v>
      </c>
      <c r="D1632" s="38">
        <v>5</v>
      </c>
      <c r="E1632" t="s">
        <v>169</v>
      </c>
      <c r="F1632" t="s">
        <v>21</v>
      </c>
      <c r="G1632" t="s">
        <v>22</v>
      </c>
      <c r="H1632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4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hidden="1" x14ac:dyDescent="0.25">
      <c r="A1633" s="1">
        <v>46161</v>
      </c>
      <c r="B1633" s="1">
        <v>46161</v>
      </c>
      <c r="C1633" t="s">
        <v>169</v>
      </c>
      <c r="D1633" s="38">
        <v>5</v>
      </c>
      <c r="E1633" t="s">
        <v>169</v>
      </c>
      <c r="F1633">
        <v>302046</v>
      </c>
      <c r="G1633" t="s">
        <v>115</v>
      </c>
      <c r="H1633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4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hidden="1" x14ac:dyDescent="0.25">
      <c r="A1634" s="1">
        <v>46162</v>
      </c>
      <c r="B1634" s="1">
        <v>46162</v>
      </c>
      <c r="C1634" t="s">
        <v>169</v>
      </c>
      <c r="D1634" s="38">
        <v>5</v>
      </c>
      <c r="E1634" t="s">
        <v>169</v>
      </c>
      <c r="F1634">
        <v>408034</v>
      </c>
      <c r="G1634" t="s">
        <v>250</v>
      </c>
      <c r="H1634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4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hidden="1" x14ac:dyDescent="0.25">
      <c r="A1635" s="1">
        <v>46162</v>
      </c>
      <c r="B1635" s="1">
        <v>46162</v>
      </c>
      <c r="C1635" t="s">
        <v>169</v>
      </c>
      <c r="D1635" s="38">
        <v>5</v>
      </c>
      <c r="E1635" t="s">
        <v>169</v>
      </c>
      <c r="F1635">
        <v>407185</v>
      </c>
      <c r="G1635" t="s">
        <v>43</v>
      </c>
      <c r="H1635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4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hidden="1" x14ac:dyDescent="0.25">
      <c r="A1636" s="1">
        <v>46162</v>
      </c>
      <c r="B1636" s="1">
        <v>46162</v>
      </c>
      <c r="C1636" t="s">
        <v>169</v>
      </c>
      <c r="D1636" s="38">
        <v>5</v>
      </c>
      <c r="E1636" t="s">
        <v>169</v>
      </c>
      <c r="F1636">
        <v>407423</v>
      </c>
      <c r="G1636" t="s">
        <v>106</v>
      </c>
      <c r="H1636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4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hidden="1" x14ac:dyDescent="0.25">
      <c r="A1637" s="1">
        <v>46162</v>
      </c>
      <c r="B1637" s="1">
        <v>46162</v>
      </c>
      <c r="C1637" t="s">
        <v>169</v>
      </c>
      <c r="D1637" s="38">
        <v>5</v>
      </c>
      <c r="E1637" t="s">
        <v>169</v>
      </c>
      <c r="F1637">
        <v>1801735</v>
      </c>
      <c r="G1637" t="s">
        <v>73</v>
      </c>
      <c r="H1637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4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hidden="1" x14ac:dyDescent="0.25">
      <c r="A1638" s="1">
        <v>46162</v>
      </c>
      <c r="B1638" s="1">
        <v>46162</v>
      </c>
      <c r="C1638" t="s">
        <v>169</v>
      </c>
      <c r="D1638" s="38">
        <v>5</v>
      </c>
      <c r="E1638" t="s">
        <v>169</v>
      </c>
      <c r="F1638">
        <v>1802162</v>
      </c>
      <c r="G1638" t="s">
        <v>260</v>
      </c>
      <c r="H1638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4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hidden="1" x14ac:dyDescent="0.25">
      <c r="A1639" s="1">
        <v>46162</v>
      </c>
      <c r="B1639" s="1">
        <v>46162</v>
      </c>
      <c r="C1639" t="s">
        <v>169</v>
      </c>
      <c r="D1639" s="38">
        <v>5</v>
      </c>
      <c r="E1639" t="s">
        <v>169</v>
      </c>
      <c r="F1639">
        <v>1808156</v>
      </c>
      <c r="G1639" t="s">
        <v>277</v>
      </c>
      <c r="H1639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4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hidden="1" x14ac:dyDescent="0.25">
      <c r="A1640" s="1">
        <v>46162</v>
      </c>
      <c r="B1640" s="1">
        <v>46162</v>
      </c>
      <c r="C1640" t="s">
        <v>169</v>
      </c>
      <c r="D1640" s="38">
        <v>5</v>
      </c>
      <c r="E1640" t="s">
        <v>169</v>
      </c>
      <c r="F1640">
        <v>1808006</v>
      </c>
      <c r="G1640" t="s">
        <v>194</v>
      </c>
      <c r="H1640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4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hidden="1" x14ac:dyDescent="0.25">
      <c r="A1641" s="1">
        <v>46162</v>
      </c>
      <c r="B1641" s="1">
        <v>46162</v>
      </c>
      <c r="C1641" t="s">
        <v>169</v>
      </c>
      <c r="D1641" s="38">
        <v>5</v>
      </c>
      <c r="E1641" t="s">
        <v>169</v>
      </c>
      <c r="F1641">
        <v>1808003</v>
      </c>
      <c r="G1641" t="s">
        <v>195</v>
      </c>
      <c r="H164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4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hidden="1" x14ac:dyDescent="0.25">
      <c r="A1642" s="1">
        <v>46162</v>
      </c>
      <c r="B1642" s="1">
        <v>46162</v>
      </c>
      <c r="C1642" t="s">
        <v>169</v>
      </c>
      <c r="D1642" s="38">
        <v>5</v>
      </c>
      <c r="E1642" t="s">
        <v>169</v>
      </c>
      <c r="F1642">
        <v>1802517</v>
      </c>
      <c r="G1642" t="s">
        <v>141</v>
      </c>
      <c r="H1642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4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hidden="1" x14ac:dyDescent="0.25">
      <c r="A1643" s="1">
        <v>46162</v>
      </c>
      <c r="B1643" s="1">
        <v>46162</v>
      </c>
      <c r="C1643" t="s">
        <v>169</v>
      </c>
      <c r="D1643" s="38">
        <v>5</v>
      </c>
      <c r="E1643" t="s">
        <v>169</v>
      </c>
      <c r="F1643">
        <v>1802172</v>
      </c>
      <c r="G1643" t="s">
        <v>266</v>
      </c>
      <c r="H1643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4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hidden="1" x14ac:dyDescent="0.25">
      <c r="A1644" s="1">
        <v>46162</v>
      </c>
      <c r="B1644" s="1">
        <v>46162</v>
      </c>
      <c r="C1644" t="s">
        <v>169</v>
      </c>
      <c r="D1644" s="38">
        <v>5</v>
      </c>
      <c r="E1644" t="s">
        <v>169</v>
      </c>
      <c r="F1644">
        <v>1802171</v>
      </c>
      <c r="G1644" t="s">
        <v>265</v>
      </c>
      <c r="H1644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4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hidden="1" x14ac:dyDescent="0.25">
      <c r="A1645" s="1">
        <v>46162</v>
      </c>
      <c r="B1645" s="1">
        <v>46162</v>
      </c>
      <c r="C1645" t="s">
        <v>169</v>
      </c>
      <c r="D1645" s="38">
        <v>5</v>
      </c>
      <c r="E1645" t="s">
        <v>169</v>
      </c>
      <c r="F1645">
        <v>1206002</v>
      </c>
      <c r="G1645" t="s">
        <v>192</v>
      </c>
      <c r="H1645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4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hidden="1" x14ac:dyDescent="0.25">
      <c r="A1646" s="1">
        <v>46162</v>
      </c>
      <c r="B1646" s="1">
        <v>46162</v>
      </c>
      <c r="C1646" t="s">
        <v>169</v>
      </c>
      <c r="D1646" s="38">
        <v>5</v>
      </c>
      <c r="E1646" t="s">
        <v>169</v>
      </c>
      <c r="F1646">
        <v>304049</v>
      </c>
      <c r="G1646" t="s">
        <v>318</v>
      </c>
      <c r="H1646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4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hidden="1" x14ac:dyDescent="0.25">
      <c r="A1647" s="1">
        <v>46162</v>
      </c>
      <c r="B1647" s="1">
        <v>46162</v>
      </c>
      <c r="C1647" t="s">
        <v>169</v>
      </c>
      <c r="D1647" s="38">
        <v>5</v>
      </c>
      <c r="E1647" t="s">
        <v>169</v>
      </c>
      <c r="F1647" t="s">
        <v>231</v>
      </c>
      <c r="G1647" t="s">
        <v>180</v>
      </c>
      <c r="H1647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4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hidden="1" x14ac:dyDescent="0.25">
      <c r="A1648" s="1">
        <v>46162</v>
      </c>
      <c r="B1648" s="1">
        <v>46162</v>
      </c>
      <c r="C1648" t="s">
        <v>169</v>
      </c>
      <c r="D1648" s="38">
        <v>5</v>
      </c>
      <c r="E1648" t="s">
        <v>169</v>
      </c>
      <c r="F1648">
        <v>407011</v>
      </c>
      <c r="G1648" t="s">
        <v>30</v>
      </c>
      <c r="H1648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4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hidden="1" x14ac:dyDescent="0.25">
      <c r="A1649" s="1">
        <v>46162</v>
      </c>
      <c r="B1649" s="1">
        <v>46162</v>
      </c>
      <c r="C1649" t="s">
        <v>169</v>
      </c>
      <c r="D1649" s="38">
        <v>5</v>
      </c>
      <c r="E1649" t="s">
        <v>169</v>
      </c>
      <c r="F1649">
        <v>408088</v>
      </c>
      <c r="G1649" t="s">
        <v>109</v>
      </c>
      <c r="H1649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4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hidden="1" x14ac:dyDescent="0.25">
      <c r="A1650" s="1">
        <v>46162</v>
      </c>
      <c r="B1650" s="1">
        <v>46162</v>
      </c>
      <c r="C1650" t="s">
        <v>169</v>
      </c>
      <c r="D1650" s="38">
        <v>5</v>
      </c>
      <c r="E1650" t="s">
        <v>169</v>
      </c>
      <c r="F1650">
        <v>408014</v>
      </c>
      <c r="G1650" t="s">
        <v>108</v>
      </c>
      <c r="H1650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4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hidden="1" x14ac:dyDescent="0.25">
      <c r="A1651" s="1">
        <v>46162</v>
      </c>
      <c r="B1651" s="1">
        <v>46162</v>
      </c>
      <c r="C1651" t="s">
        <v>169</v>
      </c>
      <c r="D1651" s="38">
        <v>5</v>
      </c>
      <c r="E1651" t="s">
        <v>169</v>
      </c>
      <c r="F1651">
        <v>701084</v>
      </c>
      <c r="G1651" t="s">
        <v>38</v>
      </c>
      <c r="H165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4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hidden="1" x14ac:dyDescent="0.25">
      <c r="A1652" s="1">
        <v>46162</v>
      </c>
      <c r="B1652" s="1">
        <v>46162</v>
      </c>
      <c r="C1652" t="s">
        <v>169</v>
      </c>
      <c r="D1652" s="38">
        <v>5</v>
      </c>
      <c r="E1652" t="s">
        <v>169</v>
      </c>
      <c r="F1652">
        <v>407185</v>
      </c>
      <c r="G1652" t="s">
        <v>43</v>
      </c>
      <c r="H1652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4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hidden="1" x14ac:dyDescent="0.25">
      <c r="A1653" s="1">
        <v>46162</v>
      </c>
      <c r="B1653" s="1">
        <v>46162</v>
      </c>
      <c r="C1653" t="s">
        <v>169</v>
      </c>
      <c r="D1653" s="38">
        <v>5</v>
      </c>
      <c r="E1653" t="s">
        <v>169</v>
      </c>
      <c r="F1653">
        <v>408034</v>
      </c>
      <c r="G1653" t="s">
        <v>250</v>
      </c>
      <c r="H1653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4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hidden="1" x14ac:dyDescent="0.25">
      <c r="A1654" s="1">
        <v>46162</v>
      </c>
      <c r="B1654" s="1">
        <v>46162</v>
      </c>
      <c r="C1654" t="s">
        <v>169</v>
      </c>
      <c r="D1654" s="38">
        <v>5</v>
      </c>
      <c r="E1654" t="s">
        <v>169</v>
      </c>
      <c r="F1654">
        <v>2304002</v>
      </c>
      <c r="G1654" t="s">
        <v>212</v>
      </c>
      <c r="H1654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4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hidden="1" x14ac:dyDescent="0.25">
      <c r="A1655" s="1">
        <v>46162</v>
      </c>
      <c r="B1655" s="1">
        <v>46162</v>
      </c>
      <c r="C1655" t="s">
        <v>169</v>
      </c>
      <c r="D1655" s="38">
        <v>5</v>
      </c>
      <c r="E1655" t="s">
        <v>169</v>
      </c>
      <c r="F1655">
        <v>2302119</v>
      </c>
      <c r="G1655" t="s">
        <v>74</v>
      </c>
      <c r="H1655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4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hidden="1" x14ac:dyDescent="0.25">
      <c r="A1656" s="1">
        <v>46162</v>
      </c>
      <c r="B1656" s="1">
        <v>46162</v>
      </c>
      <c r="C1656" t="s">
        <v>169</v>
      </c>
      <c r="D1656" s="38">
        <v>5</v>
      </c>
      <c r="E1656" t="s">
        <v>169</v>
      </c>
      <c r="F1656">
        <v>601047</v>
      </c>
      <c r="G1656" t="s">
        <v>129</v>
      </c>
      <c r="H1656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4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hidden="1" x14ac:dyDescent="0.25">
      <c r="A1657" s="1">
        <v>46162</v>
      </c>
      <c r="B1657" s="1">
        <v>46162</v>
      </c>
      <c r="C1657" t="s">
        <v>169</v>
      </c>
      <c r="D1657" s="38">
        <v>5</v>
      </c>
      <c r="E1657" t="s">
        <v>169</v>
      </c>
      <c r="F1657">
        <v>2304008</v>
      </c>
      <c r="G1657" t="s">
        <v>704</v>
      </c>
      <c r="H1657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4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hidden="1" x14ac:dyDescent="0.25">
      <c r="A1658" s="1">
        <v>46162</v>
      </c>
      <c r="B1658" s="1">
        <v>46162</v>
      </c>
      <c r="C1658" t="s">
        <v>169</v>
      </c>
      <c r="D1658" s="38">
        <v>5</v>
      </c>
      <c r="E1658" t="s">
        <v>169</v>
      </c>
      <c r="F1658">
        <v>1803045</v>
      </c>
      <c r="G1658" t="s">
        <v>337</v>
      </c>
      <c r="H1658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4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hidden="1" x14ac:dyDescent="0.25">
      <c r="A1659" s="1">
        <v>46162</v>
      </c>
      <c r="B1659" s="1">
        <v>46162</v>
      </c>
      <c r="C1659" t="s">
        <v>169</v>
      </c>
      <c r="D1659" s="38">
        <v>5</v>
      </c>
      <c r="E1659" t="s">
        <v>169</v>
      </c>
      <c r="F1659">
        <v>1803044</v>
      </c>
      <c r="G1659" t="s">
        <v>336</v>
      </c>
      <c r="H1659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4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hidden="1" x14ac:dyDescent="0.25">
      <c r="A1660" s="1">
        <v>46162</v>
      </c>
      <c r="B1660" s="1">
        <v>46162</v>
      </c>
      <c r="C1660" t="s">
        <v>169</v>
      </c>
      <c r="D1660" s="38">
        <v>5</v>
      </c>
      <c r="E1660" t="s">
        <v>169</v>
      </c>
      <c r="F1660">
        <v>1405040</v>
      </c>
      <c r="G1660" t="s">
        <v>449</v>
      </c>
      <c r="H1660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4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hidden="1" x14ac:dyDescent="0.25">
      <c r="A1661" s="1">
        <v>46162</v>
      </c>
      <c r="B1661" s="1">
        <v>46162</v>
      </c>
      <c r="C1661" t="s">
        <v>169</v>
      </c>
      <c r="D1661" s="38">
        <v>5</v>
      </c>
      <c r="E1661" t="s">
        <v>169</v>
      </c>
      <c r="F1661">
        <v>2508988</v>
      </c>
      <c r="G1661" t="s">
        <v>467</v>
      </c>
      <c r="H166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4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hidden="1" x14ac:dyDescent="0.25">
      <c r="A1662" s="1">
        <v>46162</v>
      </c>
      <c r="B1662" s="1">
        <v>46162</v>
      </c>
      <c r="C1662" t="s">
        <v>169</v>
      </c>
      <c r="D1662" s="38">
        <v>5</v>
      </c>
      <c r="E1662" t="s">
        <v>169</v>
      </c>
      <c r="F1662">
        <v>2508987</v>
      </c>
      <c r="G1662" t="s">
        <v>305</v>
      </c>
      <c r="H1662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4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hidden="1" x14ac:dyDescent="0.25">
      <c r="A1663" s="1">
        <v>46162</v>
      </c>
      <c r="B1663" s="1">
        <v>46162</v>
      </c>
      <c r="C1663" t="s">
        <v>169</v>
      </c>
      <c r="D1663" s="38">
        <v>5</v>
      </c>
      <c r="E1663" t="s">
        <v>169</v>
      </c>
      <c r="F1663">
        <v>106022</v>
      </c>
      <c r="G1663" t="s">
        <v>245</v>
      </c>
      <c r="H1663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4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hidden="1" x14ac:dyDescent="0.25">
      <c r="A1664" s="1">
        <v>46162</v>
      </c>
      <c r="B1664" s="1">
        <v>46162</v>
      </c>
      <c r="C1664" t="s">
        <v>169</v>
      </c>
      <c r="D1664" s="38">
        <v>5</v>
      </c>
      <c r="E1664" t="s">
        <v>169</v>
      </c>
      <c r="F1664">
        <v>1405025</v>
      </c>
      <c r="G1664" t="s">
        <v>189</v>
      </c>
      <c r="H1664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4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hidden="1" x14ac:dyDescent="0.25">
      <c r="A1665" s="1">
        <v>46162</v>
      </c>
      <c r="B1665" s="1">
        <v>46162</v>
      </c>
      <c r="C1665" t="s">
        <v>169</v>
      </c>
      <c r="D1665" s="38">
        <v>5</v>
      </c>
      <c r="E1665" t="s">
        <v>169</v>
      </c>
      <c r="F1665">
        <v>2508994</v>
      </c>
      <c r="G1665" t="s">
        <v>486</v>
      </c>
      <c r="H1665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4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hidden="1" x14ac:dyDescent="0.25">
      <c r="A1666" s="1">
        <v>46162</v>
      </c>
      <c r="B1666" s="1">
        <v>46162</v>
      </c>
      <c r="C1666" t="s">
        <v>169</v>
      </c>
      <c r="D1666" s="38">
        <v>5</v>
      </c>
      <c r="E1666" t="s">
        <v>169</v>
      </c>
      <c r="F1666">
        <v>2508993</v>
      </c>
      <c r="G1666" t="s">
        <v>485</v>
      </c>
      <c r="H1666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4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hidden="1" x14ac:dyDescent="0.25">
      <c r="A1667" s="1">
        <v>46162</v>
      </c>
      <c r="B1667" s="1">
        <v>46162</v>
      </c>
      <c r="C1667" t="s">
        <v>169</v>
      </c>
      <c r="D1667" s="38">
        <v>5</v>
      </c>
      <c r="E1667" t="s">
        <v>169</v>
      </c>
      <c r="F1667">
        <v>2508992</v>
      </c>
      <c r="G1667" t="s">
        <v>484</v>
      </c>
      <c r="H1667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4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hidden="1" x14ac:dyDescent="0.25">
      <c r="A1668" s="1">
        <v>46162</v>
      </c>
      <c r="B1668" s="1">
        <v>46162</v>
      </c>
      <c r="C1668" t="s">
        <v>169</v>
      </c>
      <c r="D1668" s="38">
        <v>5</v>
      </c>
      <c r="E1668" t="s">
        <v>169</v>
      </c>
      <c r="F1668">
        <v>2508991</v>
      </c>
      <c r="G1668" t="s">
        <v>483</v>
      </c>
      <c r="H1668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4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hidden="1" x14ac:dyDescent="0.25">
      <c r="A1669" s="1">
        <v>46162</v>
      </c>
      <c r="B1669" s="1">
        <v>46162</v>
      </c>
      <c r="C1669" t="s">
        <v>169</v>
      </c>
      <c r="D1669" s="38">
        <v>5</v>
      </c>
      <c r="E1669" t="s">
        <v>169</v>
      </c>
      <c r="F1669">
        <v>2508990</v>
      </c>
      <c r="G1669" t="s">
        <v>482</v>
      </c>
      <c r="H1669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4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hidden="1" x14ac:dyDescent="0.25">
      <c r="A1670" s="1">
        <v>46162</v>
      </c>
      <c r="B1670" s="1">
        <v>46162</v>
      </c>
      <c r="C1670" t="s">
        <v>169</v>
      </c>
      <c r="D1670" s="38">
        <v>5</v>
      </c>
      <c r="E1670" t="s">
        <v>169</v>
      </c>
      <c r="F1670">
        <v>1803045</v>
      </c>
      <c r="G1670" t="s">
        <v>337</v>
      </c>
      <c r="H1670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4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hidden="1" x14ac:dyDescent="0.25">
      <c r="A1671" s="1">
        <v>46162</v>
      </c>
      <c r="B1671" s="1">
        <v>46162</v>
      </c>
      <c r="C1671" t="s">
        <v>169</v>
      </c>
      <c r="D1671" s="38">
        <v>5</v>
      </c>
      <c r="E1671" t="s">
        <v>169</v>
      </c>
      <c r="F1671">
        <v>1803044</v>
      </c>
      <c r="G1671" t="s">
        <v>336</v>
      </c>
      <c r="H167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4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hidden="1" x14ac:dyDescent="0.25">
      <c r="A1672" s="1">
        <v>46162</v>
      </c>
      <c r="B1672" s="1">
        <v>46162</v>
      </c>
      <c r="C1672" t="s">
        <v>169</v>
      </c>
      <c r="D1672" s="38">
        <v>5</v>
      </c>
      <c r="E1672" t="s">
        <v>169</v>
      </c>
      <c r="F1672">
        <v>1402016</v>
      </c>
      <c r="G1672" t="s">
        <v>795</v>
      </c>
      <c r="H1672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4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hidden="1" x14ac:dyDescent="0.25">
      <c r="A1673" s="1">
        <v>46162</v>
      </c>
      <c r="B1673" s="1">
        <v>46162</v>
      </c>
      <c r="C1673" t="s">
        <v>169</v>
      </c>
      <c r="D1673" s="38">
        <v>5</v>
      </c>
      <c r="E1673" t="s">
        <v>169</v>
      </c>
      <c r="F1673">
        <v>1101298</v>
      </c>
      <c r="G1673" t="s">
        <v>796</v>
      </c>
      <c r="H1673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4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hidden="1" x14ac:dyDescent="0.25">
      <c r="A1674" s="1">
        <v>46162</v>
      </c>
      <c r="B1674" s="1">
        <v>46162</v>
      </c>
      <c r="C1674" t="s">
        <v>169</v>
      </c>
      <c r="D1674" s="38">
        <v>5</v>
      </c>
      <c r="E1674" t="s">
        <v>169</v>
      </c>
      <c r="F1674">
        <v>2505058</v>
      </c>
      <c r="G1674" t="s">
        <v>142</v>
      </c>
      <c r="H1674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4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hidden="1" x14ac:dyDescent="0.25">
      <c r="A1675" s="1">
        <v>46162</v>
      </c>
      <c r="B1675" s="1">
        <v>46162</v>
      </c>
      <c r="C1675" t="s">
        <v>169</v>
      </c>
      <c r="D1675" s="38">
        <v>5</v>
      </c>
      <c r="E1675" t="s">
        <v>169</v>
      </c>
      <c r="F1675">
        <v>106022</v>
      </c>
      <c r="G1675" t="s">
        <v>245</v>
      </c>
      <c r="H1675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4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hidden="1" x14ac:dyDescent="0.25">
      <c r="A1676" s="1">
        <v>46162</v>
      </c>
      <c r="B1676" s="1">
        <v>46162</v>
      </c>
      <c r="C1676" t="s">
        <v>169</v>
      </c>
      <c r="D1676" s="38">
        <v>5</v>
      </c>
      <c r="E1676" t="s">
        <v>169</v>
      </c>
      <c r="F1676">
        <v>1405025</v>
      </c>
      <c r="G1676" t="s">
        <v>189</v>
      </c>
      <c r="H1676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4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hidden="1" x14ac:dyDescent="0.25">
      <c r="A1677" s="1">
        <v>46162</v>
      </c>
      <c r="B1677" s="1">
        <v>46162</v>
      </c>
      <c r="C1677" t="s">
        <v>169</v>
      </c>
      <c r="D1677" s="38">
        <v>5</v>
      </c>
      <c r="E1677" t="s">
        <v>169</v>
      </c>
      <c r="F1677">
        <v>2508994</v>
      </c>
      <c r="G1677" t="s">
        <v>486</v>
      </c>
      <c r="H1677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4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hidden="1" x14ac:dyDescent="0.25">
      <c r="A1678" s="1">
        <v>46162</v>
      </c>
      <c r="B1678" s="1">
        <v>46162</v>
      </c>
      <c r="C1678" t="s">
        <v>169</v>
      </c>
      <c r="D1678" s="38">
        <v>5</v>
      </c>
      <c r="E1678" t="s">
        <v>169</v>
      </c>
      <c r="F1678">
        <v>2508993</v>
      </c>
      <c r="G1678" t="s">
        <v>485</v>
      </c>
      <c r="H1678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4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hidden="1" x14ac:dyDescent="0.25">
      <c r="A1679" s="1">
        <v>46162</v>
      </c>
      <c r="B1679" s="1">
        <v>46162</v>
      </c>
      <c r="C1679" t="s">
        <v>169</v>
      </c>
      <c r="D1679" s="38">
        <v>5</v>
      </c>
      <c r="E1679" t="s">
        <v>169</v>
      </c>
      <c r="F1679">
        <v>2508992</v>
      </c>
      <c r="G1679" t="s">
        <v>484</v>
      </c>
      <c r="H1679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4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hidden="1" x14ac:dyDescent="0.25">
      <c r="A1680" s="1">
        <v>46162</v>
      </c>
      <c r="B1680" s="1">
        <v>46162</v>
      </c>
      <c r="C1680" t="s">
        <v>169</v>
      </c>
      <c r="D1680" s="38">
        <v>5</v>
      </c>
      <c r="E1680" t="s">
        <v>169</v>
      </c>
      <c r="F1680">
        <v>2508991</v>
      </c>
      <c r="G1680" t="s">
        <v>483</v>
      </c>
      <c r="H1680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4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hidden="1" x14ac:dyDescent="0.25">
      <c r="A1681" s="1">
        <v>46162</v>
      </c>
      <c r="B1681" s="1">
        <v>46162</v>
      </c>
      <c r="C1681" t="s">
        <v>169</v>
      </c>
      <c r="D1681" s="38">
        <v>5</v>
      </c>
      <c r="E1681" t="s">
        <v>169</v>
      </c>
      <c r="F1681">
        <v>2508990</v>
      </c>
      <c r="G1681" t="s">
        <v>482</v>
      </c>
      <c r="H16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4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hidden="1" x14ac:dyDescent="0.25">
      <c r="A1682" s="1">
        <v>46162</v>
      </c>
      <c r="B1682" s="1">
        <v>46162</v>
      </c>
      <c r="C1682" t="s">
        <v>169</v>
      </c>
      <c r="D1682" s="38">
        <v>5</v>
      </c>
      <c r="E1682" t="s">
        <v>169</v>
      </c>
      <c r="F1682">
        <v>2302017</v>
      </c>
      <c r="G1682" t="s">
        <v>156</v>
      </c>
      <c r="H1682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4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hidden="1" x14ac:dyDescent="0.25">
      <c r="A1683" s="1">
        <v>46167</v>
      </c>
      <c r="B1683" s="1">
        <v>46167</v>
      </c>
      <c r="C1683" t="s">
        <v>169</v>
      </c>
      <c r="D1683" s="38">
        <v>5</v>
      </c>
      <c r="E1683" t="s">
        <v>169</v>
      </c>
      <c r="F1683">
        <v>5316507</v>
      </c>
      <c r="G1683" t="s">
        <v>55</v>
      </c>
      <c r="H1683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2012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4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hidden="1" x14ac:dyDescent="0.25">
      <c r="A1684" s="1">
        <v>46167</v>
      </c>
      <c r="B1684" s="1">
        <v>46167</v>
      </c>
      <c r="C1684" t="s">
        <v>169</v>
      </c>
      <c r="D1684" s="38">
        <v>5</v>
      </c>
      <c r="E1684" t="s">
        <v>169</v>
      </c>
      <c r="F1684">
        <v>5316508</v>
      </c>
      <c r="G1684" t="s">
        <v>468</v>
      </c>
      <c r="H1684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4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hidden="1" x14ac:dyDescent="0.25">
      <c r="A1685" s="1">
        <v>46167</v>
      </c>
      <c r="B1685" s="1">
        <v>46167</v>
      </c>
      <c r="C1685" t="s">
        <v>169</v>
      </c>
      <c r="D1685" s="38">
        <v>5</v>
      </c>
      <c r="E1685" t="s">
        <v>169</v>
      </c>
      <c r="F1685">
        <v>5316509</v>
      </c>
      <c r="G1685" t="s">
        <v>56</v>
      </c>
      <c r="H1685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4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hidden="1" x14ac:dyDescent="0.25">
      <c r="A1686" s="1">
        <v>46167</v>
      </c>
      <c r="B1686" s="1">
        <v>46167</v>
      </c>
      <c r="C1686" t="s">
        <v>169</v>
      </c>
      <c r="D1686" s="38">
        <v>5</v>
      </c>
      <c r="E1686" t="s">
        <v>169</v>
      </c>
      <c r="F1686">
        <v>1703006</v>
      </c>
      <c r="G1686" t="s">
        <v>48</v>
      </c>
      <c r="H1686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4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hidden="1" x14ac:dyDescent="0.25">
      <c r="A1687" s="1">
        <v>46167</v>
      </c>
      <c r="B1687" s="1">
        <v>46167</v>
      </c>
      <c r="C1687" t="s">
        <v>169</v>
      </c>
      <c r="D1687" s="38">
        <v>5</v>
      </c>
      <c r="E1687" t="s">
        <v>169</v>
      </c>
      <c r="F1687">
        <v>1802166</v>
      </c>
      <c r="G1687" t="s">
        <v>283</v>
      </c>
      <c r="H1687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4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hidden="1" x14ac:dyDescent="0.25">
      <c r="A1688" s="1">
        <v>46167</v>
      </c>
      <c r="B1688" s="1">
        <v>46167</v>
      </c>
      <c r="C1688" t="s">
        <v>169</v>
      </c>
      <c r="D1688" s="38">
        <v>5</v>
      </c>
      <c r="E1688" t="s">
        <v>169</v>
      </c>
      <c r="F1688">
        <v>1103088</v>
      </c>
      <c r="G1688" t="s">
        <v>1598</v>
      </c>
      <c r="H1688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2013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4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hidden="1" x14ac:dyDescent="0.25">
      <c r="A1689" s="1">
        <v>46167</v>
      </c>
      <c r="B1689" s="1">
        <v>46167</v>
      </c>
      <c r="C1689" t="s">
        <v>169</v>
      </c>
      <c r="D1689" s="38">
        <v>5</v>
      </c>
      <c r="E1689" t="s">
        <v>169</v>
      </c>
      <c r="F1689">
        <v>1103087</v>
      </c>
      <c r="G1689" t="s">
        <v>558</v>
      </c>
      <c r="H1689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4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hidden="1" x14ac:dyDescent="0.25">
      <c r="A1690" s="1">
        <v>46167</v>
      </c>
      <c r="B1690" s="1">
        <v>46167</v>
      </c>
      <c r="C1690" t="s">
        <v>169</v>
      </c>
      <c r="D1690" s="38">
        <v>5</v>
      </c>
      <c r="E1690" t="s">
        <v>169</v>
      </c>
      <c r="F1690">
        <v>1103086</v>
      </c>
      <c r="G1690" t="s">
        <v>557</v>
      </c>
      <c r="H1690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4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hidden="1" x14ac:dyDescent="0.25">
      <c r="A1691" s="1">
        <v>46167</v>
      </c>
      <c r="B1691" s="1">
        <v>46167</v>
      </c>
      <c r="C1691" t="s">
        <v>169</v>
      </c>
      <c r="D1691" s="38">
        <v>5</v>
      </c>
      <c r="E1691" t="s">
        <v>169</v>
      </c>
      <c r="F1691">
        <v>1610023</v>
      </c>
      <c r="G1691" t="s">
        <v>351</v>
      </c>
      <c r="H169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4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hidden="1" x14ac:dyDescent="0.25">
      <c r="A1692" s="1">
        <v>46167</v>
      </c>
      <c r="B1692" s="1">
        <v>46167</v>
      </c>
      <c r="C1692" t="s">
        <v>169</v>
      </c>
      <c r="D1692" s="38">
        <v>5</v>
      </c>
      <c r="E1692" t="s">
        <v>169</v>
      </c>
      <c r="F1692">
        <v>304101</v>
      </c>
      <c r="G1692" t="s">
        <v>17</v>
      </c>
      <c r="H1692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4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hidden="1" x14ac:dyDescent="0.25">
      <c r="A1693" s="1">
        <v>46167</v>
      </c>
      <c r="B1693" s="1">
        <v>46167</v>
      </c>
      <c r="C1693" t="s">
        <v>169</v>
      </c>
      <c r="D1693" s="38">
        <v>5</v>
      </c>
      <c r="E1693" t="s">
        <v>169</v>
      </c>
      <c r="F1693">
        <v>609008</v>
      </c>
      <c r="G1693" t="s">
        <v>57</v>
      </c>
      <c r="H1693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4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hidden="1" x14ac:dyDescent="0.25">
      <c r="A1694" s="1">
        <v>46167</v>
      </c>
      <c r="B1694" s="1">
        <v>46167</v>
      </c>
      <c r="C1694" t="s">
        <v>169</v>
      </c>
      <c r="D1694" s="38">
        <v>5</v>
      </c>
      <c r="E1694" t="s">
        <v>169</v>
      </c>
      <c r="F1694">
        <v>2304056</v>
      </c>
      <c r="G1694" t="s">
        <v>417</v>
      </c>
      <c r="H1694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4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hidden="1" x14ac:dyDescent="0.25">
      <c r="A1695" s="1">
        <v>46167</v>
      </c>
      <c r="B1695" s="1">
        <v>46167</v>
      </c>
      <c r="C1695" t="s">
        <v>169</v>
      </c>
      <c r="D1695" s="38">
        <v>5</v>
      </c>
      <c r="E1695" t="s">
        <v>169</v>
      </c>
      <c r="F1695">
        <v>2302119</v>
      </c>
      <c r="G1695" t="s">
        <v>74</v>
      </c>
      <c r="H1695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4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hidden="1" x14ac:dyDescent="0.25">
      <c r="A1696" s="1">
        <v>46167</v>
      </c>
      <c r="B1696" s="1">
        <v>46167</v>
      </c>
      <c r="C1696" t="s">
        <v>169</v>
      </c>
      <c r="D1696" s="38">
        <v>5</v>
      </c>
      <c r="E1696" t="s">
        <v>169</v>
      </c>
      <c r="F1696">
        <v>407853</v>
      </c>
      <c r="G1696" t="s">
        <v>1599</v>
      </c>
      <c r="H1696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4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hidden="1" x14ac:dyDescent="0.25">
      <c r="A1697" s="1">
        <v>46167</v>
      </c>
      <c r="B1697" s="1">
        <v>46167</v>
      </c>
      <c r="C1697" t="s">
        <v>169</v>
      </c>
      <c r="D1697" s="38">
        <v>5</v>
      </c>
      <c r="E1697" t="s">
        <v>169</v>
      </c>
      <c r="F1697">
        <v>1402016</v>
      </c>
      <c r="G1697" t="s">
        <v>795</v>
      </c>
      <c r="H1697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2011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4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hidden="1" x14ac:dyDescent="0.25">
      <c r="A1698" s="1">
        <v>46167</v>
      </c>
      <c r="B1698" s="1">
        <v>46167</v>
      </c>
      <c r="C1698" t="s">
        <v>169</v>
      </c>
      <c r="D1698" s="38">
        <v>5</v>
      </c>
      <c r="E1698" t="s">
        <v>169</v>
      </c>
      <c r="F1698">
        <v>1101298</v>
      </c>
      <c r="G1698" t="s">
        <v>796</v>
      </c>
      <c r="H1698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4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hidden="1" x14ac:dyDescent="0.25">
      <c r="A1699" s="1">
        <v>46167</v>
      </c>
      <c r="B1699" s="1">
        <v>46167</v>
      </c>
      <c r="C1699" t="s">
        <v>169</v>
      </c>
      <c r="D1699" s="38">
        <v>5</v>
      </c>
      <c r="E1699" t="s">
        <v>169</v>
      </c>
      <c r="F1699">
        <v>407185</v>
      </c>
      <c r="G1699" t="s">
        <v>43</v>
      </c>
      <c r="H1699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4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hidden="1" x14ac:dyDescent="0.25">
      <c r="A1700" s="1">
        <v>46167</v>
      </c>
      <c r="B1700" s="1">
        <v>46167</v>
      </c>
      <c r="C1700" t="s">
        <v>169</v>
      </c>
      <c r="D1700" s="38">
        <v>5</v>
      </c>
      <c r="E1700" t="s">
        <v>169</v>
      </c>
      <c r="F1700">
        <v>2304053</v>
      </c>
      <c r="G1700" t="s">
        <v>213</v>
      </c>
      <c r="H1700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4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hidden="1" x14ac:dyDescent="0.25">
      <c r="A1701" s="1">
        <v>46167</v>
      </c>
      <c r="B1701" s="1">
        <v>46167</v>
      </c>
      <c r="C1701" t="s">
        <v>169</v>
      </c>
      <c r="D1701" s="38">
        <v>5</v>
      </c>
      <c r="E1701" t="s">
        <v>169</v>
      </c>
      <c r="F1701">
        <v>1610023</v>
      </c>
      <c r="G1701" t="s">
        <v>351</v>
      </c>
      <c r="H170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4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hidden="1" x14ac:dyDescent="0.25">
      <c r="A1702" s="1">
        <v>46167</v>
      </c>
      <c r="B1702" s="1">
        <v>46167</v>
      </c>
      <c r="C1702" t="s">
        <v>169</v>
      </c>
      <c r="D1702" s="38">
        <v>5</v>
      </c>
      <c r="E1702" t="s">
        <v>169</v>
      </c>
      <c r="F1702">
        <v>2304056</v>
      </c>
      <c r="G1702" t="s">
        <v>417</v>
      </c>
      <c r="H1702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4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hidden="1" x14ac:dyDescent="0.25">
      <c r="A1703" s="1">
        <v>46167</v>
      </c>
      <c r="B1703" s="1">
        <v>46167</v>
      </c>
      <c r="C1703" t="s">
        <v>169</v>
      </c>
      <c r="D1703" s="38">
        <v>5</v>
      </c>
      <c r="E1703" t="s">
        <v>169</v>
      </c>
      <c r="F1703">
        <v>2304003</v>
      </c>
      <c r="G1703" t="s">
        <v>132</v>
      </c>
      <c r="H1703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4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hidden="1" x14ac:dyDescent="0.25">
      <c r="A1704" s="1">
        <v>46167</v>
      </c>
      <c r="B1704" s="1">
        <v>46167</v>
      </c>
      <c r="C1704" t="s">
        <v>169</v>
      </c>
      <c r="D1704" s="38">
        <v>5</v>
      </c>
      <c r="E1704" t="s">
        <v>169</v>
      </c>
      <c r="F1704">
        <v>404252</v>
      </c>
      <c r="G1704" t="s">
        <v>181</v>
      </c>
      <c r="H1704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4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hidden="1" x14ac:dyDescent="0.25">
      <c r="A1705" s="1">
        <v>46167</v>
      </c>
      <c r="B1705" s="1">
        <v>46167</v>
      </c>
      <c r="C1705" t="s">
        <v>169</v>
      </c>
      <c r="D1705" s="38">
        <v>5</v>
      </c>
      <c r="E1705" t="s">
        <v>169</v>
      </c>
      <c r="F1705">
        <v>304012</v>
      </c>
      <c r="G1705" t="s">
        <v>707</v>
      </c>
      <c r="H1705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4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hidden="1" x14ac:dyDescent="0.25">
      <c r="A1706" s="1">
        <v>46167</v>
      </c>
      <c r="B1706" s="1">
        <v>46167</v>
      </c>
      <c r="C1706" t="s">
        <v>169</v>
      </c>
      <c r="D1706" s="38">
        <v>5</v>
      </c>
      <c r="E1706" t="s">
        <v>169</v>
      </c>
      <c r="F1706">
        <v>1808156</v>
      </c>
      <c r="G1706" t="s">
        <v>277</v>
      </c>
      <c r="H1706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4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hidden="1" x14ac:dyDescent="0.25">
      <c r="A1707" s="1">
        <v>46167</v>
      </c>
      <c r="B1707" s="1">
        <v>46167</v>
      </c>
      <c r="C1707" t="s">
        <v>169</v>
      </c>
      <c r="D1707" s="38">
        <v>5</v>
      </c>
      <c r="E1707" t="s">
        <v>169</v>
      </c>
      <c r="F1707">
        <v>1808146</v>
      </c>
      <c r="G1707" t="s">
        <v>274</v>
      </c>
      <c r="H1707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4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hidden="1" x14ac:dyDescent="0.25">
      <c r="A1708" s="1">
        <v>46167</v>
      </c>
      <c r="B1708" s="1">
        <v>46167</v>
      </c>
      <c r="C1708" t="s">
        <v>169</v>
      </c>
      <c r="D1708" s="38">
        <v>5</v>
      </c>
      <c r="E1708" t="s">
        <v>169</v>
      </c>
      <c r="F1708">
        <v>1808006</v>
      </c>
      <c r="G1708" t="s">
        <v>194</v>
      </c>
      <c r="H1708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4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hidden="1" x14ac:dyDescent="0.25">
      <c r="A1709" s="1">
        <v>46167</v>
      </c>
      <c r="B1709" s="1">
        <v>46167</v>
      </c>
      <c r="C1709" t="s">
        <v>169</v>
      </c>
      <c r="D1709" s="38">
        <v>5</v>
      </c>
      <c r="E1709" t="s">
        <v>169</v>
      </c>
      <c r="F1709">
        <v>1808003</v>
      </c>
      <c r="G1709" t="s">
        <v>195</v>
      </c>
      <c r="H1709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4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hidden="1" x14ac:dyDescent="0.25">
      <c r="A1710" s="1">
        <v>46167</v>
      </c>
      <c r="B1710" s="1">
        <v>46167</v>
      </c>
      <c r="C1710" t="s">
        <v>169</v>
      </c>
      <c r="D1710" s="38">
        <v>5</v>
      </c>
      <c r="E1710" t="s">
        <v>169</v>
      </c>
      <c r="F1710">
        <v>1802517</v>
      </c>
      <c r="G1710" t="s">
        <v>141</v>
      </c>
      <c r="H1710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4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hidden="1" x14ac:dyDescent="0.25">
      <c r="A1711" s="1">
        <v>46167</v>
      </c>
      <c r="B1711" s="1">
        <v>46167</v>
      </c>
      <c r="C1711" t="s">
        <v>169</v>
      </c>
      <c r="D1711" s="38">
        <v>5</v>
      </c>
      <c r="E1711" t="s">
        <v>169</v>
      </c>
      <c r="F1711">
        <v>1802172</v>
      </c>
      <c r="G1711" t="s">
        <v>266</v>
      </c>
      <c r="H171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4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hidden="1" x14ac:dyDescent="0.25">
      <c r="A1712" s="1">
        <v>46167</v>
      </c>
      <c r="B1712" s="1">
        <v>46167</v>
      </c>
      <c r="C1712" t="s">
        <v>169</v>
      </c>
      <c r="D1712" s="38">
        <v>5</v>
      </c>
      <c r="E1712" t="s">
        <v>169</v>
      </c>
      <c r="F1712">
        <v>1802171</v>
      </c>
      <c r="G1712" t="s">
        <v>265</v>
      </c>
      <c r="H1712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4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hidden="1" x14ac:dyDescent="0.25">
      <c r="A1713" s="1">
        <v>46167</v>
      </c>
      <c r="B1713" s="1">
        <v>46167</v>
      </c>
      <c r="C1713" t="s">
        <v>169</v>
      </c>
      <c r="D1713" s="38">
        <v>5</v>
      </c>
      <c r="E1713" t="s">
        <v>169</v>
      </c>
      <c r="F1713">
        <v>1206002</v>
      </c>
      <c r="G1713" t="s">
        <v>192</v>
      </c>
      <c r="H1713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4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hidden="1" x14ac:dyDescent="0.25">
      <c r="A1714" s="1">
        <v>46167</v>
      </c>
      <c r="B1714" s="1">
        <v>46167</v>
      </c>
      <c r="C1714" t="s">
        <v>169</v>
      </c>
      <c r="D1714" s="38">
        <v>5</v>
      </c>
      <c r="E1714" t="s">
        <v>169</v>
      </c>
      <c r="F1714">
        <v>2508987</v>
      </c>
      <c r="G1714" t="s">
        <v>305</v>
      </c>
      <c r="H1714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4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hidden="1" x14ac:dyDescent="0.25">
      <c r="A1715" s="1">
        <v>46167</v>
      </c>
      <c r="B1715" s="1">
        <v>46167</v>
      </c>
      <c r="C1715" t="s">
        <v>169</v>
      </c>
      <c r="D1715" s="38">
        <v>5</v>
      </c>
      <c r="E1715" t="s">
        <v>169</v>
      </c>
      <c r="F1715">
        <v>302048</v>
      </c>
      <c r="G1715" t="s">
        <v>126</v>
      </c>
      <c r="H1715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2014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4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hidden="1" x14ac:dyDescent="0.25">
      <c r="A1716" s="1">
        <v>46167</v>
      </c>
      <c r="B1716" s="1">
        <v>46167</v>
      </c>
      <c r="C1716" t="s">
        <v>169</v>
      </c>
      <c r="D1716" s="38">
        <v>5</v>
      </c>
      <c r="E1716" t="s">
        <v>169</v>
      </c>
      <c r="F1716">
        <v>302010</v>
      </c>
      <c r="G1716" t="s">
        <v>323</v>
      </c>
      <c r="H1716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4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hidden="1" x14ac:dyDescent="0.25">
      <c r="A1717" s="1">
        <v>46167</v>
      </c>
      <c r="B1717" s="1">
        <v>46167</v>
      </c>
      <c r="C1717" t="s">
        <v>169</v>
      </c>
      <c r="D1717" s="38">
        <v>5</v>
      </c>
      <c r="E1717" t="s">
        <v>169</v>
      </c>
      <c r="F1717">
        <v>1402016</v>
      </c>
      <c r="G1717" t="s">
        <v>795</v>
      </c>
      <c r="H1717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2008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4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hidden="1" x14ac:dyDescent="0.25">
      <c r="A1718" s="1">
        <v>46167</v>
      </c>
      <c r="B1718" s="1">
        <v>46167</v>
      </c>
      <c r="C1718" t="s">
        <v>169</v>
      </c>
      <c r="D1718" s="38">
        <v>5</v>
      </c>
      <c r="E1718" t="s">
        <v>169</v>
      </c>
      <c r="F1718">
        <v>1101298</v>
      </c>
      <c r="G1718" t="s">
        <v>796</v>
      </c>
      <c r="H1718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4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hidden="1" x14ac:dyDescent="0.25">
      <c r="A1719" s="1">
        <v>46167</v>
      </c>
      <c r="B1719" s="1">
        <v>46167</v>
      </c>
      <c r="C1719" t="s">
        <v>169</v>
      </c>
      <c r="D1719" s="38">
        <v>5</v>
      </c>
      <c r="E1719" t="s">
        <v>169</v>
      </c>
      <c r="F1719">
        <v>1808156</v>
      </c>
      <c r="G1719" t="s">
        <v>277</v>
      </c>
      <c r="H1719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4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hidden="1" x14ac:dyDescent="0.25">
      <c r="A1720" s="1">
        <v>46167</v>
      </c>
      <c r="B1720" s="1">
        <v>46167</v>
      </c>
      <c r="C1720" t="s">
        <v>169</v>
      </c>
      <c r="D1720" s="38">
        <v>5</v>
      </c>
      <c r="E1720" t="s">
        <v>169</v>
      </c>
      <c r="F1720">
        <v>1808006</v>
      </c>
      <c r="G1720" t="s">
        <v>194</v>
      </c>
      <c r="H1720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4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hidden="1" x14ac:dyDescent="0.25">
      <c r="A1721" s="1">
        <v>46167</v>
      </c>
      <c r="B1721" s="1">
        <v>46167</v>
      </c>
      <c r="C1721" t="s">
        <v>169</v>
      </c>
      <c r="D1721" s="38">
        <v>5</v>
      </c>
      <c r="E1721" t="s">
        <v>169</v>
      </c>
      <c r="F1721">
        <v>1808003</v>
      </c>
      <c r="G1721" t="s">
        <v>195</v>
      </c>
      <c r="H172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4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hidden="1" x14ac:dyDescent="0.25">
      <c r="A1722" s="1">
        <v>46167</v>
      </c>
      <c r="B1722" s="1">
        <v>46167</v>
      </c>
      <c r="C1722" t="s">
        <v>169</v>
      </c>
      <c r="D1722" s="38">
        <v>5</v>
      </c>
      <c r="E1722" t="s">
        <v>169</v>
      </c>
      <c r="F1722">
        <v>1802172</v>
      </c>
      <c r="G1722" t="s">
        <v>266</v>
      </c>
      <c r="H1722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4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hidden="1" x14ac:dyDescent="0.25">
      <c r="A1723" s="1">
        <v>46167</v>
      </c>
      <c r="B1723" s="1">
        <v>46167</v>
      </c>
      <c r="C1723" t="s">
        <v>169</v>
      </c>
      <c r="D1723" s="38">
        <v>5</v>
      </c>
      <c r="E1723" t="s">
        <v>169</v>
      </c>
      <c r="F1723">
        <v>1802171</v>
      </c>
      <c r="G1723" t="s">
        <v>265</v>
      </c>
      <c r="H1723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4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hidden="1" x14ac:dyDescent="0.25">
      <c r="A1724" s="1">
        <v>46167</v>
      </c>
      <c r="B1724" s="1">
        <v>46167</v>
      </c>
      <c r="C1724" t="s">
        <v>169</v>
      </c>
      <c r="D1724" s="38">
        <v>5</v>
      </c>
      <c r="E1724" t="s">
        <v>169</v>
      </c>
      <c r="F1724">
        <v>1206002</v>
      </c>
      <c r="G1724" t="s">
        <v>192</v>
      </c>
      <c r="H1724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4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hidden="1" x14ac:dyDescent="0.25">
      <c r="A1725" s="1">
        <v>46167</v>
      </c>
      <c r="B1725" s="1">
        <v>46167</v>
      </c>
      <c r="C1725" t="s">
        <v>169</v>
      </c>
      <c r="D1725" s="38">
        <v>5</v>
      </c>
      <c r="E1725" t="s">
        <v>169</v>
      </c>
      <c r="F1725" t="s">
        <v>345</v>
      </c>
      <c r="G1725" t="s">
        <v>167</v>
      </c>
      <c r="H1725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4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hidden="1" x14ac:dyDescent="0.25">
      <c r="A1726" s="1">
        <v>46167</v>
      </c>
      <c r="B1726" s="1">
        <v>46167</v>
      </c>
      <c r="C1726" t="s">
        <v>169</v>
      </c>
      <c r="D1726" s="38">
        <v>5</v>
      </c>
      <c r="E1726" t="s">
        <v>169</v>
      </c>
      <c r="F1726">
        <v>408042</v>
      </c>
      <c r="G1726" t="s">
        <v>144</v>
      </c>
      <c r="H1726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4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hidden="1" x14ac:dyDescent="0.25">
      <c r="A1727" s="1">
        <v>46167</v>
      </c>
      <c r="B1727" s="1">
        <v>46167</v>
      </c>
      <c r="C1727" t="s">
        <v>169</v>
      </c>
      <c r="D1727" s="38">
        <v>5</v>
      </c>
      <c r="E1727" t="s">
        <v>169</v>
      </c>
      <c r="F1727">
        <v>302028</v>
      </c>
      <c r="G1727" t="s">
        <v>246</v>
      </c>
      <c r="H1727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2014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4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hidden="1" x14ac:dyDescent="0.25">
      <c r="A1728" s="1">
        <v>46167</v>
      </c>
      <c r="B1728" s="1">
        <v>46167</v>
      </c>
      <c r="C1728" t="s">
        <v>169</v>
      </c>
      <c r="D1728" s="38">
        <v>5</v>
      </c>
      <c r="E1728" t="s">
        <v>169</v>
      </c>
      <c r="F1728">
        <v>408034</v>
      </c>
      <c r="G1728" t="s">
        <v>250</v>
      </c>
      <c r="H1728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2008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4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hidden="1" x14ac:dyDescent="0.25">
      <c r="A1729" s="1">
        <v>46167</v>
      </c>
      <c r="B1729" s="1">
        <v>46167</v>
      </c>
      <c r="C1729" t="s">
        <v>169</v>
      </c>
      <c r="D1729" s="38">
        <v>5</v>
      </c>
      <c r="E1729" t="s">
        <v>169</v>
      </c>
      <c r="F1729">
        <v>704079</v>
      </c>
      <c r="G1729" t="s">
        <v>209</v>
      </c>
      <c r="H1729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4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hidden="1" x14ac:dyDescent="0.25">
      <c r="A1730" s="1">
        <v>46167</v>
      </c>
      <c r="B1730" s="1">
        <v>46167</v>
      </c>
      <c r="C1730" t="s">
        <v>169</v>
      </c>
      <c r="D1730" s="38">
        <v>5</v>
      </c>
      <c r="E1730" t="s">
        <v>169</v>
      </c>
      <c r="F1730">
        <v>609008</v>
      </c>
      <c r="G1730" t="s">
        <v>57</v>
      </c>
      <c r="H1730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4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hidden="1" x14ac:dyDescent="0.25">
      <c r="A1731" s="1">
        <v>46167</v>
      </c>
      <c r="B1731" s="1">
        <v>46167</v>
      </c>
      <c r="C1731" t="s">
        <v>169</v>
      </c>
      <c r="D1731" s="38">
        <v>5</v>
      </c>
      <c r="E1731" t="s">
        <v>169</v>
      </c>
      <c r="F1731">
        <v>1902003</v>
      </c>
      <c r="G1731" t="s">
        <v>155</v>
      </c>
      <c r="H173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4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hidden="1" x14ac:dyDescent="0.25">
      <c r="A1732" s="1">
        <v>46167</v>
      </c>
      <c r="B1732" s="1">
        <v>46167</v>
      </c>
      <c r="C1732" t="s">
        <v>169</v>
      </c>
      <c r="D1732" s="38">
        <v>5</v>
      </c>
      <c r="E1732" t="s">
        <v>169</v>
      </c>
      <c r="F1732">
        <v>106022</v>
      </c>
      <c r="G1732" t="s">
        <v>245</v>
      </c>
      <c r="H1732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4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hidden="1" x14ac:dyDescent="0.25">
      <c r="A1733" s="1">
        <v>46167</v>
      </c>
      <c r="B1733" s="1">
        <v>46167</v>
      </c>
      <c r="C1733" t="s">
        <v>169</v>
      </c>
      <c r="D1733" s="38">
        <v>5</v>
      </c>
      <c r="E1733" t="s">
        <v>169</v>
      </c>
      <c r="F1733">
        <v>2304056</v>
      </c>
      <c r="G1733" t="s">
        <v>417</v>
      </c>
      <c r="H1733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4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hidden="1" x14ac:dyDescent="0.25">
      <c r="A1734" s="1">
        <v>46167</v>
      </c>
      <c r="B1734" s="1">
        <v>46167</v>
      </c>
      <c r="C1734" t="s">
        <v>169</v>
      </c>
      <c r="D1734" s="38">
        <v>5</v>
      </c>
      <c r="E1734" t="s">
        <v>169</v>
      </c>
      <c r="F1734">
        <v>2304002</v>
      </c>
      <c r="G1734" t="s">
        <v>212</v>
      </c>
      <c r="H1734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4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hidden="1" x14ac:dyDescent="0.25">
      <c r="A1735" s="1">
        <v>46167</v>
      </c>
      <c r="B1735" s="1">
        <v>46167</v>
      </c>
      <c r="C1735" t="s">
        <v>169</v>
      </c>
      <c r="D1735" s="38">
        <v>5</v>
      </c>
      <c r="E1735" t="s">
        <v>169</v>
      </c>
      <c r="F1735">
        <v>2304008</v>
      </c>
      <c r="G1735" t="s">
        <v>704</v>
      </c>
      <c r="H1735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4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hidden="1" x14ac:dyDescent="0.25">
      <c r="A1736" s="1">
        <v>46167</v>
      </c>
      <c r="B1736" s="1">
        <v>46167</v>
      </c>
      <c r="C1736" t="s">
        <v>169</v>
      </c>
      <c r="D1736" s="38">
        <v>5</v>
      </c>
      <c r="E1736" t="s">
        <v>169</v>
      </c>
      <c r="F1736">
        <v>2304053</v>
      </c>
      <c r="G1736" t="s">
        <v>213</v>
      </c>
      <c r="H1736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4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hidden="1" x14ac:dyDescent="0.25">
      <c r="A1737" s="1">
        <v>46167</v>
      </c>
      <c r="B1737" s="1">
        <v>46167</v>
      </c>
      <c r="C1737" t="s">
        <v>169</v>
      </c>
      <c r="D1737" s="38">
        <v>5</v>
      </c>
      <c r="E1737" t="s">
        <v>169</v>
      </c>
      <c r="F1737">
        <v>307031</v>
      </c>
      <c r="G1737" t="s">
        <v>65</v>
      </c>
      <c r="H1737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4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hidden="1" x14ac:dyDescent="0.25">
      <c r="A1738" s="1">
        <v>46167</v>
      </c>
      <c r="B1738" s="1">
        <v>46167</v>
      </c>
      <c r="C1738" t="s">
        <v>169</v>
      </c>
      <c r="D1738" s="38">
        <v>5</v>
      </c>
      <c r="E1738" t="s">
        <v>169</v>
      </c>
      <c r="F1738">
        <v>307032</v>
      </c>
      <c r="G1738" t="s">
        <v>186</v>
      </c>
      <c r="H1738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4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hidden="1" x14ac:dyDescent="0.25">
      <c r="A1739" s="1">
        <v>46167</v>
      </c>
      <c r="B1739" s="1">
        <v>46167</v>
      </c>
      <c r="C1739" t="s">
        <v>169</v>
      </c>
      <c r="D1739" s="38">
        <v>5</v>
      </c>
      <c r="E1739" t="s">
        <v>169</v>
      </c>
      <c r="F1739">
        <v>307096</v>
      </c>
      <c r="G1739" t="s">
        <v>249</v>
      </c>
      <c r="H1739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4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hidden="1" x14ac:dyDescent="0.25">
      <c r="A1740" s="1">
        <v>46167</v>
      </c>
      <c r="B1740" s="1">
        <v>46167</v>
      </c>
      <c r="C1740" t="s">
        <v>169</v>
      </c>
      <c r="D1740" s="38">
        <v>5</v>
      </c>
      <c r="E1740" t="s">
        <v>169</v>
      </c>
      <c r="F1740">
        <v>907034</v>
      </c>
      <c r="G1740" t="s">
        <v>256</v>
      </c>
      <c r="H1740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4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hidden="1" x14ac:dyDescent="0.25">
      <c r="A1741" s="1">
        <v>46167</v>
      </c>
      <c r="B1741" s="1">
        <v>46167</v>
      </c>
      <c r="C1741" t="s">
        <v>169</v>
      </c>
      <c r="D1741" s="38">
        <v>5</v>
      </c>
      <c r="E1741" t="s">
        <v>169</v>
      </c>
      <c r="F1741">
        <v>2302017</v>
      </c>
      <c r="G1741" t="s">
        <v>156</v>
      </c>
      <c r="H174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4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hidden="1" x14ac:dyDescent="0.25">
      <c r="A1742" s="1">
        <v>46167</v>
      </c>
      <c r="B1742" s="1">
        <v>46167</v>
      </c>
      <c r="C1742" t="s">
        <v>169</v>
      </c>
      <c r="D1742" s="38">
        <v>5</v>
      </c>
      <c r="E1742" t="s">
        <v>169</v>
      </c>
      <c r="F1742">
        <v>617057</v>
      </c>
      <c r="G1742" t="s">
        <v>134</v>
      </c>
      <c r="H1742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4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hidden="1" x14ac:dyDescent="0.25">
      <c r="A1743" s="1">
        <v>46167</v>
      </c>
      <c r="B1743" s="1">
        <v>46167</v>
      </c>
      <c r="C1743" t="s">
        <v>169</v>
      </c>
      <c r="D1743" s="38">
        <v>5</v>
      </c>
      <c r="E1743" t="s">
        <v>169</v>
      </c>
      <c r="F1743">
        <v>617055</v>
      </c>
      <c r="G1743" t="s">
        <v>182</v>
      </c>
      <c r="H1743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4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hidden="1" x14ac:dyDescent="0.25">
      <c r="A1744" s="1">
        <v>46167</v>
      </c>
      <c r="B1744" s="1">
        <v>46167</v>
      </c>
      <c r="C1744" t="s">
        <v>169</v>
      </c>
      <c r="D1744" s="38">
        <v>5</v>
      </c>
      <c r="E1744" t="s">
        <v>169</v>
      </c>
      <c r="F1744">
        <v>617016</v>
      </c>
      <c r="G1744" t="s">
        <v>133</v>
      </c>
      <c r="H1744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4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hidden="1" x14ac:dyDescent="0.25">
      <c r="A1745" s="1">
        <v>46168</v>
      </c>
      <c r="B1745" s="1">
        <v>46168</v>
      </c>
      <c r="C1745" t="s">
        <v>169</v>
      </c>
      <c r="D1745" s="38">
        <v>5</v>
      </c>
      <c r="E1745" t="s">
        <v>169</v>
      </c>
      <c r="F1745">
        <v>404184</v>
      </c>
      <c r="G1745" t="s">
        <v>66</v>
      </c>
      <c r="H1745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2008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4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hidden="1" x14ac:dyDescent="0.25">
      <c r="A1746" s="1">
        <v>46168</v>
      </c>
      <c r="B1746" s="1">
        <v>46168</v>
      </c>
      <c r="C1746" t="s">
        <v>169</v>
      </c>
      <c r="D1746" s="38">
        <v>5</v>
      </c>
      <c r="E1746" t="s">
        <v>169</v>
      </c>
      <c r="F1746">
        <v>404252</v>
      </c>
      <c r="G1746" t="s">
        <v>181</v>
      </c>
      <c r="H1746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4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hidden="1" x14ac:dyDescent="0.25">
      <c r="A1747" s="1">
        <v>46168</v>
      </c>
      <c r="B1747" s="1">
        <v>46168</v>
      </c>
      <c r="C1747" t="s">
        <v>169</v>
      </c>
      <c r="D1747" s="38">
        <v>5</v>
      </c>
      <c r="E1747" t="s">
        <v>169</v>
      </c>
      <c r="F1747">
        <v>705028</v>
      </c>
      <c r="G1747" t="s">
        <v>72</v>
      </c>
      <c r="H1747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4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hidden="1" x14ac:dyDescent="0.25">
      <c r="A1748" s="1">
        <v>46168</v>
      </c>
      <c r="B1748" s="1">
        <v>46168</v>
      </c>
      <c r="C1748" t="s">
        <v>169</v>
      </c>
      <c r="D1748" s="38">
        <v>5</v>
      </c>
      <c r="E1748" t="s">
        <v>169</v>
      </c>
      <c r="F1748">
        <v>1405040</v>
      </c>
      <c r="G1748" t="s">
        <v>449</v>
      </c>
      <c r="H1748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4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hidden="1" x14ac:dyDescent="0.25">
      <c r="A1749" s="1">
        <v>46168</v>
      </c>
      <c r="B1749" s="1">
        <v>46168</v>
      </c>
      <c r="C1749" t="s">
        <v>169</v>
      </c>
      <c r="D1749" s="38">
        <v>5</v>
      </c>
      <c r="E1749" t="s">
        <v>169</v>
      </c>
      <c r="F1749">
        <v>1405039</v>
      </c>
      <c r="G1749" t="s">
        <v>314</v>
      </c>
      <c r="H1749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4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hidden="1" x14ac:dyDescent="0.25">
      <c r="A1750" s="1">
        <v>46168</v>
      </c>
      <c r="B1750" s="1">
        <v>46168</v>
      </c>
      <c r="C1750" t="s">
        <v>169</v>
      </c>
      <c r="D1750" s="38">
        <v>5</v>
      </c>
      <c r="E1750" t="s">
        <v>169</v>
      </c>
      <c r="F1750">
        <v>1103074</v>
      </c>
      <c r="G1750" t="s">
        <v>310</v>
      </c>
      <c r="H1750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4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hidden="1" x14ac:dyDescent="0.25">
      <c r="A1751" s="1">
        <v>46168</v>
      </c>
      <c r="B1751" s="1">
        <v>46168</v>
      </c>
      <c r="C1751" t="s">
        <v>169</v>
      </c>
      <c r="D1751" s="38">
        <v>5</v>
      </c>
      <c r="E1751" t="s">
        <v>169</v>
      </c>
      <c r="F1751">
        <v>1103076</v>
      </c>
      <c r="G1751" t="s">
        <v>311</v>
      </c>
      <c r="H175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4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hidden="1" x14ac:dyDescent="0.25">
      <c r="A1752" s="1">
        <v>46168</v>
      </c>
      <c r="B1752" s="1">
        <v>46168</v>
      </c>
      <c r="C1752" t="s">
        <v>169</v>
      </c>
      <c r="D1752" s="38">
        <v>5</v>
      </c>
      <c r="E1752" t="s">
        <v>169</v>
      </c>
      <c r="F1752">
        <v>304002</v>
      </c>
      <c r="G1752" t="s">
        <v>37</v>
      </c>
      <c r="H1752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4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hidden="1" x14ac:dyDescent="0.25">
      <c r="A1753" s="1">
        <v>46168</v>
      </c>
      <c r="B1753" s="1">
        <v>46168</v>
      </c>
      <c r="C1753" t="s">
        <v>169</v>
      </c>
      <c r="D1753" s="38">
        <v>5</v>
      </c>
      <c r="E1753" t="s">
        <v>169</v>
      </c>
      <c r="F1753">
        <v>302046</v>
      </c>
      <c r="G1753" t="s">
        <v>115</v>
      </c>
      <c r="H1753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2015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4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hidden="1" x14ac:dyDescent="0.25">
      <c r="A1754" s="1">
        <v>46168</v>
      </c>
      <c r="B1754" s="1">
        <v>46168</v>
      </c>
      <c r="C1754" t="s">
        <v>169</v>
      </c>
      <c r="D1754" s="38">
        <v>5</v>
      </c>
      <c r="E1754" t="s">
        <v>169</v>
      </c>
      <c r="F1754">
        <v>302048</v>
      </c>
      <c r="G1754" t="s">
        <v>126</v>
      </c>
      <c r="H1754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4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hidden="1" x14ac:dyDescent="0.25">
      <c r="A1755" s="1">
        <v>46168</v>
      </c>
      <c r="B1755" s="1">
        <v>46168</v>
      </c>
      <c r="C1755" t="s">
        <v>169</v>
      </c>
      <c r="D1755" s="38">
        <v>5</v>
      </c>
      <c r="E1755" t="s">
        <v>169</v>
      </c>
      <c r="F1755">
        <v>302010</v>
      </c>
      <c r="G1755" t="s">
        <v>323</v>
      </c>
      <c r="H1755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4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hidden="1" x14ac:dyDescent="0.25">
      <c r="A1756" s="1">
        <v>46168</v>
      </c>
      <c r="B1756" s="1">
        <v>46168</v>
      </c>
      <c r="C1756" t="s">
        <v>169</v>
      </c>
      <c r="D1756" s="38">
        <v>5</v>
      </c>
      <c r="E1756" t="s">
        <v>169</v>
      </c>
      <c r="F1756">
        <v>412280</v>
      </c>
      <c r="G1756" t="s">
        <v>40</v>
      </c>
      <c r="H1756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4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hidden="1" x14ac:dyDescent="0.25">
      <c r="A1757" s="1">
        <v>46168</v>
      </c>
      <c r="B1757" s="1">
        <v>46168</v>
      </c>
      <c r="C1757" t="s">
        <v>169</v>
      </c>
      <c r="D1757" s="38">
        <v>5</v>
      </c>
      <c r="E1757" t="s">
        <v>169</v>
      </c>
      <c r="F1757">
        <v>412260</v>
      </c>
      <c r="G1757" t="s">
        <v>41</v>
      </c>
      <c r="H1757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4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hidden="1" x14ac:dyDescent="0.25">
      <c r="A1758" s="1">
        <v>46168</v>
      </c>
      <c r="B1758" s="1">
        <v>46168</v>
      </c>
      <c r="C1758" t="s">
        <v>169</v>
      </c>
      <c r="D1758" s="38">
        <v>5</v>
      </c>
      <c r="E1758" t="s">
        <v>169</v>
      </c>
      <c r="F1758">
        <v>407011</v>
      </c>
      <c r="G1758" t="s">
        <v>30</v>
      </c>
      <c r="H1758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4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hidden="1" x14ac:dyDescent="0.25">
      <c r="A1759" s="1">
        <v>46168</v>
      </c>
      <c r="B1759" s="1">
        <v>46168</v>
      </c>
      <c r="C1759" t="s">
        <v>169</v>
      </c>
      <c r="D1759" s="38">
        <v>5</v>
      </c>
      <c r="E1759" t="s">
        <v>169</v>
      </c>
      <c r="F1759">
        <v>304101</v>
      </c>
      <c r="G1759" t="s">
        <v>17</v>
      </c>
      <c r="H1759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4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hidden="1" x14ac:dyDescent="0.25">
      <c r="A1760" s="1">
        <v>46168</v>
      </c>
      <c r="B1760" s="1">
        <v>46168</v>
      </c>
      <c r="C1760" t="s">
        <v>169</v>
      </c>
      <c r="D1760" s="38">
        <v>5</v>
      </c>
      <c r="E1760" t="s">
        <v>169</v>
      </c>
      <c r="F1760">
        <v>701096</v>
      </c>
      <c r="G1760" t="s">
        <v>204</v>
      </c>
      <c r="H1760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4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hidden="1" x14ac:dyDescent="0.25">
      <c r="A1761" s="1">
        <v>46168</v>
      </c>
      <c r="B1761" s="1">
        <v>46168</v>
      </c>
      <c r="C1761" t="s">
        <v>169</v>
      </c>
      <c r="D1761" s="38">
        <v>5</v>
      </c>
      <c r="E1761" t="s">
        <v>169</v>
      </c>
      <c r="F1761">
        <v>1901086</v>
      </c>
      <c r="G1761" t="s">
        <v>279</v>
      </c>
      <c r="H176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4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hidden="1" x14ac:dyDescent="0.25">
      <c r="A1762" s="1">
        <v>46168</v>
      </c>
      <c r="B1762" s="1">
        <v>46168</v>
      </c>
      <c r="C1762" t="s">
        <v>169</v>
      </c>
      <c r="D1762" s="38">
        <v>5</v>
      </c>
      <c r="E1762" t="s">
        <v>169</v>
      </c>
      <c r="F1762">
        <v>1901038</v>
      </c>
      <c r="G1762" t="s">
        <v>39</v>
      </c>
      <c r="H1762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4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hidden="1" x14ac:dyDescent="0.25">
      <c r="A1763" s="1">
        <v>46168</v>
      </c>
      <c r="B1763" s="1">
        <v>46168</v>
      </c>
      <c r="C1763" t="s">
        <v>169</v>
      </c>
      <c r="D1763" s="38">
        <v>5</v>
      </c>
      <c r="E1763" t="s">
        <v>169</v>
      </c>
      <c r="F1763">
        <v>1901008</v>
      </c>
      <c r="G1763" t="s">
        <v>278</v>
      </c>
      <c r="H1763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4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hidden="1" x14ac:dyDescent="0.25">
      <c r="A1764" s="1">
        <v>46168</v>
      </c>
      <c r="B1764" s="1">
        <v>46168</v>
      </c>
      <c r="C1764" t="s">
        <v>169</v>
      </c>
      <c r="D1764" s="38">
        <v>5</v>
      </c>
      <c r="E1764" t="s">
        <v>169</v>
      </c>
      <c r="F1764">
        <v>304101</v>
      </c>
      <c r="G1764" t="s">
        <v>17</v>
      </c>
      <c r="H1764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4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hidden="1" x14ac:dyDescent="0.25">
      <c r="A1765" s="1">
        <v>46168</v>
      </c>
      <c r="B1765" s="1">
        <v>46168</v>
      </c>
      <c r="C1765" t="s">
        <v>169</v>
      </c>
      <c r="D1765" s="38">
        <v>5</v>
      </c>
      <c r="E1765" t="s">
        <v>169</v>
      </c>
      <c r="F1765">
        <v>302028</v>
      </c>
      <c r="G1765" t="s">
        <v>246</v>
      </c>
      <c r="H1765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4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hidden="1" x14ac:dyDescent="0.25">
      <c r="A1766" s="1">
        <v>46168</v>
      </c>
      <c r="B1766" s="1">
        <v>46168</v>
      </c>
      <c r="C1766" t="s">
        <v>169</v>
      </c>
      <c r="D1766" s="38">
        <v>5</v>
      </c>
      <c r="E1766" t="s">
        <v>169</v>
      </c>
      <c r="F1766">
        <v>408042</v>
      </c>
      <c r="G1766" t="s">
        <v>144</v>
      </c>
      <c r="H1766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4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hidden="1" x14ac:dyDescent="0.25">
      <c r="A1767" s="1">
        <v>46168</v>
      </c>
      <c r="B1767" s="1">
        <v>46168</v>
      </c>
      <c r="C1767" t="s">
        <v>169</v>
      </c>
      <c r="D1767" s="38">
        <v>5</v>
      </c>
      <c r="E1767" t="s">
        <v>169</v>
      </c>
      <c r="F1767">
        <v>617057</v>
      </c>
      <c r="G1767" t="s">
        <v>134</v>
      </c>
      <c r="H1767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2011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4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hidden="1" x14ac:dyDescent="0.25">
      <c r="A1768" s="1">
        <v>46168</v>
      </c>
      <c r="B1768" s="1">
        <v>46168</v>
      </c>
      <c r="C1768" t="s">
        <v>169</v>
      </c>
      <c r="D1768" s="38">
        <v>5</v>
      </c>
      <c r="E1768" t="s">
        <v>169</v>
      </c>
      <c r="F1768">
        <v>617055</v>
      </c>
      <c r="G1768" t="s">
        <v>182</v>
      </c>
      <c r="H1768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4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hidden="1" x14ac:dyDescent="0.25">
      <c r="A1769" s="1">
        <v>46168</v>
      </c>
      <c r="B1769" s="1">
        <v>46168</v>
      </c>
      <c r="C1769" t="s">
        <v>169</v>
      </c>
      <c r="D1769" s="38">
        <v>5</v>
      </c>
      <c r="E1769" t="s">
        <v>169</v>
      </c>
      <c r="F1769">
        <v>617016</v>
      </c>
      <c r="G1769" t="s">
        <v>133</v>
      </c>
      <c r="H1769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4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hidden="1" x14ac:dyDescent="0.25">
      <c r="A1770" s="1">
        <v>46168</v>
      </c>
      <c r="B1770" s="1">
        <v>46168</v>
      </c>
      <c r="C1770" t="s">
        <v>169</v>
      </c>
      <c r="D1770" s="38">
        <v>5</v>
      </c>
      <c r="E1770" t="s">
        <v>169</v>
      </c>
      <c r="F1770">
        <v>602255</v>
      </c>
      <c r="G1770" t="s">
        <v>203</v>
      </c>
      <c r="H1770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4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hidden="1" x14ac:dyDescent="0.25">
      <c r="A1771" s="1">
        <v>46168</v>
      </c>
      <c r="B1771" s="1">
        <v>46168</v>
      </c>
      <c r="C1771" t="s">
        <v>169</v>
      </c>
      <c r="D1771" s="38">
        <v>5</v>
      </c>
      <c r="E1771" t="s">
        <v>169</v>
      </c>
      <c r="F1771">
        <v>602254</v>
      </c>
      <c r="G1771" t="s">
        <v>214</v>
      </c>
      <c r="H177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4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hidden="1" x14ac:dyDescent="0.25">
      <c r="A1772" s="1">
        <v>46168</v>
      </c>
      <c r="B1772" s="1">
        <v>46168</v>
      </c>
      <c r="C1772" t="s">
        <v>169</v>
      </c>
      <c r="D1772" s="38">
        <v>5</v>
      </c>
      <c r="E1772" t="s">
        <v>169</v>
      </c>
      <c r="F1772">
        <v>601047</v>
      </c>
      <c r="G1772" t="s">
        <v>129</v>
      </c>
      <c r="H1772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4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hidden="1" x14ac:dyDescent="0.25">
      <c r="A1773" s="1">
        <v>46168</v>
      </c>
      <c r="B1773" s="1">
        <v>46168</v>
      </c>
      <c r="C1773" t="s">
        <v>169</v>
      </c>
      <c r="D1773" s="38">
        <v>5</v>
      </c>
      <c r="E1773" t="s">
        <v>169</v>
      </c>
      <c r="F1773">
        <v>2302024</v>
      </c>
      <c r="G1773" t="s">
        <v>234</v>
      </c>
      <c r="H1773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4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hidden="1" x14ac:dyDescent="0.25">
      <c r="A1774" s="1">
        <v>46168</v>
      </c>
      <c r="B1774" s="1">
        <v>46168</v>
      </c>
      <c r="C1774" t="s">
        <v>169</v>
      </c>
      <c r="D1774" s="38">
        <v>5</v>
      </c>
      <c r="E1774" t="s">
        <v>169</v>
      </c>
      <c r="F1774">
        <v>304002</v>
      </c>
      <c r="G1774" t="s">
        <v>37</v>
      </c>
      <c r="H1774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4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hidden="1" x14ac:dyDescent="0.25">
      <c r="A1775" s="1">
        <v>46168</v>
      </c>
      <c r="B1775" s="1">
        <v>46168</v>
      </c>
      <c r="C1775" t="s">
        <v>169</v>
      </c>
      <c r="D1775" s="38">
        <v>5</v>
      </c>
      <c r="E1775" t="s">
        <v>169</v>
      </c>
      <c r="F1775">
        <v>2302119</v>
      </c>
      <c r="G1775" t="s">
        <v>74</v>
      </c>
      <c r="H1775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4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hidden="1" x14ac:dyDescent="0.25">
      <c r="A1776" s="1">
        <v>46168</v>
      </c>
      <c r="B1776" s="1">
        <v>46168</v>
      </c>
      <c r="C1776" t="s">
        <v>169</v>
      </c>
      <c r="D1776" s="38">
        <v>5</v>
      </c>
      <c r="E1776" t="s">
        <v>169</v>
      </c>
      <c r="F1776" t="s">
        <v>345</v>
      </c>
      <c r="G1776" t="s">
        <v>167</v>
      </c>
      <c r="H1776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4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hidden="1" x14ac:dyDescent="0.25">
      <c r="A1777" s="1">
        <v>46168</v>
      </c>
      <c r="B1777" s="1">
        <v>46168</v>
      </c>
      <c r="C1777" t="s">
        <v>169</v>
      </c>
      <c r="D1777" s="38">
        <v>5</v>
      </c>
      <c r="E1777" t="s">
        <v>169</v>
      </c>
      <c r="F1777">
        <v>1103076</v>
      </c>
      <c r="G1777" t="s">
        <v>311</v>
      </c>
      <c r="H1777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4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hidden="1" x14ac:dyDescent="0.25">
      <c r="A1778" s="1">
        <v>46168</v>
      </c>
      <c r="B1778" s="1">
        <v>46168</v>
      </c>
      <c r="C1778" t="s">
        <v>169</v>
      </c>
      <c r="D1778" s="38">
        <v>5</v>
      </c>
      <c r="E1778" t="s">
        <v>169</v>
      </c>
      <c r="F1778">
        <v>1103074</v>
      </c>
      <c r="G1778" t="s">
        <v>310</v>
      </c>
      <c r="H1778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4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hidden="1" x14ac:dyDescent="0.25">
      <c r="A1779" s="1">
        <v>46169</v>
      </c>
      <c r="B1779" s="1">
        <v>46169</v>
      </c>
      <c r="C1779" t="s">
        <v>169</v>
      </c>
      <c r="D1779" s="38">
        <v>5</v>
      </c>
      <c r="E1779" t="s">
        <v>169</v>
      </c>
      <c r="F1779">
        <v>5316484</v>
      </c>
      <c r="G1779" t="s">
        <v>96</v>
      </c>
      <c r="H1779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2012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4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hidden="1" x14ac:dyDescent="0.25">
      <c r="A1780" s="1">
        <v>46169</v>
      </c>
      <c r="B1780" s="1">
        <v>46169</v>
      </c>
      <c r="C1780" t="s">
        <v>169</v>
      </c>
      <c r="D1780" s="38">
        <v>5</v>
      </c>
      <c r="E1780" t="s">
        <v>169</v>
      </c>
      <c r="F1780">
        <v>5316484</v>
      </c>
      <c r="G1780" t="s">
        <v>96</v>
      </c>
      <c r="H1780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2012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4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hidden="1" x14ac:dyDescent="0.25">
      <c r="A1781" s="1">
        <v>46169</v>
      </c>
      <c r="B1781" s="1">
        <v>46169</v>
      </c>
      <c r="C1781" t="s">
        <v>169</v>
      </c>
      <c r="D1781" s="38">
        <v>5</v>
      </c>
      <c r="E1781" t="s">
        <v>169</v>
      </c>
      <c r="F1781">
        <v>5316483</v>
      </c>
      <c r="G1781" t="s">
        <v>97</v>
      </c>
      <c r="H17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4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hidden="1" x14ac:dyDescent="0.25">
      <c r="A1782" s="1">
        <v>46169</v>
      </c>
      <c r="B1782" s="1">
        <v>46169</v>
      </c>
      <c r="C1782" t="s">
        <v>169</v>
      </c>
      <c r="D1782" s="38">
        <v>5</v>
      </c>
      <c r="E1782" t="s">
        <v>169</v>
      </c>
      <c r="F1782">
        <v>2505426</v>
      </c>
      <c r="G1782" t="s">
        <v>708</v>
      </c>
      <c r="H1782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4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hidden="1" x14ac:dyDescent="0.25">
      <c r="A1783" s="1">
        <v>46169</v>
      </c>
      <c r="B1783" s="1">
        <v>46169</v>
      </c>
      <c r="C1783" t="s">
        <v>169</v>
      </c>
      <c r="D1783" s="38">
        <v>5</v>
      </c>
      <c r="E1783" t="s">
        <v>169</v>
      </c>
      <c r="F1783">
        <v>1808148</v>
      </c>
      <c r="G1783" t="s">
        <v>276</v>
      </c>
      <c r="H1783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4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hidden="1" x14ac:dyDescent="0.25">
      <c r="A1784" s="1">
        <v>46169</v>
      </c>
      <c r="B1784" s="1">
        <v>46169</v>
      </c>
      <c r="C1784" t="s">
        <v>169</v>
      </c>
      <c r="D1784" s="38">
        <v>5</v>
      </c>
      <c r="E1784" t="s">
        <v>169</v>
      </c>
      <c r="F1784">
        <v>1808147</v>
      </c>
      <c r="G1784" t="s">
        <v>275</v>
      </c>
      <c r="H1784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4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hidden="1" x14ac:dyDescent="0.25">
      <c r="A1785" s="1">
        <v>46169</v>
      </c>
      <c r="B1785" s="1">
        <v>46169</v>
      </c>
      <c r="C1785" t="s">
        <v>169</v>
      </c>
      <c r="D1785" s="38">
        <v>5</v>
      </c>
      <c r="E1785" t="s">
        <v>169</v>
      </c>
      <c r="F1785">
        <v>1808146</v>
      </c>
      <c r="G1785" t="s">
        <v>274</v>
      </c>
      <c r="H1785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4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hidden="1" x14ac:dyDescent="0.25">
      <c r="A1786" s="1">
        <v>46169</v>
      </c>
      <c r="B1786" s="1">
        <v>46169</v>
      </c>
      <c r="C1786" t="s">
        <v>169</v>
      </c>
      <c r="D1786" s="38">
        <v>5</v>
      </c>
      <c r="E1786" t="s">
        <v>169</v>
      </c>
      <c r="F1786">
        <v>1808145</v>
      </c>
      <c r="G1786" t="s">
        <v>273</v>
      </c>
      <c r="H1786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4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hidden="1" x14ac:dyDescent="0.25">
      <c r="A1787" s="1">
        <v>46169</v>
      </c>
      <c r="B1787" s="1">
        <v>46169</v>
      </c>
      <c r="C1787" t="s">
        <v>169</v>
      </c>
      <c r="D1787" s="38">
        <v>5</v>
      </c>
      <c r="E1787" t="s">
        <v>169</v>
      </c>
      <c r="F1787">
        <v>1808144</v>
      </c>
      <c r="G1787" t="s">
        <v>272</v>
      </c>
      <c r="H1787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4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hidden="1" x14ac:dyDescent="0.25">
      <c r="A1788" s="1">
        <v>46169</v>
      </c>
      <c r="B1788" s="1">
        <v>46169</v>
      </c>
      <c r="C1788" t="s">
        <v>169</v>
      </c>
      <c r="D1788" s="38">
        <v>5</v>
      </c>
      <c r="E1788" t="s">
        <v>169</v>
      </c>
      <c r="F1788">
        <v>1802176</v>
      </c>
      <c r="G1788" t="s">
        <v>196</v>
      </c>
      <c r="H1788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4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hidden="1" x14ac:dyDescent="0.25">
      <c r="A1789" s="1">
        <v>46169</v>
      </c>
      <c r="B1789" s="1">
        <v>46169</v>
      </c>
      <c r="C1789" t="s">
        <v>169</v>
      </c>
      <c r="D1789" s="38">
        <v>5</v>
      </c>
      <c r="E1789" t="s">
        <v>169</v>
      </c>
      <c r="F1789">
        <v>1802175</v>
      </c>
      <c r="G1789" t="s">
        <v>269</v>
      </c>
      <c r="H1789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4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hidden="1" x14ac:dyDescent="0.25">
      <c r="A1790" s="1">
        <v>46169</v>
      </c>
      <c r="B1790" s="1">
        <v>46169</v>
      </c>
      <c r="C1790" t="s">
        <v>169</v>
      </c>
      <c r="D1790" s="38">
        <v>5</v>
      </c>
      <c r="E1790" t="s">
        <v>169</v>
      </c>
      <c r="F1790">
        <v>1802174</v>
      </c>
      <c r="G1790" t="s">
        <v>268</v>
      </c>
      <c r="H1790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4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hidden="1" x14ac:dyDescent="0.25">
      <c r="A1791" s="1">
        <v>46169</v>
      </c>
      <c r="B1791" s="1">
        <v>46169</v>
      </c>
      <c r="C1791" t="s">
        <v>169</v>
      </c>
      <c r="D1791" s="38">
        <v>5</v>
      </c>
      <c r="E1791" t="s">
        <v>169</v>
      </c>
      <c r="F1791">
        <v>1802173</v>
      </c>
      <c r="G1791" t="s">
        <v>267</v>
      </c>
      <c r="H179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4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hidden="1" x14ac:dyDescent="0.25">
      <c r="A1792" s="1">
        <v>46169</v>
      </c>
      <c r="B1792" s="1">
        <v>46169</v>
      </c>
      <c r="C1792" t="s">
        <v>169</v>
      </c>
      <c r="D1792" s="38">
        <v>5</v>
      </c>
      <c r="E1792" t="s">
        <v>169</v>
      </c>
      <c r="F1792">
        <v>1802170</v>
      </c>
      <c r="G1792" t="s">
        <v>264</v>
      </c>
      <c r="H1792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4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hidden="1" x14ac:dyDescent="0.25">
      <c r="A1793" s="1">
        <v>46169</v>
      </c>
      <c r="B1793" s="1">
        <v>46169</v>
      </c>
      <c r="C1793" t="s">
        <v>169</v>
      </c>
      <c r="D1793" s="38">
        <v>5</v>
      </c>
      <c r="E1793" t="s">
        <v>169</v>
      </c>
      <c r="F1793">
        <v>1802169</v>
      </c>
      <c r="G1793" t="s">
        <v>263</v>
      </c>
      <c r="H1793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4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hidden="1" x14ac:dyDescent="0.25">
      <c r="A1794" s="1">
        <v>46169</v>
      </c>
      <c r="B1794" s="1">
        <v>46169</v>
      </c>
      <c r="C1794" t="s">
        <v>169</v>
      </c>
      <c r="D1794" s="38">
        <v>5</v>
      </c>
      <c r="E1794" t="s">
        <v>169</v>
      </c>
      <c r="F1794">
        <v>1802167</v>
      </c>
      <c r="G1794" t="s">
        <v>262</v>
      </c>
      <c r="H1794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4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hidden="1" x14ac:dyDescent="0.25">
      <c r="A1795" s="1">
        <v>46169</v>
      </c>
      <c r="B1795" s="1">
        <v>46169</v>
      </c>
      <c r="C1795" t="s">
        <v>169</v>
      </c>
      <c r="D1795" s="38">
        <v>5</v>
      </c>
      <c r="E1795" t="s">
        <v>169</v>
      </c>
      <c r="F1795">
        <v>1802165</v>
      </c>
      <c r="G1795" t="s">
        <v>261</v>
      </c>
      <c r="H1795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4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hidden="1" x14ac:dyDescent="0.25">
      <c r="A1796" s="1">
        <v>46169</v>
      </c>
      <c r="B1796" s="1">
        <v>46169</v>
      </c>
      <c r="C1796" t="s">
        <v>169</v>
      </c>
      <c r="D1796" s="38">
        <v>5</v>
      </c>
      <c r="E1796" t="s">
        <v>169</v>
      </c>
      <c r="F1796">
        <v>1801229</v>
      </c>
      <c r="G1796" t="s">
        <v>259</v>
      </c>
      <c r="H1796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4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hidden="1" x14ac:dyDescent="0.25">
      <c r="A1797" s="1">
        <v>46169</v>
      </c>
      <c r="B1797" s="1">
        <v>46169</v>
      </c>
      <c r="C1797" t="s">
        <v>169</v>
      </c>
      <c r="D1797" s="38">
        <v>5</v>
      </c>
      <c r="E1797" t="s">
        <v>169</v>
      </c>
      <c r="F1797">
        <v>1701154</v>
      </c>
      <c r="G1797" t="s">
        <v>710</v>
      </c>
      <c r="H1797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4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hidden="1" x14ac:dyDescent="0.25">
      <c r="A1798" s="1">
        <v>46169</v>
      </c>
      <c r="B1798" s="1">
        <v>46169</v>
      </c>
      <c r="C1798" t="s">
        <v>169</v>
      </c>
      <c r="D1798" s="38">
        <v>5</v>
      </c>
      <c r="E1798" t="s">
        <v>169</v>
      </c>
      <c r="F1798">
        <v>407795</v>
      </c>
      <c r="G1798" t="s">
        <v>325</v>
      </c>
      <c r="H1798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4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hidden="1" x14ac:dyDescent="0.25">
      <c r="A1799" s="1">
        <v>46169</v>
      </c>
      <c r="B1799" s="1">
        <v>46169</v>
      </c>
      <c r="C1799" t="s">
        <v>169</v>
      </c>
      <c r="D1799" s="38">
        <v>5</v>
      </c>
      <c r="E1799" t="s">
        <v>169</v>
      </c>
      <c r="F1799">
        <v>1803044</v>
      </c>
      <c r="G1799" t="s">
        <v>336</v>
      </c>
      <c r="H1799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2008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4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hidden="1" x14ac:dyDescent="0.25">
      <c r="A1800" s="1">
        <v>46169</v>
      </c>
      <c r="B1800" s="1">
        <v>46169</v>
      </c>
      <c r="C1800" t="s">
        <v>169</v>
      </c>
      <c r="D1800" s="38">
        <v>5</v>
      </c>
      <c r="E1800" t="s">
        <v>169</v>
      </c>
      <c r="F1800">
        <v>1803045</v>
      </c>
      <c r="G1800" t="s">
        <v>337</v>
      </c>
      <c r="H1800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4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hidden="1" x14ac:dyDescent="0.25">
      <c r="A1801" s="1">
        <v>46169</v>
      </c>
      <c r="B1801" s="1">
        <v>46169</v>
      </c>
      <c r="C1801" t="s">
        <v>169</v>
      </c>
      <c r="D1801" s="38">
        <v>5</v>
      </c>
      <c r="E1801" t="s">
        <v>169</v>
      </c>
      <c r="F1801">
        <v>307033</v>
      </c>
      <c r="G1801" t="s">
        <v>248</v>
      </c>
      <c r="H180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4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hidden="1" x14ac:dyDescent="0.25">
      <c r="A1802" s="1">
        <v>46169</v>
      </c>
      <c r="B1802" s="1">
        <v>46169</v>
      </c>
      <c r="C1802" t="s">
        <v>169</v>
      </c>
      <c r="D1802" s="38">
        <v>5</v>
      </c>
      <c r="E1802" t="s">
        <v>169</v>
      </c>
      <c r="F1802">
        <v>617016</v>
      </c>
      <c r="G1802" t="s">
        <v>133</v>
      </c>
      <c r="H1802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4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hidden="1" x14ac:dyDescent="0.25">
      <c r="A1803" s="1">
        <v>46169</v>
      </c>
      <c r="B1803" s="1">
        <v>46169</v>
      </c>
      <c r="C1803" t="s">
        <v>169</v>
      </c>
      <c r="D1803" s="38">
        <v>5</v>
      </c>
      <c r="E1803" t="s">
        <v>169</v>
      </c>
      <c r="F1803">
        <v>617055</v>
      </c>
      <c r="G1803" t="s">
        <v>182</v>
      </c>
      <c r="H1803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4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hidden="1" x14ac:dyDescent="0.25">
      <c r="A1804" s="1">
        <v>46169</v>
      </c>
      <c r="B1804" s="1">
        <v>46169</v>
      </c>
      <c r="C1804" t="s">
        <v>169</v>
      </c>
      <c r="D1804" s="38">
        <v>5</v>
      </c>
      <c r="E1804" t="s">
        <v>169</v>
      </c>
      <c r="F1804">
        <v>617057</v>
      </c>
      <c r="G1804" t="s">
        <v>134</v>
      </c>
      <c r="H1804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4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hidden="1" x14ac:dyDescent="0.25">
      <c r="A1805" s="1">
        <v>46169</v>
      </c>
      <c r="B1805" s="1">
        <v>46169</v>
      </c>
      <c r="C1805" t="s">
        <v>169</v>
      </c>
      <c r="D1805" s="38">
        <v>5</v>
      </c>
      <c r="E1805" t="s">
        <v>169</v>
      </c>
      <c r="F1805">
        <v>407185</v>
      </c>
      <c r="G1805" t="s">
        <v>43</v>
      </c>
      <c r="H1805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4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hidden="1" x14ac:dyDescent="0.25">
      <c r="A1806" s="1">
        <v>46169</v>
      </c>
      <c r="B1806" s="1">
        <v>46169</v>
      </c>
      <c r="C1806" t="s">
        <v>169</v>
      </c>
      <c r="D1806" s="38">
        <v>5</v>
      </c>
      <c r="E1806" t="s">
        <v>169</v>
      </c>
      <c r="F1806">
        <v>407423</v>
      </c>
      <c r="G1806" t="s">
        <v>106</v>
      </c>
      <c r="H1806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4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hidden="1" x14ac:dyDescent="0.25">
      <c r="A1807" s="1">
        <v>46169</v>
      </c>
      <c r="B1807" s="1">
        <v>46169</v>
      </c>
      <c r="C1807" t="s">
        <v>169</v>
      </c>
      <c r="D1807" s="38">
        <v>5</v>
      </c>
      <c r="E1807" t="s">
        <v>169</v>
      </c>
      <c r="F1807">
        <v>404793</v>
      </c>
      <c r="G1807" t="s">
        <v>1648</v>
      </c>
      <c r="H1807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2016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4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hidden="1" x14ac:dyDescent="0.25">
      <c r="A1808" s="1">
        <v>46169</v>
      </c>
      <c r="B1808" s="1">
        <v>46169</v>
      </c>
      <c r="C1808" t="s">
        <v>169</v>
      </c>
      <c r="D1808" s="38">
        <v>5</v>
      </c>
      <c r="E1808" t="s">
        <v>169</v>
      </c>
      <c r="F1808">
        <v>609008</v>
      </c>
      <c r="G1808" t="s">
        <v>57</v>
      </c>
      <c r="H1808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2011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4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hidden="1" x14ac:dyDescent="0.25">
      <c r="A1809" s="1">
        <v>46169</v>
      </c>
      <c r="B1809" s="1">
        <v>46169</v>
      </c>
      <c r="C1809" t="s">
        <v>169</v>
      </c>
      <c r="D1809" s="38">
        <v>5</v>
      </c>
      <c r="E1809" t="s">
        <v>169</v>
      </c>
      <c r="F1809">
        <v>1801735</v>
      </c>
      <c r="G1809" t="s">
        <v>73</v>
      </c>
      <c r="H1809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4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hidden="1" x14ac:dyDescent="0.25">
      <c r="A1810" s="1">
        <v>46169</v>
      </c>
      <c r="B1810" s="1">
        <v>46169</v>
      </c>
      <c r="C1810" t="s">
        <v>169</v>
      </c>
      <c r="D1810" s="38">
        <v>5</v>
      </c>
      <c r="E1810" t="s">
        <v>169</v>
      </c>
      <c r="F1810">
        <v>1805340</v>
      </c>
      <c r="G1810" t="s">
        <v>298</v>
      </c>
      <c r="H1810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4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hidden="1" x14ac:dyDescent="0.25">
      <c r="A1811" s="1">
        <v>46169</v>
      </c>
      <c r="B1811" s="1">
        <v>46169</v>
      </c>
      <c r="C1811" t="s">
        <v>169</v>
      </c>
      <c r="D1811" s="38">
        <v>5</v>
      </c>
      <c r="E1811" t="s">
        <v>169</v>
      </c>
      <c r="F1811">
        <v>1808156</v>
      </c>
      <c r="G1811" t="s">
        <v>277</v>
      </c>
      <c r="H181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4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hidden="1" x14ac:dyDescent="0.25">
      <c r="A1812" s="1">
        <v>46169</v>
      </c>
      <c r="B1812" s="1">
        <v>46169</v>
      </c>
      <c r="C1812" t="s">
        <v>169</v>
      </c>
      <c r="D1812" s="38">
        <v>5</v>
      </c>
      <c r="E1812" t="s">
        <v>169</v>
      </c>
      <c r="F1812">
        <v>1808006</v>
      </c>
      <c r="G1812" t="s">
        <v>194</v>
      </c>
      <c r="H1812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4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hidden="1" x14ac:dyDescent="0.25">
      <c r="A1813" s="1">
        <v>46169</v>
      </c>
      <c r="B1813" s="1">
        <v>46169</v>
      </c>
      <c r="C1813" t="s">
        <v>169</v>
      </c>
      <c r="D1813" s="38">
        <v>5</v>
      </c>
      <c r="E1813" t="s">
        <v>169</v>
      </c>
      <c r="F1813">
        <v>1808003</v>
      </c>
      <c r="G1813" t="s">
        <v>195</v>
      </c>
      <c r="H1813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4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hidden="1" x14ac:dyDescent="0.25">
      <c r="A1814" s="1">
        <v>46169</v>
      </c>
      <c r="B1814" s="1">
        <v>46169</v>
      </c>
      <c r="C1814" t="s">
        <v>169</v>
      </c>
      <c r="D1814" s="38">
        <v>5</v>
      </c>
      <c r="E1814" t="s">
        <v>169</v>
      </c>
      <c r="F1814">
        <v>1802517</v>
      </c>
      <c r="G1814" t="s">
        <v>141</v>
      </c>
      <c r="H1814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4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hidden="1" x14ac:dyDescent="0.25">
      <c r="A1815" s="1">
        <v>46169</v>
      </c>
      <c r="B1815" s="1">
        <v>46169</v>
      </c>
      <c r="C1815" t="s">
        <v>169</v>
      </c>
      <c r="D1815" s="38">
        <v>5</v>
      </c>
      <c r="E1815" t="s">
        <v>169</v>
      </c>
      <c r="F1815">
        <v>1802172</v>
      </c>
      <c r="G1815" t="s">
        <v>266</v>
      </c>
      <c r="H1815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4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hidden="1" x14ac:dyDescent="0.25">
      <c r="A1816" s="1">
        <v>46169</v>
      </c>
      <c r="B1816" s="1">
        <v>46169</v>
      </c>
      <c r="C1816" t="s">
        <v>169</v>
      </c>
      <c r="D1816" s="38">
        <v>5</v>
      </c>
      <c r="E1816" t="s">
        <v>169</v>
      </c>
      <c r="F1816">
        <v>1802171</v>
      </c>
      <c r="G1816" t="s">
        <v>265</v>
      </c>
      <c r="H1816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4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hidden="1" x14ac:dyDescent="0.25">
      <c r="A1817" s="1">
        <v>46169</v>
      </c>
      <c r="B1817" s="1">
        <v>46169</v>
      </c>
      <c r="C1817" t="s">
        <v>169</v>
      </c>
      <c r="D1817" s="38">
        <v>5</v>
      </c>
      <c r="E1817" t="s">
        <v>169</v>
      </c>
      <c r="F1817">
        <v>1206002</v>
      </c>
      <c r="G1817" t="s">
        <v>192</v>
      </c>
      <c r="H1817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4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hidden="1" x14ac:dyDescent="0.25">
      <c r="A1818" s="1">
        <v>46169</v>
      </c>
      <c r="B1818" s="1">
        <v>46169</v>
      </c>
      <c r="C1818" t="s">
        <v>169</v>
      </c>
      <c r="D1818" s="38">
        <v>5</v>
      </c>
      <c r="E1818" t="s">
        <v>169</v>
      </c>
      <c r="F1818">
        <v>705028</v>
      </c>
      <c r="G1818" t="s">
        <v>72</v>
      </c>
      <c r="H1818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4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hidden="1" x14ac:dyDescent="0.25">
      <c r="A1819" s="1">
        <v>46169</v>
      </c>
      <c r="B1819" s="1">
        <v>46169</v>
      </c>
      <c r="C1819" t="s">
        <v>169</v>
      </c>
      <c r="D1819" s="38">
        <v>5</v>
      </c>
      <c r="E1819" t="s">
        <v>169</v>
      </c>
      <c r="F1819">
        <v>404252</v>
      </c>
      <c r="G1819" t="s">
        <v>181</v>
      </c>
      <c r="H1819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4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hidden="1" x14ac:dyDescent="0.25">
      <c r="A1820" s="1">
        <v>46169</v>
      </c>
      <c r="B1820" s="1">
        <v>46169</v>
      </c>
      <c r="C1820" t="s">
        <v>169</v>
      </c>
      <c r="D1820" s="38">
        <v>5</v>
      </c>
      <c r="E1820" t="s">
        <v>169</v>
      </c>
      <c r="F1820">
        <v>1802162</v>
      </c>
      <c r="G1820" t="s">
        <v>260</v>
      </c>
      <c r="H1820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4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hidden="1" x14ac:dyDescent="0.25">
      <c r="A1821" s="1">
        <v>46169</v>
      </c>
      <c r="B1821" s="1">
        <v>46169</v>
      </c>
      <c r="C1821" t="s">
        <v>169</v>
      </c>
      <c r="D1821" s="38">
        <v>5</v>
      </c>
      <c r="E1821" t="s">
        <v>169</v>
      </c>
      <c r="F1821">
        <v>2304056</v>
      </c>
      <c r="G1821" t="s">
        <v>417</v>
      </c>
      <c r="H182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4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hidden="1" x14ac:dyDescent="0.25">
      <c r="A1822" s="1">
        <v>46169</v>
      </c>
      <c r="B1822" s="1">
        <v>46169</v>
      </c>
      <c r="C1822" t="s">
        <v>169</v>
      </c>
      <c r="D1822" s="38">
        <v>5</v>
      </c>
      <c r="E1822" t="s">
        <v>169</v>
      </c>
      <c r="F1822">
        <v>1802162</v>
      </c>
      <c r="G1822" t="s">
        <v>260</v>
      </c>
      <c r="H1822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2008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4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hidden="1" x14ac:dyDescent="0.25">
      <c r="A1823" s="1">
        <v>46169</v>
      </c>
      <c r="B1823" s="1">
        <v>46169</v>
      </c>
      <c r="C1823" t="s">
        <v>169</v>
      </c>
      <c r="D1823" s="38">
        <v>5</v>
      </c>
      <c r="E1823" t="s">
        <v>169</v>
      </c>
      <c r="F1823">
        <v>2302119</v>
      </c>
      <c r="G1823" t="s">
        <v>74</v>
      </c>
      <c r="H1823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4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hidden="1" x14ac:dyDescent="0.25">
      <c r="A1824" s="1">
        <v>46170</v>
      </c>
      <c r="B1824" s="1">
        <v>46170</v>
      </c>
      <c r="C1824" t="s">
        <v>169</v>
      </c>
      <c r="D1824" s="38">
        <v>5</v>
      </c>
      <c r="E1824" t="s">
        <v>169</v>
      </c>
      <c r="F1824">
        <v>412630</v>
      </c>
      <c r="G1824" t="s">
        <v>284</v>
      </c>
      <c r="H1824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2015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4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hidden="1" x14ac:dyDescent="0.25">
      <c r="A1825" s="1">
        <v>46170</v>
      </c>
      <c r="B1825" s="1">
        <v>46170</v>
      </c>
      <c r="C1825" t="s">
        <v>169</v>
      </c>
      <c r="D1825" s="38">
        <v>5</v>
      </c>
      <c r="E1825" t="s">
        <v>169</v>
      </c>
      <c r="F1825">
        <v>1901086</v>
      </c>
      <c r="G1825" t="s">
        <v>279</v>
      </c>
      <c r="H1825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4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hidden="1" x14ac:dyDescent="0.25">
      <c r="A1826" s="1">
        <v>46170</v>
      </c>
      <c r="B1826" s="1">
        <v>46170</v>
      </c>
      <c r="C1826" t="s">
        <v>169</v>
      </c>
      <c r="D1826" s="38">
        <v>5</v>
      </c>
      <c r="E1826" t="s">
        <v>169</v>
      </c>
      <c r="F1826">
        <v>1901466</v>
      </c>
      <c r="G1826" t="s">
        <v>398</v>
      </c>
      <c r="H1826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4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hidden="1" x14ac:dyDescent="0.25">
      <c r="A1827" s="1">
        <v>46170</v>
      </c>
      <c r="B1827" s="1">
        <v>46170</v>
      </c>
      <c r="C1827" t="s">
        <v>169</v>
      </c>
      <c r="D1827" s="38">
        <v>5</v>
      </c>
      <c r="E1827" t="s">
        <v>169</v>
      </c>
      <c r="F1827">
        <v>407427</v>
      </c>
      <c r="G1827" t="s">
        <v>172</v>
      </c>
      <c r="H1827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4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hidden="1" x14ac:dyDescent="0.25">
      <c r="A1828" s="1">
        <v>46170</v>
      </c>
      <c r="B1828" s="1">
        <v>46170</v>
      </c>
      <c r="C1828" t="s">
        <v>169</v>
      </c>
      <c r="D1828" s="38">
        <v>5</v>
      </c>
      <c r="E1828" t="s">
        <v>169</v>
      </c>
      <c r="F1828">
        <v>412302</v>
      </c>
      <c r="G1828" t="s">
        <v>165</v>
      </c>
      <c r="H1828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4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hidden="1" x14ac:dyDescent="0.25">
      <c r="A1829" s="1">
        <v>46170</v>
      </c>
      <c r="B1829" s="1">
        <v>46170</v>
      </c>
      <c r="C1829" t="s">
        <v>169</v>
      </c>
      <c r="D1829" s="38">
        <v>5</v>
      </c>
      <c r="E1829" t="s">
        <v>169</v>
      </c>
      <c r="F1829">
        <v>1902013</v>
      </c>
      <c r="G1829" t="s">
        <v>338</v>
      </c>
      <c r="H1829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4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hidden="1" x14ac:dyDescent="0.25">
      <c r="A1830" s="1">
        <v>46170</v>
      </c>
      <c r="B1830" s="1">
        <v>46170</v>
      </c>
      <c r="C1830" t="s">
        <v>169</v>
      </c>
      <c r="D1830" s="38">
        <v>5</v>
      </c>
      <c r="E1830" t="s">
        <v>169</v>
      </c>
      <c r="F1830">
        <v>4212234</v>
      </c>
      <c r="G1830" t="s">
        <v>54</v>
      </c>
      <c r="H1830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4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hidden="1" x14ac:dyDescent="0.25">
      <c r="A1831" s="1">
        <v>46170</v>
      </c>
      <c r="B1831" s="1">
        <v>46170</v>
      </c>
      <c r="C1831" t="s">
        <v>169</v>
      </c>
      <c r="D1831" s="38">
        <v>5</v>
      </c>
      <c r="E1831" t="s">
        <v>169</v>
      </c>
      <c r="F1831">
        <v>2302118</v>
      </c>
      <c r="G1831" t="s">
        <v>228</v>
      </c>
      <c r="H183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4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hidden="1" x14ac:dyDescent="0.25">
      <c r="A1832" s="1">
        <v>46170</v>
      </c>
      <c r="B1832" s="1">
        <v>46170</v>
      </c>
      <c r="C1832" t="s">
        <v>169</v>
      </c>
      <c r="D1832" s="38">
        <v>5</v>
      </c>
      <c r="E1832" t="s">
        <v>169</v>
      </c>
      <c r="F1832">
        <v>2302098</v>
      </c>
      <c r="G1832" t="s">
        <v>24</v>
      </c>
      <c r="H1832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4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hidden="1" x14ac:dyDescent="0.25">
      <c r="A1833" s="1">
        <v>46170</v>
      </c>
      <c r="B1833" s="1">
        <v>46170</v>
      </c>
      <c r="C1833" t="s">
        <v>169</v>
      </c>
      <c r="D1833" s="38">
        <v>5</v>
      </c>
      <c r="E1833" t="s">
        <v>169</v>
      </c>
      <c r="F1833">
        <v>410046</v>
      </c>
      <c r="G1833" t="s">
        <v>361</v>
      </c>
      <c r="H1833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4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hidden="1" x14ac:dyDescent="0.25">
      <c r="A1834" s="1">
        <v>46170</v>
      </c>
      <c r="B1834" s="1">
        <v>46170</v>
      </c>
      <c r="C1834" t="s">
        <v>169</v>
      </c>
      <c r="D1834" s="38">
        <v>5</v>
      </c>
      <c r="E1834" t="s">
        <v>169</v>
      </c>
      <c r="F1834" t="s">
        <v>386</v>
      </c>
      <c r="G1834" t="s">
        <v>83</v>
      </c>
      <c r="H1834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4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hidden="1" x14ac:dyDescent="0.25">
      <c r="A1835" s="1">
        <v>46170</v>
      </c>
      <c r="B1835" s="1">
        <v>46170</v>
      </c>
      <c r="C1835" t="s">
        <v>169</v>
      </c>
      <c r="D1835" s="38">
        <v>5</v>
      </c>
      <c r="E1835" t="s">
        <v>169</v>
      </c>
      <c r="F1835">
        <v>5309018</v>
      </c>
      <c r="G1835" t="s">
        <v>112</v>
      </c>
      <c r="H1835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4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hidden="1" x14ac:dyDescent="0.25">
      <c r="A1836" s="1">
        <v>46170</v>
      </c>
      <c r="B1836" s="1">
        <v>46170</v>
      </c>
      <c r="C1836" t="s">
        <v>169</v>
      </c>
      <c r="D1836" s="38">
        <v>5</v>
      </c>
      <c r="E1836" t="s">
        <v>169</v>
      </c>
      <c r="F1836">
        <v>408014</v>
      </c>
      <c r="G1836" t="s">
        <v>108</v>
      </c>
      <c r="H1836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4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hidden="1" x14ac:dyDescent="0.25">
      <c r="A1837" s="1">
        <v>46170</v>
      </c>
      <c r="B1837" s="1">
        <v>46170</v>
      </c>
      <c r="C1837" t="s">
        <v>169</v>
      </c>
      <c r="D1837" s="38">
        <v>5</v>
      </c>
      <c r="E1837" t="s">
        <v>169</v>
      </c>
      <c r="F1837">
        <v>408042</v>
      </c>
      <c r="G1837" t="s">
        <v>144</v>
      </c>
      <c r="H1837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4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hidden="1" x14ac:dyDescent="0.25">
      <c r="A1838" s="1">
        <v>46170</v>
      </c>
      <c r="B1838" s="1">
        <v>46170</v>
      </c>
      <c r="C1838" t="s">
        <v>169</v>
      </c>
      <c r="D1838" s="38">
        <v>5</v>
      </c>
      <c r="E1838" t="s">
        <v>169</v>
      </c>
      <c r="F1838" t="s">
        <v>757</v>
      </c>
      <c r="G1838" t="s">
        <v>226</v>
      </c>
      <c r="H1838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4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hidden="1" x14ac:dyDescent="0.25">
      <c r="A1839" s="1">
        <v>46170</v>
      </c>
      <c r="B1839" s="1">
        <v>46170</v>
      </c>
      <c r="C1839" t="s">
        <v>169</v>
      </c>
      <c r="D1839" s="38">
        <v>5</v>
      </c>
      <c r="E1839" t="s">
        <v>169</v>
      </c>
      <c r="F1839" t="s">
        <v>784</v>
      </c>
      <c r="G1839" t="s">
        <v>95</v>
      </c>
      <c r="H1839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2008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4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hidden="1" x14ac:dyDescent="0.25">
      <c r="A1840" s="1">
        <v>46170</v>
      </c>
      <c r="B1840" s="1">
        <v>46170</v>
      </c>
      <c r="C1840" t="s">
        <v>169</v>
      </c>
      <c r="D1840" s="38">
        <v>5</v>
      </c>
      <c r="E1840" t="s">
        <v>169</v>
      </c>
      <c r="F1840">
        <v>1610007</v>
      </c>
      <c r="G1840" t="s">
        <v>334</v>
      </c>
      <c r="H1840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4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hidden="1" x14ac:dyDescent="0.25">
      <c r="A1841" s="1">
        <v>46170</v>
      </c>
      <c r="B1841" s="1">
        <v>46170</v>
      </c>
      <c r="C1841" t="s">
        <v>169</v>
      </c>
      <c r="D1841" s="38">
        <v>5</v>
      </c>
      <c r="E1841" t="s">
        <v>169</v>
      </c>
      <c r="F1841">
        <v>1610023</v>
      </c>
      <c r="G1841" t="s">
        <v>351</v>
      </c>
      <c r="H184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4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hidden="1" x14ac:dyDescent="0.25">
      <c r="A1842" s="1">
        <v>46170</v>
      </c>
      <c r="B1842" s="1">
        <v>46170</v>
      </c>
      <c r="C1842" t="s">
        <v>169</v>
      </c>
      <c r="D1842" s="38">
        <v>5</v>
      </c>
      <c r="E1842" t="s">
        <v>169</v>
      </c>
      <c r="F1842">
        <v>609008</v>
      </c>
      <c r="G1842" t="s">
        <v>57</v>
      </c>
      <c r="H1842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4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hidden="1" x14ac:dyDescent="0.25">
      <c r="A1843" s="1">
        <v>46170</v>
      </c>
      <c r="B1843" s="1">
        <v>46170</v>
      </c>
      <c r="C1843" t="s">
        <v>169</v>
      </c>
      <c r="D1843" s="38">
        <v>5</v>
      </c>
      <c r="E1843" t="s">
        <v>169</v>
      </c>
      <c r="F1843">
        <v>810007</v>
      </c>
      <c r="G1843" t="s">
        <v>235</v>
      </c>
      <c r="H1843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4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hidden="1" x14ac:dyDescent="0.25">
      <c r="A1844" s="1">
        <v>46170</v>
      </c>
      <c r="B1844" s="1">
        <v>46170</v>
      </c>
      <c r="C1844" t="s">
        <v>169</v>
      </c>
      <c r="D1844" s="38">
        <v>5</v>
      </c>
      <c r="E1844" t="s">
        <v>169</v>
      </c>
      <c r="F1844">
        <v>2302098</v>
      </c>
      <c r="G1844" t="s">
        <v>24</v>
      </c>
      <c r="H1844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4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hidden="1" x14ac:dyDescent="0.25">
      <c r="A1845" s="1">
        <v>46170</v>
      </c>
      <c r="B1845" s="1">
        <v>46170</v>
      </c>
      <c r="C1845" t="s">
        <v>169</v>
      </c>
      <c r="D1845" s="38">
        <v>5</v>
      </c>
      <c r="E1845" t="s">
        <v>169</v>
      </c>
      <c r="F1845">
        <v>2302017</v>
      </c>
      <c r="G1845" t="s">
        <v>156</v>
      </c>
      <c r="H1845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4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hidden="1" x14ac:dyDescent="0.25">
      <c r="A1846" s="1">
        <v>46170</v>
      </c>
      <c r="B1846" s="1">
        <v>46170</v>
      </c>
      <c r="C1846" t="s">
        <v>169</v>
      </c>
      <c r="D1846" s="38">
        <v>5</v>
      </c>
      <c r="E1846" t="s">
        <v>169</v>
      </c>
      <c r="F1846">
        <v>602255</v>
      </c>
      <c r="G1846" t="s">
        <v>203</v>
      </c>
      <c r="H1846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4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hidden="1" x14ac:dyDescent="0.25">
      <c r="A1847" s="1">
        <v>46170</v>
      </c>
      <c r="B1847" s="1">
        <v>46170</v>
      </c>
      <c r="C1847" t="s">
        <v>169</v>
      </c>
      <c r="D1847" s="38">
        <v>5</v>
      </c>
      <c r="E1847" t="s">
        <v>169</v>
      </c>
      <c r="F1847">
        <v>602254</v>
      </c>
      <c r="G1847" t="s">
        <v>214</v>
      </c>
      <c r="H1847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4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hidden="1" x14ac:dyDescent="0.25">
      <c r="A1848" s="1">
        <v>46170</v>
      </c>
      <c r="B1848" s="1">
        <v>46170</v>
      </c>
      <c r="C1848" t="s">
        <v>169</v>
      </c>
      <c r="D1848" s="38">
        <v>5</v>
      </c>
      <c r="E1848" t="s">
        <v>169</v>
      </c>
      <c r="F1848">
        <v>2505058</v>
      </c>
      <c r="G1848" t="s">
        <v>142</v>
      </c>
      <c r="H1848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2008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4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hidden="1" x14ac:dyDescent="0.25">
      <c r="A1849" s="1">
        <v>46170</v>
      </c>
      <c r="B1849" s="1">
        <v>46170</v>
      </c>
      <c r="C1849" t="s">
        <v>169</v>
      </c>
      <c r="D1849" s="38">
        <v>5</v>
      </c>
      <c r="E1849" t="s">
        <v>169</v>
      </c>
      <c r="F1849">
        <v>2304002</v>
      </c>
      <c r="G1849" t="s">
        <v>212</v>
      </c>
      <c r="H1849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2017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4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hidden="1" x14ac:dyDescent="0.25">
      <c r="A1850" s="1">
        <v>46170</v>
      </c>
      <c r="B1850" s="1">
        <v>46170</v>
      </c>
      <c r="C1850" t="s">
        <v>169</v>
      </c>
      <c r="D1850" s="38">
        <v>5</v>
      </c>
      <c r="E1850" t="s">
        <v>169</v>
      </c>
      <c r="F1850">
        <v>1405006</v>
      </c>
      <c r="G1850" t="s">
        <v>199</v>
      </c>
      <c r="H1850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4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hidden="1" x14ac:dyDescent="0.25">
      <c r="A1851" s="1">
        <v>46170</v>
      </c>
      <c r="B1851" s="1">
        <v>46170</v>
      </c>
      <c r="C1851" t="s">
        <v>169</v>
      </c>
      <c r="D1851" s="38">
        <v>5</v>
      </c>
      <c r="E1851" t="s">
        <v>169</v>
      </c>
      <c r="F1851" t="s">
        <v>231</v>
      </c>
      <c r="G1851" t="s">
        <v>180</v>
      </c>
      <c r="H185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4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hidden="1" x14ac:dyDescent="0.25">
      <c r="A1852" s="1">
        <v>46170</v>
      </c>
      <c r="B1852" s="1">
        <v>46170</v>
      </c>
      <c r="C1852" t="s">
        <v>169</v>
      </c>
      <c r="D1852" s="38">
        <v>5</v>
      </c>
      <c r="E1852" t="s">
        <v>169</v>
      </c>
      <c r="F1852">
        <v>408088</v>
      </c>
      <c r="G1852" t="s">
        <v>109</v>
      </c>
      <c r="H1852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4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hidden="1" x14ac:dyDescent="0.25">
      <c r="A1853" s="1">
        <v>46170</v>
      </c>
      <c r="B1853" s="1">
        <v>46170</v>
      </c>
      <c r="C1853" t="s">
        <v>169</v>
      </c>
      <c r="D1853" s="38">
        <v>5</v>
      </c>
      <c r="E1853" t="s">
        <v>169</v>
      </c>
      <c r="F1853">
        <v>407049</v>
      </c>
      <c r="G1853" t="s">
        <v>232</v>
      </c>
      <c r="H1853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4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hidden="1" x14ac:dyDescent="0.25">
      <c r="A1854" s="1">
        <v>46170</v>
      </c>
      <c r="B1854" s="1">
        <v>46170</v>
      </c>
      <c r="C1854" t="s">
        <v>169</v>
      </c>
      <c r="D1854" s="38">
        <v>5</v>
      </c>
      <c r="E1854" t="s">
        <v>169</v>
      </c>
      <c r="F1854">
        <v>304101</v>
      </c>
      <c r="G1854" t="s">
        <v>17</v>
      </c>
      <c r="H1854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4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hidden="1" x14ac:dyDescent="0.25">
      <c r="A1855" s="1">
        <v>46170</v>
      </c>
      <c r="B1855" s="1">
        <v>46170</v>
      </c>
      <c r="C1855" t="s">
        <v>169</v>
      </c>
      <c r="D1855" s="38">
        <v>5</v>
      </c>
      <c r="E1855" t="s">
        <v>169</v>
      </c>
      <c r="F1855">
        <v>617016</v>
      </c>
      <c r="G1855" t="s">
        <v>133</v>
      </c>
      <c r="H1855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4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hidden="1" x14ac:dyDescent="0.25">
      <c r="A1856" s="1">
        <v>46170</v>
      </c>
      <c r="B1856" s="1">
        <v>46170</v>
      </c>
      <c r="C1856" t="s">
        <v>169</v>
      </c>
      <c r="D1856" s="38">
        <v>5</v>
      </c>
      <c r="E1856" t="s">
        <v>169</v>
      </c>
      <c r="F1856">
        <v>1902003</v>
      </c>
      <c r="G1856" t="s">
        <v>155</v>
      </c>
      <c r="H1856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4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hidden="1" x14ac:dyDescent="0.25">
      <c r="A1857" s="1">
        <v>46170</v>
      </c>
      <c r="B1857" s="1">
        <v>46170</v>
      </c>
      <c r="C1857" t="s">
        <v>169</v>
      </c>
      <c r="D1857" s="38">
        <v>5</v>
      </c>
      <c r="E1857" t="s">
        <v>169</v>
      </c>
      <c r="F1857">
        <v>407011</v>
      </c>
      <c r="G1857" t="s">
        <v>30</v>
      </c>
      <c r="H1857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4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hidden="1" x14ac:dyDescent="0.25">
      <c r="A1858" s="1">
        <v>46170</v>
      </c>
      <c r="B1858" s="1">
        <v>46170</v>
      </c>
      <c r="C1858" t="s">
        <v>169</v>
      </c>
      <c r="D1858" s="38">
        <v>5</v>
      </c>
      <c r="E1858" t="s">
        <v>169</v>
      </c>
      <c r="F1858">
        <v>407185</v>
      </c>
      <c r="G1858" t="s">
        <v>43</v>
      </c>
      <c r="H1858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4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hidden="1" x14ac:dyDescent="0.25">
      <c r="A1859" s="1">
        <v>46170</v>
      </c>
      <c r="B1859" s="1">
        <v>46170</v>
      </c>
      <c r="C1859" t="s">
        <v>169</v>
      </c>
      <c r="D1859" s="38">
        <v>5</v>
      </c>
      <c r="E1859" t="s">
        <v>169</v>
      </c>
      <c r="F1859">
        <v>407170</v>
      </c>
      <c r="G1859" t="s">
        <v>107</v>
      </c>
      <c r="H1859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4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hidden="1" x14ac:dyDescent="0.25">
      <c r="A1860" s="1">
        <v>46170</v>
      </c>
      <c r="B1860" s="1">
        <v>46170</v>
      </c>
      <c r="C1860" t="s">
        <v>169</v>
      </c>
      <c r="D1860" s="38">
        <v>5</v>
      </c>
      <c r="E1860" t="s">
        <v>169</v>
      </c>
      <c r="F1860">
        <v>407423</v>
      </c>
      <c r="G1860" t="s">
        <v>106</v>
      </c>
      <c r="H1860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4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hidden="1" x14ac:dyDescent="0.25">
      <c r="A1861" s="1">
        <v>46170</v>
      </c>
      <c r="B1861" s="1">
        <v>46170</v>
      </c>
      <c r="C1861" t="s">
        <v>169</v>
      </c>
      <c r="D1861" s="38">
        <v>5</v>
      </c>
      <c r="E1861" t="s">
        <v>169</v>
      </c>
      <c r="F1861">
        <v>412313</v>
      </c>
      <c r="G1861" t="s">
        <v>253</v>
      </c>
      <c r="H186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4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hidden="1" x14ac:dyDescent="0.25">
      <c r="A1862" s="1">
        <v>46170</v>
      </c>
      <c r="B1862" s="1">
        <v>46170</v>
      </c>
      <c r="C1862" t="s">
        <v>169</v>
      </c>
      <c r="D1862" s="38">
        <v>5</v>
      </c>
      <c r="E1862" t="s">
        <v>169</v>
      </c>
      <c r="F1862">
        <v>410045</v>
      </c>
      <c r="G1862" t="s">
        <v>110</v>
      </c>
      <c r="H1862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4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hidden="1" x14ac:dyDescent="0.25">
      <c r="A1863" s="1">
        <v>46170</v>
      </c>
      <c r="B1863" s="1">
        <v>46170</v>
      </c>
      <c r="C1863" t="s">
        <v>169</v>
      </c>
      <c r="D1863" s="38">
        <v>5</v>
      </c>
      <c r="E1863" t="s">
        <v>169</v>
      </c>
      <c r="F1863">
        <v>410126</v>
      </c>
      <c r="G1863" t="s">
        <v>159</v>
      </c>
      <c r="H1863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4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hidden="1" x14ac:dyDescent="0.25">
      <c r="A1864" s="1">
        <v>46170</v>
      </c>
      <c r="B1864" s="1">
        <v>46170</v>
      </c>
      <c r="C1864" t="s">
        <v>169</v>
      </c>
      <c r="D1864" s="38">
        <v>5</v>
      </c>
      <c r="E1864" t="s">
        <v>169</v>
      </c>
      <c r="F1864">
        <v>408042</v>
      </c>
      <c r="G1864" t="s">
        <v>144</v>
      </c>
      <c r="H1864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2017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4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hidden="1" x14ac:dyDescent="0.25">
      <c r="A1865" s="1">
        <v>46170</v>
      </c>
      <c r="B1865" s="1">
        <v>46170</v>
      </c>
      <c r="C1865" t="s">
        <v>169</v>
      </c>
      <c r="D1865" s="38">
        <v>5</v>
      </c>
      <c r="E1865" t="s">
        <v>169</v>
      </c>
      <c r="F1865">
        <v>1802659</v>
      </c>
      <c r="G1865" t="s">
        <v>161</v>
      </c>
      <c r="H1865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4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hidden="1" x14ac:dyDescent="0.25">
      <c r="A1866" s="1">
        <v>46170</v>
      </c>
      <c r="B1866" s="1">
        <v>46170</v>
      </c>
      <c r="C1866" t="s">
        <v>169</v>
      </c>
      <c r="D1866" s="38">
        <v>5</v>
      </c>
      <c r="E1866" t="s">
        <v>169</v>
      </c>
      <c r="F1866">
        <v>810007</v>
      </c>
      <c r="G1866" t="s">
        <v>235</v>
      </c>
      <c r="H1866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4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hidden="1" x14ac:dyDescent="0.25">
      <c r="A1867" s="1">
        <v>46170</v>
      </c>
      <c r="B1867" s="1">
        <v>46170</v>
      </c>
      <c r="C1867" t="s">
        <v>169</v>
      </c>
      <c r="D1867" s="38">
        <v>5</v>
      </c>
      <c r="E1867" t="s">
        <v>169</v>
      </c>
      <c r="F1867">
        <v>302054</v>
      </c>
      <c r="G1867" t="s">
        <v>356</v>
      </c>
      <c r="H1867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4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hidden="1" x14ac:dyDescent="0.25">
      <c r="A1868" s="1">
        <v>46170</v>
      </c>
      <c r="B1868" s="1">
        <v>46170</v>
      </c>
      <c r="C1868" t="s">
        <v>169</v>
      </c>
      <c r="D1868" s="38">
        <v>5</v>
      </c>
      <c r="E1868" t="s">
        <v>169</v>
      </c>
      <c r="F1868">
        <v>704022</v>
      </c>
      <c r="G1868" t="s">
        <v>330</v>
      </c>
      <c r="H1868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4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hidden="1" x14ac:dyDescent="0.25">
      <c r="A1869" s="1">
        <v>46170</v>
      </c>
      <c r="B1869" s="1">
        <v>46170</v>
      </c>
      <c r="C1869" t="s">
        <v>169</v>
      </c>
      <c r="D1869" s="38">
        <v>5</v>
      </c>
      <c r="E1869" t="s">
        <v>169</v>
      </c>
      <c r="F1869">
        <v>408034</v>
      </c>
      <c r="G1869" t="s">
        <v>250</v>
      </c>
      <c r="H1869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4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hidden="1" x14ac:dyDescent="0.25">
      <c r="A1870" s="1">
        <v>46170</v>
      </c>
      <c r="B1870" s="1">
        <v>46170</v>
      </c>
      <c r="C1870" t="s">
        <v>169</v>
      </c>
      <c r="D1870" s="38">
        <v>5</v>
      </c>
      <c r="E1870" t="s">
        <v>169</v>
      </c>
      <c r="F1870">
        <v>1901505</v>
      </c>
      <c r="G1870" t="s">
        <v>27</v>
      </c>
      <c r="H1870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4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hidden="1" x14ac:dyDescent="0.25">
      <c r="A1871" s="1">
        <v>46170</v>
      </c>
      <c r="B1871" s="1">
        <v>46170</v>
      </c>
      <c r="C1871" t="s">
        <v>169</v>
      </c>
      <c r="D1871" s="38">
        <v>5</v>
      </c>
      <c r="E1871" t="s">
        <v>169</v>
      </c>
      <c r="F1871">
        <v>2304056</v>
      </c>
      <c r="G1871" t="s">
        <v>417</v>
      </c>
      <c r="H187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4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hidden="1" x14ac:dyDescent="0.25">
      <c r="A1872" s="1">
        <v>46170</v>
      </c>
      <c r="B1872" s="1">
        <v>46170</v>
      </c>
      <c r="C1872" t="s">
        <v>169</v>
      </c>
      <c r="D1872" s="38">
        <v>5</v>
      </c>
      <c r="E1872" t="s">
        <v>169</v>
      </c>
      <c r="F1872">
        <v>1901038</v>
      </c>
      <c r="G1872" t="s">
        <v>39</v>
      </c>
      <c r="H1872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4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hidden="1" x14ac:dyDescent="0.25">
      <c r="A1873" s="1">
        <v>46170</v>
      </c>
      <c r="B1873" s="1">
        <v>46170</v>
      </c>
      <c r="C1873" t="s">
        <v>169</v>
      </c>
      <c r="D1873" s="38">
        <v>5</v>
      </c>
      <c r="E1873" t="s">
        <v>169</v>
      </c>
      <c r="F1873">
        <v>1901008</v>
      </c>
      <c r="G1873" t="s">
        <v>278</v>
      </c>
      <c r="H1873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4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hidden="1" x14ac:dyDescent="0.25">
      <c r="A1874" s="1">
        <v>46170</v>
      </c>
      <c r="B1874" s="1">
        <v>46170</v>
      </c>
      <c r="C1874" t="s">
        <v>169</v>
      </c>
      <c r="D1874" s="38">
        <v>5</v>
      </c>
      <c r="E1874" t="s">
        <v>169</v>
      </c>
      <c r="F1874">
        <v>2302119</v>
      </c>
      <c r="G1874" t="s">
        <v>74</v>
      </c>
      <c r="H1874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4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hidden="1" x14ac:dyDescent="0.25">
      <c r="A1875" s="1">
        <v>46170</v>
      </c>
      <c r="B1875" s="1">
        <v>46170</v>
      </c>
      <c r="C1875" t="s">
        <v>169</v>
      </c>
      <c r="D1875" s="38">
        <v>5</v>
      </c>
      <c r="E1875" t="s">
        <v>169</v>
      </c>
      <c r="F1875">
        <v>617057</v>
      </c>
      <c r="G1875" t="s">
        <v>134</v>
      </c>
      <c r="H1875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4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hidden="1" x14ac:dyDescent="0.25">
      <c r="A1876" s="1">
        <v>46170</v>
      </c>
      <c r="B1876" s="1">
        <v>46170</v>
      </c>
      <c r="C1876" t="s">
        <v>169</v>
      </c>
      <c r="D1876" s="38">
        <v>5</v>
      </c>
      <c r="E1876" t="s">
        <v>169</v>
      </c>
      <c r="F1876">
        <v>617055</v>
      </c>
      <c r="G1876" t="s">
        <v>182</v>
      </c>
      <c r="H1876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4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hidden="1" x14ac:dyDescent="0.25">
      <c r="A1877" s="1">
        <v>46170</v>
      </c>
      <c r="B1877" s="1">
        <v>46170</v>
      </c>
      <c r="C1877" t="s">
        <v>169</v>
      </c>
      <c r="D1877" s="38">
        <v>5</v>
      </c>
      <c r="E1877" t="s">
        <v>169</v>
      </c>
      <c r="F1877">
        <v>1610023</v>
      </c>
      <c r="G1877" t="s">
        <v>351</v>
      </c>
      <c r="H1877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4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hidden="1" x14ac:dyDescent="0.25">
      <c r="A1878" s="1">
        <v>46170</v>
      </c>
      <c r="B1878" s="1">
        <v>46170</v>
      </c>
      <c r="C1878" t="s">
        <v>169</v>
      </c>
      <c r="D1878" s="38">
        <v>5</v>
      </c>
      <c r="E1878" t="s">
        <v>169</v>
      </c>
      <c r="F1878">
        <v>609008</v>
      </c>
      <c r="G1878" t="s">
        <v>57</v>
      </c>
      <c r="H1878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4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hidden="1" x14ac:dyDescent="0.25">
      <c r="A1879" s="1">
        <v>46170</v>
      </c>
      <c r="B1879" s="1">
        <v>46170</v>
      </c>
      <c r="C1879" t="s">
        <v>169</v>
      </c>
      <c r="D1879" s="38">
        <v>5</v>
      </c>
      <c r="E1879" t="s">
        <v>169</v>
      </c>
      <c r="F1879">
        <v>106022</v>
      </c>
      <c r="G1879" t="s">
        <v>245</v>
      </c>
      <c r="H1879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4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hidden="1" x14ac:dyDescent="0.25">
      <c r="A1880" s="1">
        <v>46170</v>
      </c>
      <c r="B1880" s="1">
        <v>46170</v>
      </c>
      <c r="C1880" t="s">
        <v>169</v>
      </c>
      <c r="D1880" s="38">
        <v>5</v>
      </c>
      <c r="E1880" t="s">
        <v>169</v>
      </c>
      <c r="F1880">
        <v>707023</v>
      </c>
      <c r="G1880" t="s">
        <v>794</v>
      </c>
      <c r="H1880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2017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4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hidden="1" x14ac:dyDescent="0.25">
      <c r="A1881" s="1">
        <v>46171</v>
      </c>
      <c r="B1881" s="1">
        <v>46171</v>
      </c>
      <c r="C1881" t="s">
        <v>169</v>
      </c>
      <c r="D1881" s="38">
        <v>5</v>
      </c>
      <c r="E1881" t="s">
        <v>169</v>
      </c>
      <c r="F1881" t="s">
        <v>296</v>
      </c>
      <c r="G1881" t="s">
        <v>297</v>
      </c>
      <c r="H18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2009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4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hidden="1" x14ac:dyDescent="0.25">
      <c r="A1882" s="1">
        <v>46171</v>
      </c>
      <c r="B1882" s="1">
        <v>46171</v>
      </c>
      <c r="C1882" t="s">
        <v>169</v>
      </c>
      <c r="D1882" s="38">
        <v>5</v>
      </c>
      <c r="E1882" t="s">
        <v>169</v>
      </c>
      <c r="F1882" t="s">
        <v>288</v>
      </c>
      <c r="G1882" t="s">
        <v>289</v>
      </c>
      <c r="H1882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2009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4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hidden="1" x14ac:dyDescent="0.25">
      <c r="A1883" s="1">
        <v>46171</v>
      </c>
      <c r="B1883" s="1">
        <v>46171</v>
      </c>
      <c r="C1883" t="s">
        <v>169</v>
      </c>
      <c r="D1883" s="38">
        <v>5</v>
      </c>
      <c r="E1883" t="s">
        <v>169</v>
      </c>
      <c r="F1883" t="s">
        <v>286</v>
      </c>
      <c r="G1883" t="s">
        <v>287</v>
      </c>
      <c r="H1883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2009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4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hidden="1" x14ac:dyDescent="0.25">
      <c r="A1884" s="1">
        <v>46171</v>
      </c>
      <c r="B1884" s="1">
        <v>46171</v>
      </c>
      <c r="C1884" t="s">
        <v>169</v>
      </c>
      <c r="D1884" s="38">
        <v>5</v>
      </c>
      <c r="E1884" t="s">
        <v>169</v>
      </c>
      <c r="F1884">
        <v>701015</v>
      </c>
      <c r="G1884" t="s">
        <v>254</v>
      </c>
      <c r="H1884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2017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4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hidden="1" x14ac:dyDescent="0.25">
      <c r="A1885" s="1">
        <v>46171</v>
      </c>
      <c r="B1885" s="1">
        <v>46171</v>
      </c>
      <c r="C1885" t="s">
        <v>169</v>
      </c>
      <c r="D1885" s="38">
        <v>5</v>
      </c>
      <c r="E1885" t="s">
        <v>169</v>
      </c>
      <c r="F1885" t="s">
        <v>21</v>
      </c>
      <c r="G1885" t="s">
        <v>22</v>
      </c>
      <c r="H1885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4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hidden="1" x14ac:dyDescent="0.25">
      <c r="A1886" s="1">
        <v>46171</v>
      </c>
      <c r="B1886" s="1">
        <v>46171</v>
      </c>
      <c r="C1886" t="s">
        <v>169</v>
      </c>
      <c r="D1886" s="38">
        <v>5</v>
      </c>
      <c r="E1886" t="s">
        <v>169</v>
      </c>
      <c r="F1886">
        <v>302248</v>
      </c>
      <c r="G1886" t="s">
        <v>281</v>
      </c>
      <c r="H1886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4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hidden="1" x14ac:dyDescent="0.25">
      <c r="A1887" s="1">
        <v>46171</v>
      </c>
      <c r="B1887" s="1">
        <v>46171</v>
      </c>
      <c r="C1887" t="s">
        <v>169</v>
      </c>
      <c r="D1887" s="38">
        <v>5</v>
      </c>
      <c r="E1887" t="s">
        <v>169</v>
      </c>
      <c r="F1887">
        <v>302048</v>
      </c>
      <c r="G1887" t="s">
        <v>126</v>
      </c>
      <c r="H1887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4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hidden="1" x14ac:dyDescent="0.25">
      <c r="A1888" s="1">
        <v>46171</v>
      </c>
      <c r="B1888" s="1">
        <v>46171</v>
      </c>
      <c r="C1888" t="s">
        <v>169</v>
      </c>
      <c r="D1888" s="38">
        <v>5</v>
      </c>
      <c r="E1888" t="s">
        <v>169</v>
      </c>
      <c r="F1888">
        <v>302028</v>
      </c>
      <c r="G1888" t="s">
        <v>246</v>
      </c>
      <c r="H1888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4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hidden="1" x14ac:dyDescent="0.25">
      <c r="A1889" s="1">
        <v>46171</v>
      </c>
      <c r="B1889" s="1">
        <v>46171</v>
      </c>
      <c r="C1889" t="s">
        <v>169</v>
      </c>
      <c r="D1889" s="38">
        <v>5</v>
      </c>
      <c r="E1889" t="s">
        <v>169</v>
      </c>
      <c r="F1889">
        <v>704022</v>
      </c>
      <c r="G1889" t="s">
        <v>330</v>
      </c>
      <c r="H1889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4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hidden="1" x14ac:dyDescent="0.25">
      <c r="A1890" s="1">
        <v>46171</v>
      </c>
      <c r="B1890" s="1">
        <v>46171</v>
      </c>
      <c r="C1890" t="s">
        <v>169</v>
      </c>
      <c r="D1890" s="38">
        <v>5</v>
      </c>
      <c r="E1890" t="s">
        <v>169</v>
      </c>
      <c r="F1890">
        <v>302010</v>
      </c>
      <c r="G1890" t="s">
        <v>323</v>
      </c>
      <c r="H1890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4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hidden="1" x14ac:dyDescent="0.25">
      <c r="A1891" s="1">
        <v>46171</v>
      </c>
      <c r="B1891" s="1">
        <v>46171</v>
      </c>
      <c r="C1891" t="s">
        <v>169</v>
      </c>
      <c r="D1891" s="38">
        <v>5</v>
      </c>
      <c r="E1891" t="s">
        <v>169</v>
      </c>
      <c r="F1891">
        <v>304049</v>
      </c>
      <c r="G1891" t="s">
        <v>318</v>
      </c>
      <c r="H189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4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hidden="1" x14ac:dyDescent="0.25">
      <c r="A1892" s="1">
        <v>46171</v>
      </c>
      <c r="B1892" s="1">
        <v>46171</v>
      </c>
      <c r="C1892" t="s">
        <v>169</v>
      </c>
      <c r="D1892" s="38">
        <v>5</v>
      </c>
      <c r="E1892" t="s">
        <v>169</v>
      </c>
      <c r="F1892">
        <v>701096</v>
      </c>
      <c r="G1892" t="s">
        <v>204</v>
      </c>
      <c r="H1892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4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hidden="1" x14ac:dyDescent="0.25">
      <c r="A1893" s="1">
        <v>46171</v>
      </c>
      <c r="B1893" s="1">
        <v>46171</v>
      </c>
      <c r="C1893" t="s">
        <v>169</v>
      </c>
      <c r="D1893" s="38">
        <v>5</v>
      </c>
      <c r="E1893" t="s">
        <v>169</v>
      </c>
      <c r="F1893">
        <v>701040</v>
      </c>
      <c r="G1893" t="s">
        <v>19</v>
      </c>
      <c r="H1893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4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hidden="1" x14ac:dyDescent="0.25">
      <c r="A1894" s="1">
        <v>46171</v>
      </c>
      <c r="B1894" s="1">
        <v>46171</v>
      </c>
      <c r="C1894" t="s">
        <v>169</v>
      </c>
      <c r="D1894" s="38">
        <v>5</v>
      </c>
      <c r="E1894" t="s">
        <v>169</v>
      </c>
      <c r="F1894">
        <v>701043</v>
      </c>
      <c r="G1894" t="s">
        <v>197</v>
      </c>
      <c r="H1894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4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hidden="1" x14ac:dyDescent="0.25">
      <c r="A1895" s="1">
        <v>46171</v>
      </c>
      <c r="B1895" s="1">
        <v>46171</v>
      </c>
      <c r="C1895" t="s">
        <v>169</v>
      </c>
      <c r="D1895" s="38">
        <v>5</v>
      </c>
      <c r="E1895" t="s">
        <v>169</v>
      </c>
      <c r="F1895" t="s">
        <v>461</v>
      </c>
      <c r="G1895" t="s">
        <v>451</v>
      </c>
      <c r="H1895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2017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4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hidden="1" x14ac:dyDescent="0.25">
      <c r="A1896" s="1">
        <v>46171</v>
      </c>
      <c r="B1896" s="1">
        <v>46171</v>
      </c>
      <c r="C1896" t="s">
        <v>169</v>
      </c>
      <c r="D1896" s="38">
        <v>5</v>
      </c>
      <c r="E1896" t="s">
        <v>169</v>
      </c>
      <c r="F1896">
        <v>704025</v>
      </c>
      <c r="G1896" t="s">
        <v>333</v>
      </c>
      <c r="H1896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4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hidden="1" x14ac:dyDescent="0.25">
      <c r="A1897" s="1">
        <v>46171</v>
      </c>
      <c r="B1897" s="1">
        <v>46171</v>
      </c>
      <c r="C1897" t="s">
        <v>169</v>
      </c>
      <c r="D1897" s="38">
        <v>5</v>
      </c>
      <c r="E1897" t="s">
        <v>169</v>
      </c>
      <c r="F1897">
        <v>704024</v>
      </c>
      <c r="G1897" t="s">
        <v>332</v>
      </c>
      <c r="H1897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4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hidden="1" x14ac:dyDescent="0.25">
      <c r="A1898" s="1">
        <v>46171</v>
      </c>
      <c r="B1898" s="1">
        <v>46171</v>
      </c>
      <c r="C1898" t="s">
        <v>169</v>
      </c>
      <c r="D1898" s="38">
        <v>5</v>
      </c>
      <c r="E1898" t="s">
        <v>169</v>
      </c>
      <c r="F1898">
        <v>704023</v>
      </c>
      <c r="G1898" t="s">
        <v>331</v>
      </c>
      <c r="H1898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4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hidden="1" x14ac:dyDescent="0.25">
      <c r="A1899" s="1">
        <v>46171</v>
      </c>
      <c r="B1899" s="1">
        <v>46171</v>
      </c>
      <c r="C1899" t="s">
        <v>169</v>
      </c>
      <c r="D1899" s="38">
        <v>5</v>
      </c>
      <c r="E1899" t="s">
        <v>169</v>
      </c>
      <c r="F1899">
        <v>704022</v>
      </c>
      <c r="G1899" t="s">
        <v>330</v>
      </c>
      <c r="H1899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4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hidden="1" x14ac:dyDescent="0.25">
      <c r="A1900" s="1">
        <v>46171</v>
      </c>
      <c r="B1900" s="1">
        <v>46171</v>
      </c>
      <c r="C1900" t="s">
        <v>169</v>
      </c>
      <c r="D1900" s="38">
        <v>5</v>
      </c>
      <c r="E1900" t="s">
        <v>169</v>
      </c>
      <c r="F1900">
        <v>404745</v>
      </c>
      <c r="G1900" t="s">
        <v>442</v>
      </c>
      <c r="H1900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4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hidden="1" x14ac:dyDescent="0.25">
      <c r="A1901" s="1">
        <v>46171</v>
      </c>
      <c r="B1901" s="1">
        <v>46171</v>
      </c>
      <c r="C1901" t="s">
        <v>169</v>
      </c>
      <c r="D1901" s="38">
        <v>5</v>
      </c>
      <c r="E1901" t="s">
        <v>169</v>
      </c>
      <c r="F1901">
        <v>307096</v>
      </c>
      <c r="G1901" t="s">
        <v>249</v>
      </c>
      <c r="H190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4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hidden="1" x14ac:dyDescent="0.25">
      <c r="A1902" s="1">
        <v>46171</v>
      </c>
      <c r="B1902" s="1">
        <v>46171</v>
      </c>
      <c r="C1902" t="s">
        <v>169</v>
      </c>
      <c r="D1902" s="38">
        <v>5</v>
      </c>
      <c r="E1902" t="s">
        <v>169</v>
      </c>
      <c r="F1902">
        <v>307032</v>
      </c>
      <c r="G1902" t="s">
        <v>186</v>
      </c>
      <c r="H1902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4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hidden="1" x14ac:dyDescent="0.25">
      <c r="A1903" s="1">
        <v>46171</v>
      </c>
      <c r="B1903" s="1">
        <v>46171</v>
      </c>
      <c r="C1903" t="s">
        <v>169</v>
      </c>
      <c r="D1903" s="38">
        <v>5</v>
      </c>
      <c r="E1903" t="s">
        <v>169</v>
      </c>
      <c r="F1903">
        <v>307031</v>
      </c>
      <c r="G1903" t="s">
        <v>65</v>
      </c>
      <c r="H1903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4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hidden="1" x14ac:dyDescent="0.25">
      <c r="A1904" s="1">
        <v>46171</v>
      </c>
      <c r="B1904" s="1">
        <v>46171</v>
      </c>
      <c r="C1904" t="s">
        <v>169</v>
      </c>
      <c r="D1904" s="38">
        <v>5</v>
      </c>
      <c r="E1904" t="s">
        <v>169</v>
      </c>
      <c r="F1904">
        <v>2302119</v>
      </c>
      <c r="G1904" t="s">
        <v>74</v>
      </c>
      <c r="H1904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2011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4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hidden="1" x14ac:dyDescent="0.25">
      <c r="A1905" s="1">
        <v>46171</v>
      </c>
      <c r="B1905" s="1">
        <v>46171</v>
      </c>
      <c r="C1905" t="s">
        <v>169</v>
      </c>
      <c r="D1905" s="38">
        <v>5</v>
      </c>
      <c r="E1905" t="s">
        <v>169</v>
      </c>
      <c r="F1905">
        <v>2508991</v>
      </c>
      <c r="G1905" t="s">
        <v>483</v>
      </c>
      <c r="H1905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4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hidden="1" x14ac:dyDescent="0.25">
      <c r="A1906" s="1">
        <v>46171</v>
      </c>
      <c r="B1906" s="1">
        <v>46171</v>
      </c>
      <c r="C1906" t="s">
        <v>169</v>
      </c>
      <c r="D1906" s="38">
        <v>5</v>
      </c>
      <c r="E1906" t="s">
        <v>169</v>
      </c>
      <c r="F1906">
        <v>2508990</v>
      </c>
      <c r="G1906" t="s">
        <v>482</v>
      </c>
      <c r="H1906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4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hidden="1" x14ac:dyDescent="0.25">
      <c r="A1907" s="1">
        <v>46171</v>
      </c>
      <c r="B1907" s="1">
        <v>46171</v>
      </c>
      <c r="C1907" t="s">
        <v>169</v>
      </c>
      <c r="D1907" s="38">
        <v>5</v>
      </c>
      <c r="E1907" t="s">
        <v>169</v>
      </c>
      <c r="F1907">
        <v>2508992</v>
      </c>
      <c r="G1907" t="s">
        <v>484</v>
      </c>
      <c r="H1907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4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hidden="1" x14ac:dyDescent="0.25">
      <c r="A1908" s="1">
        <v>46171</v>
      </c>
      <c r="B1908" s="1">
        <v>46171</v>
      </c>
      <c r="C1908" t="s">
        <v>169</v>
      </c>
      <c r="D1908" s="38">
        <v>5</v>
      </c>
      <c r="E1908" t="s">
        <v>169</v>
      </c>
      <c r="F1908">
        <v>2508993</v>
      </c>
      <c r="G1908" t="s">
        <v>485</v>
      </c>
      <c r="H1908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4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hidden="1" x14ac:dyDescent="0.25">
      <c r="A1909" s="1">
        <v>46171</v>
      </c>
      <c r="B1909" s="1">
        <v>46171</v>
      </c>
      <c r="C1909" t="s">
        <v>169</v>
      </c>
      <c r="D1909" s="38">
        <v>5</v>
      </c>
      <c r="E1909" t="s">
        <v>169</v>
      </c>
      <c r="F1909">
        <v>1808156</v>
      </c>
      <c r="G1909" t="s">
        <v>277</v>
      </c>
      <c r="H1909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4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hidden="1" x14ac:dyDescent="0.25">
      <c r="A1910" s="1">
        <v>46171</v>
      </c>
      <c r="B1910" s="1">
        <v>46171</v>
      </c>
      <c r="C1910" t="s">
        <v>169</v>
      </c>
      <c r="D1910" s="38">
        <v>5</v>
      </c>
      <c r="E1910" t="s">
        <v>169</v>
      </c>
      <c r="F1910">
        <v>1808006</v>
      </c>
      <c r="G1910" t="s">
        <v>194</v>
      </c>
      <c r="H1910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4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hidden="1" x14ac:dyDescent="0.25">
      <c r="A1911" s="1">
        <v>46171</v>
      </c>
      <c r="B1911" s="1">
        <v>46171</v>
      </c>
      <c r="C1911" t="s">
        <v>169</v>
      </c>
      <c r="D1911" s="38">
        <v>5</v>
      </c>
      <c r="E1911" t="s">
        <v>169</v>
      </c>
      <c r="F1911">
        <v>1808003</v>
      </c>
      <c r="G1911" t="s">
        <v>195</v>
      </c>
      <c r="H191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4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hidden="1" x14ac:dyDescent="0.25">
      <c r="A1912" s="1">
        <v>46171</v>
      </c>
      <c r="B1912" s="1">
        <v>46171</v>
      </c>
      <c r="C1912" t="s">
        <v>169</v>
      </c>
      <c r="D1912" s="38">
        <v>5</v>
      </c>
      <c r="E1912" t="s">
        <v>169</v>
      </c>
      <c r="F1912">
        <v>1802517</v>
      </c>
      <c r="G1912" t="s">
        <v>141</v>
      </c>
      <c r="H1912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4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hidden="1" x14ac:dyDescent="0.25">
      <c r="A1913" s="1">
        <v>46171</v>
      </c>
      <c r="B1913" s="1">
        <v>46171</v>
      </c>
      <c r="C1913" t="s">
        <v>169</v>
      </c>
      <c r="D1913" s="38">
        <v>5</v>
      </c>
      <c r="E1913" t="s">
        <v>169</v>
      </c>
      <c r="F1913">
        <v>1802172</v>
      </c>
      <c r="G1913" t="s">
        <v>266</v>
      </c>
      <c r="H1913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4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hidden="1" x14ac:dyDescent="0.25">
      <c r="A1914" s="1">
        <v>46171</v>
      </c>
      <c r="B1914" s="1">
        <v>46171</v>
      </c>
      <c r="C1914" t="s">
        <v>169</v>
      </c>
      <c r="D1914" s="38">
        <v>5</v>
      </c>
      <c r="E1914" t="s">
        <v>169</v>
      </c>
      <c r="F1914">
        <v>1802171</v>
      </c>
      <c r="G1914" t="s">
        <v>265</v>
      </c>
      <c r="H1914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4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hidden="1" x14ac:dyDescent="0.25">
      <c r="A1915" s="1">
        <v>46171</v>
      </c>
      <c r="B1915" s="1">
        <v>46171</v>
      </c>
      <c r="C1915" t="s">
        <v>169</v>
      </c>
      <c r="D1915" s="38">
        <v>5</v>
      </c>
      <c r="E1915" t="s">
        <v>169</v>
      </c>
      <c r="F1915">
        <v>1206002</v>
      </c>
      <c r="G1915" t="s">
        <v>192</v>
      </c>
      <c r="H1915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4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hidden="1" x14ac:dyDescent="0.25">
      <c r="A1916" s="1">
        <v>46171</v>
      </c>
      <c r="B1916" s="1">
        <v>46171</v>
      </c>
      <c r="C1916" t="s">
        <v>169</v>
      </c>
      <c r="D1916" s="38">
        <v>5</v>
      </c>
      <c r="E1916" t="s">
        <v>169</v>
      </c>
      <c r="F1916">
        <v>1802162</v>
      </c>
      <c r="G1916" t="s">
        <v>260</v>
      </c>
      <c r="H1916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4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hidden="1" x14ac:dyDescent="0.25">
      <c r="A1917" s="1">
        <v>46171</v>
      </c>
      <c r="B1917" s="1">
        <v>46171</v>
      </c>
      <c r="C1917" t="s">
        <v>169</v>
      </c>
      <c r="D1917" s="38">
        <v>5</v>
      </c>
      <c r="E1917" t="s">
        <v>169</v>
      </c>
      <c r="F1917">
        <v>307096</v>
      </c>
      <c r="G1917" t="s">
        <v>249</v>
      </c>
      <c r="H1917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4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hidden="1" x14ac:dyDescent="0.25">
      <c r="A1918" s="1">
        <v>46171</v>
      </c>
      <c r="B1918" s="1">
        <v>46171</v>
      </c>
      <c r="C1918" t="s">
        <v>169</v>
      </c>
      <c r="D1918" s="38">
        <v>5</v>
      </c>
      <c r="E1918" t="s">
        <v>169</v>
      </c>
      <c r="F1918">
        <v>307096</v>
      </c>
      <c r="G1918" t="s">
        <v>249</v>
      </c>
      <c r="H1918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2008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4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hidden="1" x14ac:dyDescent="0.25">
      <c r="A1919" s="1">
        <v>46171</v>
      </c>
      <c r="B1919" s="1">
        <v>46171</v>
      </c>
      <c r="C1919" t="s">
        <v>169</v>
      </c>
      <c r="D1919" s="38">
        <v>5</v>
      </c>
      <c r="E1919" t="s">
        <v>169</v>
      </c>
      <c r="F1919">
        <v>2304053</v>
      </c>
      <c r="G1919" t="s">
        <v>213</v>
      </c>
      <c r="H1919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4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hidden="1" x14ac:dyDescent="0.25">
      <c r="A1920" s="1">
        <v>46171</v>
      </c>
      <c r="B1920" s="1">
        <v>46171</v>
      </c>
      <c r="C1920" t="s">
        <v>169</v>
      </c>
      <c r="D1920" s="38">
        <v>5</v>
      </c>
      <c r="E1920" t="s">
        <v>169</v>
      </c>
      <c r="F1920">
        <v>2304002</v>
      </c>
      <c r="G1920" t="s">
        <v>212</v>
      </c>
      <c r="H1920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4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hidden="1" x14ac:dyDescent="0.25">
      <c r="A1921" s="1">
        <v>46171</v>
      </c>
      <c r="B1921" s="1">
        <v>46171</v>
      </c>
      <c r="C1921" t="s">
        <v>169</v>
      </c>
      <c r="D1921" s="38">
        <v>5</v>
      </c>
      <c r="E1921" t="s">
        <v>169</v>
      </c>
      <c r="F1921">
        <v>404252</v>
      </c>
      <c r="G1921" t="s">
        <v>181</v>
      </c>
      <c r="H192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4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hidden="1" x14ac:dyDescent="0.25">
      <c r="A1922" s="1">
        <v>46171</v>
      </c>
      <c r="B1922" s="1">
        <v>46171</v>
      </c>
      <c r="C1922" t="s">
        <v>169</v>
      </c>
      <c r="D1922" s="38">
        <v>5</v>
      </c>
      <c r="E1922" t="s">
        <v>169</v>
      </c>
      <c r="F1922">
        <v>304002</v>
      </c>
      <c r="G1922" t="s">
        <v>37</v>
      </c>
      <c r="H1922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2018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4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x14ac:dyDescent="0.25">
      <c r="A1923" s="1">
        <v>46174</v>
      </c>
      <c r="B1923" s="1">
        <v>46171</v>
      </c>
      <c r="C1923" t="s">
        <v>169</v>
      </c>
      <c r="D1923" s="38">
        <v>5</v>
      </c>
      <c r="E1923" t="s">
        <v>169</v>
      </c>
      <c r="F1923">
        <v>101010</v>
      </c>
      <c r="G1923" t="s">
        <v>777</v>
      </c>
      <c r="H1923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4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hidden="1" x14ac:dyDescent="0.25">
      <c r="A1924" s="1">
        <v>46171</v>
      </c>
      <c r="B1924" s="1">
        <v>46174</v>
      </c>
      <c r="C1924" t="s">
        <v>169</v>
      </c>
      <c r="D1924" s="38">
        <v>6</v>
      </c>
      <c r="E1924" t="s">
        <v>169</v>
      </c>
      <c r="F1924">
        <v>1402016</v>
      </c>
      <c r="G1924" t="s">
        <v>795</v>
      </c>
      <c r="H1924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2008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4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x14ac:dyDescent="0.25">
      <c r="A1925" s="1">
        <v>46174</v>
      </c>
      <c r="B1925" s="1">
        <v>46174</v>
      </c>
      <c r="C1925" t="s">
        <v>169</v>
      </c>
      <c r="D1925" s="38">
        <v>6</v>
      </c>
      <c r="E1925" t="s">
        <v>169</v>
      </c>
      <c r="F1925">
        <v>2508994</v>
      </c>
      <c r="G1925" t="s">
        <v>486</v>
      </c>
      <c r="H1925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2008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4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x14ac:dyDescent="0.25">
      <c r="A1926" s="1">
        <v>46174</v>
      </c>
      <c r="B1926" s="1">
        <v>46174</v>
      </c>
      <c r="C1926" t="s">
        <v>169</v>
      </c>
      <c r="D1926" s="38">
        <v>6</v>
      </c>
      <c r="E1926" t="s">
        <v>169</v>
      </c>
      <c r="F1926">
        <v>2508993</v>
      </c>
      <c r="G1926" t="s">
        <v>485</v>
      </c>
      <c r="H1926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4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x14ac:dyDescent="0.25">
      <c r="A1927" s="1">
        <v>46174</v>
      </c>
      <c r="B1927" s="1">
        <v>46174</v>
      </c>
      <c r="C1927" t="s">
        <v>169</v>
      </c>
      <c r="D1927" s="38">
        <v>6</v>
      </c>
      <c r="E1927" t="s">
        <v>169</v>
      </c>
      <c r="F1927">
        <v>2508992</v>
      </c>
      <c r="G1927" t="s">
        <v>484</v>
      </c>
      <c r="H1927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4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x14ac:dyDescent="0.25">
      <c r="A1928" s="1">
        <v>46174</v>
      </c>
      <c r="B1928" s="1">
        <v>46174</v>
      </c>
      <c r="C1928" t="s">
        <v>169</v>
      </c>
      <c r="D1928" s="38">
        <v>6</v>
      </c>
      <c r="E1928" t="s">
        <v>169</v>
      </c>
      <c r="F1928">
        <v>2508991</v>
      </c>
      <c r="G1928" t="s">
        <v>483</v>
      </c>
      <c r="H1928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4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x14ac:dyDescent="0.25">
      <c r="A1929" s="1">
        <v>46174</v>
      </c>
      <c r="B1929" s="1">
        <v>46174</v>
      </c>
      <c r="C1929" t="s">
        <v>169</v>
      </c>
      <c r="D1929" s="38">
        <v>6</v>
      </c>
      <c r="E1929" t="s">
        <v>169</v>
      </c>
      <c r="F1929">
        <v>2508990</v>
      </c>
      <c r="G1929" t="s">
        <v>482</v>
      </c>
      <c r="H1929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4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x14ac:dyDescent="0.25">
      <c r="A1930" s="1">
        <v>46174</v>
      </c>
      <c r="B1930" s="1">
        <v>46174</v>
      </c>
      <c r="C1930" t="s">
        <v>169</v>
      </c>
      <c r="D1930" s="38">
        <v>6</v>
      </c>
      <c r="E1930" t="s">
        <v>169</v>
      </c>
      <c r="F1930">
        <v>1405025</v>
      </c>
      <c r="G1930" t="s">
        <v>189</v>
      </c>
      <c r="H1930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4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x14ac:dyDescent="0.25">
      <c r="A1931" s="1">
        <v>46174</v>
      </c>
      <c r="B1931" s="1">
        <v>46174</v>
      </c>
      <c r="C1931" t="s">
        <v>169</v>
      </c>
      <c r="D1931" s="38">
        <v>6</v>
      </c>
      <c r="E1931" t="s">
        <v>169</v>
      </c>
      <c r="F1931">
        <v>1103076</v>
      </c>
      <c r="G1931" t="s">
        <v>311</v>
      </c>
      <c r="H193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4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x14ac:dyDescent="0.25">
      <c r="A1932" s="1">
        <v>46174</v>
      </c>
      <c r="B1932" s="1">
        <v>46174</v>
      </c>
      <c r="C1932" t="s">
        <v>169</v>
      </c>
      <c r="D1932" s="38">
        <v>6</v>
      </c>
      <c r="E1932" t="s">
        <v>169</v>
      </c>
      <c r="F1932">
        <v>1103074</v>
      </c>
      <c r="G1932" t="s">
        <v>310</v>
      </c>
      <c r="H1932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4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x14ac:dyDescent="0.25">
      <c r="A1933" s="1">
        <v>46174</v>
      </c>
      <c r="B1933" s="1">
        <v>46174</v>
      </c>
      <c r="C1933" t="s">
        <v>169</v>
      </c>
      <c r="D1933" s="38">
        <v>6</v>
      </c>
      <c r="E1933" t="s">
        <v>169</v>
      </c>
      <c r="F1933">
        <v>705028</v>
      </c>
      <c r="G1933" t="s">
        <v>72</v>
      </c>
      <c r="H1933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4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x14ac:dyDescent="0.25">
      <c r="A1934" s="1">
        <v>46174</v>
      </c>
      <c r="B1934" s="1">
        <v>46174</v>
      </c>
      <c r="C1934" t="s">
        <v>169</v>
      </c>
      <c r="D1934" s="38">
        <v>6</v>
      </c>
      <c r="E1934" t="s">
        <v>169</v>
      </c>
      <c r="F1934">
        <v>1808146</v>
      </c>
      <c r="G1934" t="s">
        <v>274</v>
      </c>
      <c r="H1934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2012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4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x14ac:dyDescent="0.25">
      <c r="A1935" s="1">
        <v>46174</v>
      </c>
      <c r="B1935" s="1">
        <v>46174</v>
      </c>
      <c r="C1935" t="s">
        <v>169</v>
      </c>
      <c r="D1935" s="38">
        <v>6</v>
      </c>
      <c r="E1935" t="s">
        <v>169</v>
      </c>
      <c r="F1935">
        <v>1808148</v>
      </c>
      <c r="G1935" t="s">
        <v>276</v>
      </c>
      <c r="H1935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4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x14ac:dyDescent="0.25">
      <c r="A1936" s="1">
        <v>46174</v>
      </c>
      <c r="B1936" s="1">
        <v>46174</v>
      </c>
      <c r="C1936" t="s">
        <v>169</v>
      </c>
      <c r="D1936" s="38">
        <v>6</v>
      </c>
      <c r="E1936" t="s">
        <v>169</v>
      </c>
      <c r="F1936">
        <v>1808147</v>
      </c>
      <c r="G1936" t="s">
        <v>275</v>
      </c>
      <c r="H1936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4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x14ac:dyDescent="0.25">
      <c r="A1937" s="1">
        <v>46174</v>
      </c>
      <c r="B1937" s="1">
        <v>46174</v>
      </c>
      <c r="C1937" t="s">
        <v>169</v>
      </c>
      <c r="D1937" s="38">
        <v>6</v>
      </c>
      <c r="E1937" t="s">
        <v>169</v>
      </c>
      <c r="F1937">
        <v>1808145</v>
      </c>
      <c r="G1937" t="s">
        <v>273</v>
      </c>
      <c r="H1937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4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x14ac:dyDescent="0.25">
      <c r="A1938" s="1">
        <v>46174</v>
      </c>
      <c r="B1938" s="1">
        <v>46174</v>
      </c>
      <c r="C1938" t="s">
        <v>169</v>
      </c>
      <c r="D1938" s="38">
        <v>6</v>
      </c>
      <c r="E1938" t="s">
        <v>169</v>
      </c>
      <c r="F1938">
        <v>1808144</v>
      </c>
      <c r="G1938" t="s">
        <v>272</v>
      </c>
      <c r="H1938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4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x14ac:dyDescent="0.25">
      <c r="A1939" s="1">
        <v>46174</v>
      </c>
      <c r="B1939" s="1">
        <v>46174</v>
      </c>
      <c r="C1939" t="s">
        <v>169</v>
      </c>
      <c r="D1939" s="38">
        <v>6</v>
      </c>
      <c r="E1939" t="s">
        <v>169</v>
      </c>
      <c r="F1939">
        <v>407795</v>
      </c>
      <c r="G1939" t="s">
        <v>325</v>
      </c>
      <c r="H1939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4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x14ac:dyDescent="0.25">
      <c r="A1940" s="1">
        <v>46174</v>
      </c>
      <c r="B1940" s="1">
        <v>46174</v>
      </c>
      <c r="C1940" t="s">
        <v>169</v>
      </c>
      <c r="D1940" s="38">
        <v>6</v>
      </c>
      <c r="E1940" t="s">
        <v>169</v>
      </c>
      <c r="F1940">
        <v>2505426</v>
      </c>
      <c r="G1940" t="s">
        <v>708</v>
      </c>
      <c r="H1940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4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x14ac:dyDescent="0.25">
      <c r="A1941" s="1">
        <v>46174</v>
      </c>
      <c r="B1941" s="1">
        <v>46174</v>
      </c>
      <c r="C1941" t="s">
        <v>169</v>
      </c>
      <c r="D1941" s="38">
        <v>6</v>
      </c>
      <c r="E1941" t="s">
        <v>169</v>
      </c>
      <c r="F1941">
        <v>1802176</v>
      </c>
      <c r="G1941" t="s">
        <v>196</v>
      </c>
      <c r="H194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4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x14ac:dyDescent="0.25">
      <c r="A1942" s="1">
        <v>46174</v>
      </c>
      <c r="B1942" s="1">
        <v>46174</v>
      </c>
      <c r="C1942" t="s">
        <v>169</v>
      </c>
      <c r="D1942" s="38">
        <v>6</v>
      </c>
      <c r="E1942" t="s">
        <v>169</v>
      </c>
      <c r="F1942">
        <v>1802165</v>
      </c>
      <c r="G1942" t="s">
        <v>261</v>
      </c>
      <c r="H1942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4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x14ac:dyDescent="0.25">
      <c r="A1943" s="1">
        <v>46174</v>
      </c>
      <c r="B1943" s="1">
        <v>46174</v>
      </c>
      <c r="C1943" t="s">
        <v>169</v>
      </c>
      <c r="D1943" s="38">
        <v>6</v>
      </c>
      <c r="E1943" t="s">
        <v>169</v>
      </c>
      <c r="F1943">
        <v>1801154</v>
      </c>
      <c r="G1943" t="s">
        <v>99</v>
      </c>
      <c r="H1943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4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x14ac:dyDescent="0.25">
      <c r="A1944" s="1">
        <v>46174</v>
      </c>
      <c r="B1944" s="1">
        <v>46174</v>
      </c>
      <c r="C1944" t="s">
        <v>169</v>
      </c>
      <c r="D1944" s="38">
        <v>6</v>
      </c>
      <c r="E1944" t="s">
        <v>169</v>
      </c>
      <c r="F1944">
        <v>1802175</v>
      </c>
      <c r="G1944" t="s">
        <v>269</v>
      </c>
      <c r="H1944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4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x14ac:dyDescent="0.25">
      <c r="A1945" s="1">
        <v>46174</v>
      </c>
      <c r="B1945" s="1">
        <v>46174</v>
      </c>
      <c r="C1945" t="s">
        <v>169</v>
      </c>
      <c r="D1945" s="38">
        <v>6</v>
      </c>
      <c r="E1945" t="s">
        <v>169</v>
      </c>
      <c r="F1945">
        <v>1802174</v>
      </c>
      <c r="G1945" t="s">
        <v>268</v>
      </c>
      <c r="H1945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4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x14ac:dyDescent="0.25">
      <c r="A1946" s="1">
        <v>46174</v>
      </c>
      <c r="B1946" s="1">
        <v>46174</v>
      </c>
      <c r="C1946" t="s">
        <v>169</v>
      </c>
      <c r="D1946" s="38">
        <v>6</v>
      </c>
      <c r="E1946" t="s">
        <v>169</v>
      </c>
      <c r="F1946">
        <v>1802173</v>
      </c>
      <c r="G1946" t="s">
        <v>267</v>
      </c>
      <c r="H1946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4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x14ac:dyDescent="0.25">
      <c r="A1947" s="1">
        <v>46174</v>
      </c>
      <c r="B1947" s="1">
        <v>46174</v>
      </c>
      <c r="C1947" t="s">
        <v>169</v>
      </c>
      <c r="D1947" s="38">
        <v>6</v>
      </c>
      <c r="E1947" t="s">
        <v>169</v>
      </c>
      <c r="F1947">
        <v>5316484</v>
      </c>
      <c r="G1947" t="s">
        <v>96</v>
      </c>
      <c r="H1947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4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x14ac:dyDescent="0.25">
      <c r="A1948" s="1">
        <v>46174</v>
      </c>
      <c r="B1948" s="1">
        <v>46174</v>
      </c>
      <c r="C1948" t="s">
        <v>169</v>
      </c>
      <c r="D1948" s="38">
        <v>6</v>
      </c>
      <c r="E1948" t="s">
        <v>169</v>
      </c>
      <c r="F1948">
        <v>5316483</v>
      </c>
      <c r="G1948" t="s">
        <v>97</v>
      </c>
      <c r="H1948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4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x14ac:dyDescent="0.25">
      <c r="A1949" s="1">
        <v>46174</v>
      </c>
      <c r="B1949" s="1">
        <v>46174</v>
      </c>
      <c r="C1949" t="s">
        <v>169</v>
      </c>
      <c r="D1949" s="38">
        <v>6</v>
      </c>
      <c r="E1949" t="s">
        <v>169</v>
      </c>
      <c r="F1949">
        <v>1802170</v>
      </c>
      <c r="G1949" t="s">
        <v>264</v>
      </c>
      <c r="H1949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4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x14ac:dyDescent="0.25">
      <c r="A1950" s="1">
        <v>46174</v>
      </c>
      <c r="B1950" s="1">
        <v>46174</v>
      </c>
      <c r="C1950" t="s">
        <v>169</v>
      </c>
      <c r="D1950" s="38">
        <v>6</v>
      </c>
      <c r="E1950" t="s">
        <v>169</v>
      </c>
      <c r="F1950">
        <v>1802169</v>
      </c>
      <c r="G1950" t="s">
        <v>263</v>
      </c>
      <c r="H1950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4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x14ac:dyDescent="0.25">
      <c r="A1951" s="1">
        <v>46174</v>
      </c>
      <c r="B1951" s="1">
        <v>46174</v>
      </c>
      <c r="C1951" t="s">
        <v>169</v>
      </c>
      <c r="D1951" s="38">
        <v>6</v>
      </c>
      <c r="E1951" t="s">
        <v>169</v>
      </c>
      <c r="F1951">
        <v>1802167</v>
      </c>
      <c r="G1951" t="s">
        <v>262</v>
      </c>
      <c r="H195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4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x14ac:dyDescent="0.25">
      <c r="A1952" s="1">
        <v>46174</v>
      </c>
      <c r="B1952" s="1">
        <v>46174</v>
      </c>
      <c r="C1952" t="s">
        <v>169</v>
      </c>
      <c r="D1952" s="38">
        <v>6</v>
      </c>
      <c r="E1952" t="s">
        <v>169</v>
      </c>
      <c r="F1952">
        <v>1801229</v>
      </c>
      <c r="G1952" t="s">
        <v>259</v>
      </c>
      <c r="H1952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4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x14ac:dyDescent="0.25">
      <c r="A1953" s="1">
        <v>46174</v>
      </c>
      <c r="B1953" s="1">
        <v>46174</v>
      </c>
      <c r="C1953" t="s">
        <v>169</v>
      </c>
      <c r="D1953" s="38">
        <v>6</v>
      </c>
      <c r="E1953" t="s">
        <v>169</v>
      </c>
      <c r="F1953">
        <v>704046</v>
      </c>
      <c r="G1953" t="s">
        <v>255</v>
      </c>
      <c r="H1953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2017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4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x14ac:dyDescent="0.25">
      <c r="A1954" s="1">
        <v>46174</v>
      </c>
      <c r="B1954" s="1">
        <v>46174</v>
      </c>
      <c r="C1954" t="s">
        <v>169</v>
      </c>
      <c r="D1954" s="38">
        <v>6</v>
      </c>
      <c r="E1954" t="s">
        <v>169</v>
      </c>
      <c r="F1954">
        <v>407115</v>
      </c>
      <c r="G1954" t="s">
        <v>282</v>
      </c>
      <c r="H1954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4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x14ac:dyDescent="0.25">
      <c r="A1955" s="1">
        <v>46174</v>
      </c>
      <c r="B1955" s="1">
        <v>46174</v>
      </c>
      <c r="C1955" t="s">
        <v>169</v>
      </c>
      <c r="D1955" s="38">
        <v>6</v>
      </c>
      <c r="E1955" t="s">
        <v>169</v>
      </c>
      <c r="F1955">
        <v>304049</v>
      </c>
      <c r="G1955" t="s">
        <v>318</v>
      </c>
      <c r="H1955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4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hidden="1" x14ac:dyDescent="0.25">
      <c r="A1956" s="1">
        <v>46171</v>
      </c>
      <c r="B1956" s="1">
        <v>46174</v>
      </c>
      <c r="C1956" t="s">
        <v>169</v>
      </c>
      <c r="D1956" s="38">
        <v>6</v>
      </c>
      <c r="E1956" t="s">
        <v>169</v>
      </c>
      <c r="F1956">
        <v>1101298</v>
      </c>
      <c r="G1956" t="s">
        <v>796</v>
      </c>
      <c r="H1956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2008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4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hidden="1" x14ac:dyDescent="0.25">
      <c r="A1957" s="1">
        <v>46171</v>
      </c>
      <c r="B1957" s="1">
        <v>46174</v>
      </c>
      <c r="C1957" t="s">
        <v>169</v>
      </c>
      <c r="D1957" s="38">
        <v>6</v>
      </c>
      <c r="E1957" t="s">
        <v>169</v>
      </c>
      <c r="F1957">
        <v>1402016</v>
      </c>
      <c r="G1957" t="s">
        <v>795</v>
      </c>
      <c r="H1957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4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x14ac:dyDescent="0.25">
      <c r="A1958" s="1">
        <v>46175</v>
      </c>
      <c r="B1958" s="1">
        <v>46171</v>
      </c>
      <c r="C1958" t="s">
        <v>169</v>
      </c>
      <c r="D1958" s="38">
        <v>5</v>
      </c>
      <c r="E1958" t="s">
        <v>169</v>
      </c>
      <c r="F1958">
        <v>304049</v>
      </c>
      <c r="G1958" t="s">
        <v>318</v>
      </c>
      <c r="H1958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2016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4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x14ac:dyDescent="0.25">
      <c r="A1959" s="1">
        <v>46175</v>
      </c>
      <c r="B1959" s="1">
        <v>46171</v>
      </c>
      <c r="C1959" t="s">
        <v>169</v>
      </c>
      <c r="D1959" s="38">
        <v>5</v>
      </c>
      <c r="E1959" t="s">
        <v>169</v>
      </c>
      <c r="F1959">
        <v>407090</v>
      </c>
      <c r="G1959" t="s">
        <v>1706</v>
      </c>
      <c r="H1959" t="s">
        <v>743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4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x14ac:dyDescent="0.25">
      <c r="A1960" s="1">
        <v>46175</v>
      </c>
      <c r="B1960" s="1">
        <v>46171</v>
      </c>
      <c r="C1960" t="s">
        <v>169</v>
      </c>
      <c r="D1960" s="38">
        <v>5</v>
      </c>
      <c r="E1960" t="s">
        <v>169</v>
      </c>
      <c r="F1960">
        <v>407120</v>
      </c>
      <c r="G1960" t="s">
        <v>1707</v>
      </c>
      <c r="H1960" t="s">
        <v>743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4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x14ac:dyDescent="0.25">
      <c r="A1961" s="1">
        <v>46175</v>
      </c>
      <c r="B1961" s="1">
        <v>46171</v>
      </c>
      <c r="C1961" t="s">
        <v>169</v>
      </c>
      <c r="D1961" s="38">
        <v>5</v>
      </c>
      <c r="E1961" t="s">
        <v>169</v>
      </c>
      <c r="F1961">
        <v>407717</v>
      </c>
      <c r="G1961" t="s">
        <v>364</v>
      </c>
      <c r="H196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4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x14ac:dyDescent="0.25">
      <c r="A1962" s="1">
        <v>46175</v>
      </c>
      <c r="B1962" s="1">
        <v>46171</v>
      </c>
      <c r="C1962" t="s">
        <v>169</v>
      </c>
      <c r="D1962" s="38">
        <v>5</v>
      </c>
      <c r="E1962" t="s">
        <v>169</v>
      </c>
      <c r="F1962">
        <v>412249</v>
      </c>
      <c r="G1962" t="s">
        <v>33</v>
      </c>
      <c r="H1962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4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x14ac:dyDescent="0.25">
      <c r="A1963" s="1">
        <v>46175</v>
      </c>
      <c r="B1963" s="1">
        <v>46171</v>
      </c>
      <c r="C1963" t="s">
        <v>169</v>
      </c>
      <c r="D1963" s="38">
        <v>5</v>
      </c>
      <c r="E1963" t="s">
        <v>169</v>
      </c>
      <c r="F1963">
        <v>407245</v>
      </c>
      <c r="G1963" t="s">
        <v>1708</v>
      </c>
      <c r="H1963" t="s">
        <v>743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4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x14ac:dyDescent="0.25">
      <c r="A1964" s="1">
        <v>46175</v>
      </c>
      <c r="B1964" s="1">
        <v>46171</v>
      </c>
      <c r="C1964" t="s">
        <v>169</v>
      </c>
      <c r="D1964" s="38">
        <v>5</v>
      </c>
      <c r="E1964" t="s">
        <v>169</v>
      </c>
      <c r="F1964">
        <v>410083</v>
      </c>
      <c r="G1964" t="s">
        <v>1709</v>
      </c>
      <c r="H1964" t="s">
        <v>743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4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x14ac:dyDescent="0.25">
      <c r="A1965" s="1">
        <v>46175</v>
      </c>
      <c r="B1965" s="1">
        <v>46171</v>
      </c>
      <c r="C1965" t="s">
        <v>169</v>
      </c>
      <c r="D1965" s="38">
        <v>5</v>
      </c>
      <c r="E1965" t="s">
        <v>169</v>
      </c>
      <c r="F1965">
        <v>412299</v>
      </c>
      <c r="G1965" t="s">
        <v>1710</v>
      </c>
      <c r="H1965" t="s">
        <v>743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4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x14ac:dyDescent="0.25">
      <c r="A1966" s="1">
        <v>46175</v>
      </c>
      <c r="B1966" s="1">
        <v>46171</v>
      </c>
      <c r="C1966" t="s">
        <v>169</v>
      </c>
      <c r="D1966" s="38">
        <v>5</v>
      </c>
      <c r="E1966" t="s">
        <v>169</v>
      </c>
      <c r="F1966">
        <v>412300</v>
      </c>
      <c r="G1966" t="s">
        <v>1711</v>
      </c>
      <c r="H1966" t="s">
        <v>743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4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x14ac:dyDescent="0.25">
      <c r="A1967" s="1">
        <v>46175</v>
      </c>
      <c r="B1967" s="1">
        <v>46168</v>
      </c>
      <c r="C1967" t="s">
        <v>169</v>
      </c>
      <c r="D1967" s="38">
        <v>5</v>
      </c>
      <c r="E1967" t="s">
        <v>169</v>
      </c>
      <c r="F1967">
        <v>1902003</v>
      </c>
      <c r="G1967" t="s">
        <v>155</v>
      </c>
      <c r="H1967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4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x14ac:dyDescent="0.25">
      <c r="A1968" s="1">
        <v>46175</v>
      </c>
      <c r="B1968" s="1">
        <v>46171</v>
      </c>
      <c r="C1968" t="s">
        <v>169</v>
      </c>
      <c r="D1968" s="38">
        <v>5</v>
      </c>
      <c r="E1968" t="s">
        <v>169</v>
      </c>
      <c r="F1968">
        <v>602255</v>
      </c>
      <c r="G1968" t="s">
        <v>203</v>
      </c>
      <c r="H1968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4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x14ac:dyDescent="0.25">
      <c r="A1969" s="1">
        <v>46175</v>
      </c>
      <c r="B1969" s="1">
        <v>46171</v>
      </c>
      <c r="C1969" t="s">
        <v>169</v>
      </c>
      <c r="D1969" s="38">
        <v>5</v>
      </c>
      <c r="E1969" t="s">
        <v>169</v>
      </c>
      <c r="F1969">
        <v>602254</v>
      </c>
      <c r="G1969" t="s">
        <v>214</v>
      </c>
      <c r="H1969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4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x14ac:dyDescent="0.25">
      <c r="A1970" s="1">
        <v>46175</v>
      </c>
      <c r="B1970" s="1">
        <v>46171</v>
      </c>
      <c r="C1970" t="s">
        <v>169</v>
      </c>
      <c r="D1970" s="38">
        <v>5</v>
      </c>
      <c r="E1970" t="s">
        <v>169</v>
      </c>
      <c r="F1970">
        <v>304002</v>
      </c>
      <c r="G1970" t="s">
        <v>37</v>
      </c>
      <c r="H1970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4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x14ac:dyDescent="0.25">
      <c r="A1971" s="1">
        <v>46175</v>
      </c>
      <c r="B1971" s="1">
        <v>46171</v>
      </c>
      <c r="C1971" t="s">
        <v>169</v>
      </c>
      <c r="D1971" s="38">
        <v>5</v>
      </c>
      <c r="E1971" t="s">
        <v>169</v>
      </c>
      <c r="F1971">
        <v>2508169</v>
      </c>
      <c r="G1971" t="s">
        <v>307</v>
      </c>
      <c r="H197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2016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4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x14ac:dyDescent="0.25">
      <c r="A1972" s="1">
        <v>46175</v>
      </c>
      <c r="B1972" s="1">
        <v>46171</v>
      </c>
      <c r="C1972" t="s">
        <v>169</v>
      </c>
      <c r="D1972" s="38">
        <v>5</v>
      </c>
      <c r="E1972" t="s">
        <v>169</v>
      </c>
      <c r="F1972">
        <v>1802164</v>
      </c>
      <c r="G1972" t="s">
        <v>306</v>
      </c>
      <c r="H1972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4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x14ac:dyDescent="0.25">
      <c r="A1973" s="1">
        <v>46175</v>
      </c>
      <c r="B1973" s="1">
        <v>46171</v>
      </c>
      <c r="C1973" t="s">
        <v>169</v>
      </c>
      <c r="D1973" s="38">
        <v>5</v>
      </c>
      <c r="E1973" t="s">
        <v>169</v>
      </c>
      <c r="F1973">
        <v>404793</v>
      </c>
      <c r="G1973" t="s">
        <v>1648</v>
      </c>
      <c r="H1973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4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x14ac:dyDescent="0.25">
      <c r="A1974" s="1">
        <v>46175</v>
      </c>
      <c r="B1974" s="1">
        <v>46171</v>
      </c>
      <c r="C1974" t="s">
        <v>169</v>
      </c>
      <c r="D1974" s="38">
        <v>5</v>
      </c>
      <c r="E1974" t="s">
        <v>169</v>
      </c>
      <c r="F1974">
        <v>1103107</v>
      </c>
      <c r="G1974" t="s">
        <v>556</v>
      </c>
      <c r="H1974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4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x14ac:dyDescent="0.25">
      <c r="A1975" s="1">
        <v>46175</v>
      </c>
      <c r="B1975" s="1">
        <v>46171</v>
      </c>
      <c r="C1975" t="s">
        <v>169</v>
      </c>
      <c r="D1975" s="38">
        <v>5</v>
      </c>
      <c r="E1975" t="s">
        <v>169</v>
      </c>
      <c r="F1975">
        <v>1103105</v>
      </c>
      <c r="G1975" t="s">
        <v>555</v>
      </c>
      <c r="H1975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4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x14ac:dyDescent="0.25">
      <c r="A1976" s="1">
        <v>46175</v>
      </c>
      <c r="B1976" s="1">
        <v>46171</v>
      </c>
      <c r="C1976" t="s">
        <v>169</v>
      </c>
      <c r="D1976" s="38">
        <v>5</v>
      </c>
      <c r="E1976" t="s">
        <v>169</v>
      </c>
      <c r="F1976" t="s">
        <v>784</v>
      </c>
      <c r="G1976" t="s">
        <v>95</v>
      </c>
      <c r="H1976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4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x14ac:dyDescent="0.25">
      <c r="A1977" s="1">
        <v>46175</v>
      </c>
      <c r="B1977" s="1">
        <v>46171</v>
      </c>
      <c r="C1977" t="s">
        <v>169</v>
      </c>
      <c r="D1977" s="38">
        <v>5</v>
      </c>
      <c r="E1977" t="s">
        <v>169</v>
      </c>
      <c r="F1977">
        <v>704024</v>
      </c>
      <c r="G1977" t="s">
        <v>332</v>
      </c>
      <c r="H1977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4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x14ac:dyDescent="0.25">
      <c r="A1978" s="1">
        <v>46175</v>
      </c>
      <c r="B1978" s="1">
        <v>46171</v>
      </c>
      <c r="C1978" t="s">
        <v>169</v>
      </c>
      <c r="D1978" s="38">
        <v>5</v>
      </c>
      <c r="E1978" t="s">
        <v>169</v>
      </c>
      <c r="F1978">
        <v>704022</v>
      </c>
      <c r="G1978" t="s">
        <v>330</v>
      </c>
      <c r="H1978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4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x14ac:dyDescent="0.25">
      <c r="A1979" s="1">
        <v>46175</v>
      </c>
      <c r="B1979" s="1">
        <v>46171</v>
      </c>
      <c r="C1979" t="s">
        <v>169</v>
      </c>
      <c r="D1979" s="38">
        <v>5</v>
      </c>
      <c r="E1979" t="s">
        <v>169</v>
      </c>
      <c r="F1979">
        <v>307032</v>
      </c>
      <c r="G1979" t="s">
        <v>186</v>
      </c>
      <c r="H1979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4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x14ac:dyDescent="0.25">
      <c r="A1980" s="1">
        <v>46175</v>
      </c>
      <c r="B1980" s="1">
        <v>46171</v>
      </c>
      <c r="C1980" t="s">
        <v>169</v>
      </c>
      <c r="D1980" s="38">
        <v>5</v>
      </c>
      <c r="E1980" t="s">
        <v>169</v>
      </c>
      <c r="F1980">
        <v>307096</v>
      </c>
      <c r="G1980" t="s">
        <v>249</v>
      </c>
      <c r="H1980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4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x14ac:dyDescent="0.25">
      <c r="A1981" s="1">
        <v>46175</v>
      </c>
      <c r="B1981" s="1">
        <v>46171</v>
      </c>
      <c r="C1981" t="s">
        <v>169</v>
      </c>
      <c r="D1981" s="38">
        <v>5</v>
      </c>
      <c r="E1981" t="s">
        <v>169</v>
      </c>
      <c r="F1981">
        <v>307031</v>
      </c>
      <c r="G1981" t="s">
        <v>65</v>
      </c>
      <c r="H19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4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x14ac:dyDescent="0.25">
      <c r="A1982" s="1">
        <v>46175</v>
      </c>
      <c r="B1982" s="1">
        <v>46171</v>
      </c>
      <c r="C1982" t="s">
        <v>169</v>
      </c>
      <c r="D1982" s="38">
        <v>5</v>
      </c>
      <c r="E1982" t="s">
        <v>169</v>
      </c>
      <c r="F1982">
        <v>1901038</v>
      </c>
      <c r="G1982" t="s">
        <v>39</v>
      </c>
      <c r="H1982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4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x14ac:dyDescent="0.25">
      <c r="A1983" s="1">
        <v>46175</v>
      </c>
      <c r="B1983" s="1">
        <v>46171</v>
      </c>
      <c r="C1983" t="s">
        <v>169</v>
      </c>
      <c r="D1983" s="38">
        <v>5</v>
      </c>
      <c r="E1983" t="s">
        <v>169</v>
      </c>
      <c r="F1983">
        <v>1901008</v>
      </c>
      <c r="G1983" t="s">
        <v>278</v>
      </c>
      <c r="H1983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4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x14ac:dyDescent="0.25">
      <c r="A1984" s="1">
        <v>46175</v>
      </c>
      <c r="B1984" s="1">
        <v>46171</v>
      </c>
      <c r="C1984" t="s">
        <v>169</v>
      </c>
      <c r="D1984" s="38">
        <v>5</v>
      </c>
      <c r="E1984" t="s">
        <v>169</v>
      </c>
      <c r="F1984">
        <v>1902013</v>
      </c>
      <c r="G1984" t="s">
        <v>338</v>
      </c>
      <c r="H1984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4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x14ac:dyDescent="0.25">
      <c r="A1985" s="1">
        <v>46175</v>
      </c>
      <c r="B1985" s="1">
        <v>46171</v>
      </c>
      <c r="C1985" t="s">
        <v>169</v>
      </c>
      <c r="D1985" s="38">
        <v>5</v>
      </c>
      <c r="E1985" t="s">
        <v>169</v>
      </c>
      <c r="F1985">
        <v>701096</v>
      </c>
      <c r="G1985" t="s">
        <v>204</v>
      </c>
      <c r="H1985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4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x14ac:dyDescent="0.25">
      <c r="A1986" s="1">
        <v>46175</v>
      </c>
      <c r="B1986" s="1">
        <v>46171</v>
      </c>
      <c r="C1986" t="s">
        <v>169</v>
      </c>
      <c r="D1986" s="38">
        <v>5</v>
      </c>
      <c r="E1986" t="s">
        <v>169</v>
      </c>
      <c r="F1986">
        <v>304007</v>
      </c>
      <c r="G1986" t="s">
        <v>80</v>
      </c>
      <c r="H1986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4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x14ac:dyDescent="0.25">
      <c r="A1987" s="1">
        <v>46175</v>
      </c>
      <c r="B1987" s="1">
        <v>46171</v>
      </c>
      <c r="C1987" t="s">
        <v>169</v>
      </c>
      <c r="D1987" s="38">
        <v>5</v>
      </c>
      <c r="E1987" t="s">
        <v>169</v>
      </c>
      <c r="F1987">
        <v>304101</v>
      </c>
      <c r="G1987" t="s">
        <v>17</v>
      </c>
      <c r="H1987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4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x14ac:dyDescent="0.25">
      <c r="A1988" s="1">
        <v>46175</v>
      </c>
      <c r="B1988" s="1">
        <v>46175</v>
      </c>
      <c r="C1988" t="s">
        <v>169</v>
      </c>
      <c r="D1988" s="38">
        <v>6</v>
      </c>
      <c r="E1988" t="s">
        <v>169</v>
      </c>
      <c r="F1988">
        <v>407185</v>
      </c>
      <c r="G1988" t="s">
        <v>43</v>
      </c>
      <c r="H1988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2008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4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x14ac:dyDescent="0.25">
      <c r="A1989" s="1">
        <v>46175</v>
      </c>
      <c r="B1989" s="1">
        <v>46175</v>
      </c>
      <c r="C1989" t="s">
        <v>169</v>
      </c>
      <c r="D1989" s="38">
        <v>6</v>
      </c>
      <c r="E1989" t="s">
        <v>169</v>
      </c>
      <c r="F1989">
        <v>407423</v>
      </c>
      <c r="G1989" t="s">
        <v>106</v>
      </c>
      <c r="H1989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4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x14ac:dyDescent="0.25">
      <c r="A1990" s="1">
        <v>46175</v>
      </c>
      <c r="B1990" s="1">
        <v>46175</v>
      </c>
      <c r="C1990" t="s">
        <v>169</v>
      </c>
      <c r="D1990" s="38">
        <v>6</v>
      </c>
      <c r="E1990" t="s">
        <v>169</v>
      </c>
      <c r="F1990">
        <v>617057</v>
      </c>
      <c r="G1990" t="s">
        <v>1712</v>
      </c>
      <c r="H1990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4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x14ac:dyDescent="0.25">
      <c r="A1991" s="1">
        <v>46175</v>
      </c>
      <c r="B1991" s="1">
        <v>46175</v>
      </c>
      <c r="C1991" t="s">
        <v>169</v>
      </c>
      <c r="D1991" s="38">
        <v>6</v>
      </c>
      <c r="E1991" t="s">
        <v>169</v>
      </c>
      <c r="F1991">
        <v>617055</v>
      </c>
      <c r="G1991" t="s">
        <v>182</v>
      </c>
      <c r="H199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4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x14ac:dyDescent="0.25">
      <c r="A1992" s="1">
        <v>46175</v>
      </c>
      <c r="B1992" s="1">
        <v>46175</v>
      </c>
      <c r="C1992" t="s">
        <v>169</v>
      </c>
      <c r="D1992" s="38">
        <v>6</v>
      </c>
      <c r="E1992" t="s">
        <v>169</v>
      </c>
      <c r="F1992">
        <v>617016</v>
      </c>
      <c r="G1992" t="s">
        <v>133</v>
      </c>
      <c r="H1992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4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x14ac:dyDescent="0.25">
      <c r="A1993" s="1">
        <v>46175</v>
      </c>
      <c r="B1993" s="1">
        <v>46175</v>
      </c>
      <c r="C1993" t="s">
        <v>169</v>
      </c>
      <c r="D1993" s="38">
        <v>6</v>
      </c>
      <c r="E1993" t="s">
        <v>169</v>
      </c>
      <c r="F1993">
        <v>707023</v>
      </c>
      <c r="G1993" t="s">
        <v>794</v>
      </c>
      <c r="H1993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4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x14ac:dyDescent="0.25">
      <c r="A1994" s="1">
        <v>46175</v>
      </c>
      <c r="B1994" s="1">
        <v>46175</v>
      </c>
      <c r="C1994" t="s">
        <v>169</v>
      </c>
      <c r="D1994" s="38">
        <v>6</v>
      </c>
      <c r="E1994" t="s">
        <v>169</v>
      </c>
      <c r="F1994">
        <v>1902003</v>
      </c>
      <c r="G1994" t="s">
        <v>155</v>
      </c>
      <c r="H1994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4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x14ac:dyDescent="0.25">
      <c r="A1995" s="1">
        <v>46175</v>
      </c>
      <c r="B1995" s="1">
        <v>46175</v>
      </c>
      <c r="C1995" t="s">
        <v>169</v>
      </c>
      <c r="D1995" s="38">
        <v>6</v>
      </c>
      <c r="E1995" t="s">
        <v>169</v>
      </c>
      <c r="F1995">
        <v>407011</v>
      </c>
      <c r="G1995" t="s">
        <v>30</v>
      </c>
      <c r="H1995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2017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4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x14ac:dyDescent="0.25">
      <c r="A1996" s="1">
        <v>46175</v>
      </c>
      <c r="B1996" s="1">
        <v>46175</v>
      </c>
      <c r="C1996" t="s">
        <v>169</v>
      </c>
      <c r="D1996" s="38">
        <v>6</v>
      </c>
      <c r="E1996" t="s">
        <v>169</v>
      </c>
      <c r="F1996">
        <v>407423</v>
      </c>
      <c r="G1996" t="s">
        <v>106</v>
      </c>
      <c r="H1996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4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x14ac:dyDescent="0.25">
      <c r="A1997" s="1">
        <v>46175</v>
      </c>
      <c r="B1997" s="1">
        <v>46175</v>
      </c>
      <c r="C1997" t="s">
        <v>169</v>
      </c>
      <c r="D1997" s="38">
        <v>6</v>
      </c>
      <c r="E1997" t="s">
        <v>169</v>
      </c>
      <c r="F1997">
        <v>407185</v>
      </c>
      <c r="G1997" t="s">
        <v>43</v>
      </c>
      <c r="H1997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4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x14ac:dyDescent="0.25">
      <c r="A1998" s="1">
        <v>46175</v>
      </c>
      <c r="B1998" s="1">
        <v>46175</v>
      </c>
      <c r="C1998" t="s">
        <v>169</v>
      </c>
      <c r="D1998" s="38">
        <v>6</v>
      </c>
      <c r="E1998" t="s">
        <v>169</v>
      </c>
      <c r="F1998">
        <v>701096</v>
      </c>
      <c r="G1998" t="s">
        <v>204</v>
      </c>
      <c r="H1998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4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x14ac:dyDescent="0.25">
      <c r="A1999" s="1">
        <v>46175</v>
      </c>
      <c r="B1999" s="1">
        <v>46175</v>
      </c>
      <c r="C1999" t="s">
        <v>169</v>
      </c>
      <c r="D1999" s="38">
        <v>6</v>
      </c>
      <c r="E1999" t="s">
        <v>169</v>
      </c>
      <c r="F1999">
        <v>407170</v>
      </c>
      <c r="G1999" t="s">
        <v>107</v>
      </c>
      <c r="H1999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4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x14ac:dyDescent="0.25">
      <c r="A2000" s="1">
        <v>46175</v>
      </c>
      <c r="B2000" s="1">
        <v>46175</v>
      </c>
      <c r="C2000" t="s">
        <v>169</v>
      </c>
      <c r="D2000" s="38">
        <v>6</v>
      </c>
      <c r="E2000" t="s">
        <v>169</v>
      </c>
      <c r="F2000">
        <v>4212234</v>
      </c>
      <c r="G2000" t="s">
        <v>54</v>
      </c>
      <c r="H2000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4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x14ac:dyDescent="0.25">
      <c r="A2001" s="1">
        <v>46175</v>
      </c>
      <c r="B2001" s="1">
        <v>46175</v>
      </c>
      <c r="C2001" t="s">
        <v>169</v>
      </c>
      <c r="D2001" s="38">
        <v>6</v>
      </c>
      <c r="E2001" t="s">
        <v>169</v>
      </c>
      <c r="F2001">
        <v>404745</v>
      </c>
      <c r="G2001" t="s">
        <v>442</v>
      </c>
      <c r="H200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2011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4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x14ac:dyDescent="0.25">
      <c r="A2002" s="1">
        <v>46175</v>
      </c>
      <c r="B2002" s="1">
        <v>46175</v>
      </c>
      <c r="C2002" t="s">
        <v>169</v>
      </c>
      <c r="D2002" s="38">
        <v>6</v>
      </c>
      <c r="E2002" t="s">
        <v>169</v>
      </c>
      <c r="F2002">
        <v>2304056</v>
      </c>
      <c r="G2002" t="s">
        <v>417</v>
      </c>
      <c r="H2002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4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x14ac:dyDescent="0.25">
      <c r="A2003" s="1">
        <v>46175</v>
      </c>
      <c r="B2003" s="1">
        <v>46175</v>
      </c>
      <c r="C2003" t="s">
        <v>169</v>
      </c>
      <c r="D2003" s="38">
        <v>6</v>
      </c>
      <c r="E2003" t="s">
        <v>169</v>
      </c>
      <c r="F2003">
        <v>407423</v>
      </c>
      <c r="G2003" t="s">
        <v>106</v>
      </c>
      <c r="H2003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4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x14ac:dyDescent="0.25">
      <c r="A2004" s="1">
        <v>46175</v>
      </c>
      <c r="B2004" s="1">
        <v>46175</v>
      </c>
      <c r="C2004" t="s">
        <v>169</v>
      </c>
      <c r="D2004" s="38">
        <v>6</v>
      </c>
      <c r="E2004" t="s">
        <v>169</v>
      </c>
      <c r="F2004">
        <v>407185</v>
      </c>
      <c r="G2004" t="s">
        <v>43</v>
      </c>
      <c r="H2004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4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x14ac:dyDescent="0.25">
      <c r="A2005" s="1">
        <v>46175</v>
      </c>
      <c r="B2005" s="1">
        <v>46175</v>
      </c>
      <c r="C2005" t="s">
        <v>169</v>
      </c>
      <c r="D2005" s="38">
        <v>6</v>
      </c>
      <c r="E2005" t="s">
        <v>169</v>
      </c>
      <c r="F2005">
        <v>2505058</v>
      </c>
      <c r="G2005" t="s">
        <v>142</v>
      </c>
      <c r="H2005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4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x14ac:dyDescent="0.25">
      <c r="A2006" s="1">
        <v>46175</v>
      </c>
      <c r="B2006" s="1">
        <v>46175</v>
      </c>
      <c r="C2006" t="s">
        <v>169</v>
      </c>
      <c r="D2006" s="38">
        <v>6</v>
      </c>
      <c r="E2006" t="s">
        <v>169</v>
      </c>
      <c r="F2006">
        <v>1805340</v>
      </c>
      <c r="G2006" t="s">
        <v>298</v>
      </c>
      <c r="H2006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4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x14ac:dyDescent="0.25">
      <c r="A2007" s="1">
        <v>46175</v>
      </c>
      <c r="B2007" s="1">
        <v>46175</v>
      </c>
      <c r="C2007" t="s">
        <v>169</v>
      </c>
      <c r="D2007" s="38">
        <v>6</v>
      </c>
      <c r="E2007" t="s">
        <v>169</v>
      </c>
      <c r="F2007">
        <v>1610023</v>
      </c>
      <c r="G2007" t="s">
        <v>351</v>
      </c>
      <c r="H2007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4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x14ac:dyDescent="0.25">
      <c r="A2008" s="1">
        <v>46175</v>
      </c>
      <c r="B2008" s="1">
        <v>46175</v>
      </c>
      <c r="C2008" t="s">
        <v>169</v>
      </c>
      <c r="D2008" s="38">
        <v>6</v>
      </c>
      <c r="E2008" t="s">
        <v>169</v>
      </c>
      <c r="F2008">
        <v>1802659</v>
      </c>
      <c r="G2008" t="s">
        <v>161</v>
      </c>
      <c r="H2008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4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x14ac:dyDescent="0.25">
      <c r="A2009" s="1">
        <v>46175</v>
      </c>
      <c r="B2009" s="1">
        <v>46175</v>
      </c>
      <c r="C2009" t="s">
        <v>169</v>
      </c>
      <c r="D2009" s="38">
        <v>6</v>
      </c>
      <c r="E2009" t="s">
        <v>169</v>
      </c>
      <c r="F2009">
        <v>705028</v>
      </c>
      <c r="G2009" t="s">
        <v>72</v>
      </c>
      <c r="H2009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4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x14ac:dyDescent="0.25">
      <c r="A2010" s="1">
        <v>46176</v>
      </c>
      <c r="B2010" s="1">
        <v>46176</v>
      </c>
      <c r="C2010" t="s">
        <v>169</v>
      </c>
      <c r="D2010" s="38">
        <v>6</v>
      </c>
      <c r="E2010" t="s">
        <v>169</v>
      </c>
      <c r="F2010">
        <v>307096</v>
      </c>
      <c r="G2010" t="s">
        <v>249</v>
      </c>
      <c r="H2010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2017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4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x14ac:dyDescent="0.25">
      <c r="A2011" s="1">
        <v>46176</v>
      </c>
      <c r="B2011" s="1">
        <v>46176</v>
      </c>
      <c r="C2011" t="s">
        <v>169</v>
      </c>
      <c r="D2011" s="38">
        <v>6</v>
      </c>
      <c r="E2011" t="s">
        <v>169</v>
      </c>
      <c r="F2011">
        <v>408017</v>
      </c>
      <c r="G2011" t="s">
        <v>443</v>
      </c>
      <c r="H201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4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x14ac:dyDescent="0.25">
      <c r="A2012" s="1">
        <v>46176</v>
      </c>
      <c r="B2012" s="1">
        <v>46176</v>
      </c>
      <c r="C2012" t="s">
        <v>169</v>
      </c>
      <c r="D2012" s="38">
        <v>6</v>
      </c>
      <c r="E2012" t="s">
        <v>169</v>
      </c>
      <c r="F2012">
        <v>302046</v>
      </c>
      <c r="G2012" t="s">
        <v>115</v>
      </c>
      <c r="H2012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2017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4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x14ac:dyDescent="0.25">
      <c r="A2013" s="1">
        <v>46176</v>
      </c>
      <c r="B2013" s="1">
        <v>46176</v>
      </c>
      <c r="C2013" t="s">
        <v>169</v>
      </c>
      <c r="D2013" s="38">
        <v>6</v>
      </c>
      <c r="E2013" t="s">
        <v>169</v>
      </c>
      <c r="F2013" t="s">
        <v>345</v>
      </c>
      <c r="G2013" t="s">
        <v>167</v>
      </c>
      <c r="H2013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2008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4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x14ac:dyDescent="0.25">
      <c r="A2014" s="1">
        <v>46176</v>
      </c>
      <c r="B2014" s="1">
        <v>46176</v>
      </c>
      <c r="C2014" t="s">
        <v>169</v>
      </c>
      <c r="D2014" s="38">
        <v>6</v>
      </c>
      <c r="E2014" t="s">
        <v>169</v>
      </c>
      <c r="F2014" t="s">
        <v>559</v>
      </c>
      <c r="G2014" t="s">
        <v>705</v>
      </c>
      <c r="H2014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4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x14ac:dyDescent="0.25">
      <c r="A2015" s="1">
        <v>46176</v>
      </c>
      <c r="B2015" s="1">
        <v>46176</v>
      </c>
      <c r="C2015" t="s">
        <v>169</v>
      </c>
      <c r="D2015" s="38">
        <v>6</v>
      </c>
      <c r="E2015" t="s">
        <v>169</v>
      </c>
      <c r="F2015">
        <v>304002</v>
      </c>
      <c r="G2015" t="s">
        <v>37</v>
      </c>
      <c r="H2015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2008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4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x14ac:dyDescent="0.25">
      <c r="A2016" s="1">
        <v>46176</v>
      </c>
      <c r="B2016" s="1">
        <v>46176</v>
      </c>
      <c r="C2016" t="s">
        <v>169</v>
      </c>
      <c r="D2016" s="38">
        <v>6</v>
      </c>
      <c r="E2016" t="s">
        <v>169</v>
      </c>
      <c r="F2016">
        <v>304101</v>
      </c>
      <c r="G2016" t="s">
        <v>17</v>
      </c>
      <c r="H2016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4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x14ac:dyDescent="0.25">
      <c r="A2017" s="1">
        <v>46176</v>
      </c>
      <c r="B2017" s="1">
        <v>46176</v>
      </c>
      <c r="C2017" t="s">
        <v>169</v>
      </c>
      <c r="D2017" s="38">
        <v>6</v>
      </c>
      <c r="E2017" t="s">
        <v>169</v>
      </c>
      <c r="F2017">
        <v>1901466</v>
      </c>
      <c r="G2017" t="s">
        <v>398</v>
      </c>
      <c r="H2017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4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x14ac:dyDescent="0.25">
      <c r="A2018" s="1">
        <v>46176</v>
      </c>
      <c r="B2018" s="1">
        <v>46176</v>
      </c>
      <c r="C2018" t="s">
        <v>169</v>
      </c>
      <c r="D2018" s="38">
        <v>6</v>
      </c>
      <c r="E2018" t="s">
        <v>169</v>
      </c>
      <c r="F2018">
        <v>1901086</v>
      </c>
      <c r="G2018" t="s">
        <v>279</v>
      </c>
      <c r="H2018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4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x14ac:dyDescent="0.25">
      <c r="A2019" s="1">
        <v>46176</v>
      </c>
      <c r="B2019" s="1">
        <v>46176</v>
      </c>
      <c r="C2019" t="s">
        <v>169</v>
      </c>
      <c r="D2019" s="38">
        <v>6</v>
      </c>
      <c r="E2019" t="s">
        <v>169</v>
      </c>
      <c r="F2019">
        <v>1901038</v>
      </c>
      <c r="G2019" t="s">
        <v>39</v>
      </c>
      <c r="H2019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4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x14ac:dyDescent="0.25">
      <c r="A2020" s="1">
        <v>46176</v>
      </c>
      <c r="B2020" s="1">
        <v>46176</v>
      </c>
      <c r="C2020" t="s">
        <v>169</v>
      </c>
      <c r="D2020" s="38">
        <v>6</v>
      </c>
      <c r="E2020" t="s">
        <v>169</v>
      </c>
      <c r="F2020">
        <v>1901008</v>
      </c>
      <c r="G2020" t="s">
        <v>278</v>
      </c>
      <c r="H2020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4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x14ac:dyDescent="0.25">
      <c r="A2021" s="1">
        <v>46176</v>
      </c>
      <c r="B2021" s="1">
        <v>46176</v>
      </c>
      <c r="C2021" t="s">
        <v>169</v>
      </c>
      <c r="D2021" s="38">
        <v>6</v>
      </c>
      <c r="E2021" t="s">
        <v>169</v>
      </c>
      <c r="F2021">
        <v>307033</v>
      </c>
      <c r="G2021" t="s">
        <v>248</v>
      </c>
      <c r="H202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4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x14ac:dyDescent="0.25">
      <c r="A2022" s="1">
        <v>46176</v>
      </c>
      <c r="B2022" s="1">
        <v>46176</v>
      </c>
      <c r="C2022" t="s">
        <v>169</v>
      </c>
      <c r="D2022" s="38">
        <v>6</v>
      </c>
      <c r="E2022" t="s">
        <v>169</v>
      </c>
      <c r="F2022">
        <v>408042</v>
      </c>
      <c r="G2022" t="s">
        <v>144</v>
      </c>
      <c r="H2022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4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x14ac:dyDescent="0.25">
      <c r="A2023" s="1">
        <v>46176</v>
      </c>
      <c r="B2023" s="1">
        <v>46176</v>
      </c>
      <c r="C2023" t="s">
        <v>169</v>
      </c>
      <c r="D2023" s="38">
        <v>6</v>
      </c>
      <c r="E2023" t="s">
        <v>169</v>
      </c>
      <c r="F2023">
        <v>2304008</v>
      </c>
      <c r="G2023" t="s">
        <v>704</v>
      </c>
      <c r="H2023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4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x14ac:dyDescent="0.25">
      <c r="A2024" s="1">
        <v>46176</v>
      </c>
      <c r="B2024" s="1">
        <v>46176</v>
      </c>
      <c r="C2024" t="s">
        <v>169</v>
      </c>
      <c r="D2024" s="38">
        <v>6</v>
      </c>
      <c r="E2024" t="s">
        <v>169</v>
      </c>
      <c r="F2024">
        <v>408034</v>
      </c>
      <c r="G2024" t="s">
        <v>250</v>
      </c>
      <c r="H2024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4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x14ac:dyDescent="0.25">
      <c r="A2025" s="1">
        <v>46176</v>
      </c>
      <c r="B2025" s="1">
        <v>46176</v>
      </c>
      <c r="C2025" t="s">
        <v>169</v>
      </c>
      <c r="D2025" s="38">
        <v>6</v>
      </c>
      <c r="E2025" t="s">
        <v>169</v>
      </c>
      <c r="F2025">
        <v>609008</v>
      </c>
      <c r="G2025" t="s">
        <v>57</v>
      </c>
      <c r="H2025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4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x14ac:dyDescent="0.25">
      <c r="A2026" s="1">
        <v>46176</v>
      </c>
      <c r="B2026" s="1">
        <v>46176</v>
      </c>
      <c r="C2026" t="s">
        <v>169</v>
      </c>
      <c r="D2026" s="38">
        <v>6</v>
      </c>
      <c r="E2026" t="s">
        <v>169</v>
      </c>
      <c r="F2026">
        <v>307096</v>
      </c>
      <c r="G2026" t="s">
        <v>249</v>
      </c>
      <c r="H2026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4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x14ac:dyDescent="0.25">
      <c r="A2027" s="1">
        <v>46177</v>
      </c>
      <c r="B2027" s="1">
        <v>46177</v>
      </c>
      <c r="C2027" t="s">
        <v>169</v>
      </c>
      <c r="D2027" s="38">
        <v>6</v>
      </c>
      <c r="E2027" t="s">
        <v>169</v>
      </c>
      <c r="F2027">
        <v>2505058</v>
      </c>
      <c r="G2027" t="s">
        <v>142</v>
      </c>
      <c r="H2027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2016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4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x14ac:dyDescent="0.25">
      <c r="A2028" s="1">
        <v>46177</v>
      </c>
      <c r="B2028" s="1">
        <v>46177</v>
      </c>
      <c r="C2028" t="s">
        <v>169</v>
      </c>
      <c r="D2028" s="38">
        <v>6</v>
      </c>
      <c r="E2028" t="s">
        <v>169</v>
      </c>
      <c r="F2028">
        <v>704079</v>
      </c>
      <c r="G2028" t="s">
        <v>209</v>
      </c>
      <c r="H2028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2017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4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x14ac:dyDescent="0.25">
      <c r="A2029" s="1">
        <v>46177</v>
      </c>
      <c r="B2029" s="1">
        <v>46177</v>
      </c>
      <c r="C2029" t="s">
        <v>169</v>
      </c>
      <c r="D2029" s="38">
        <v>6</v>
      </c>
      <c r="E2029" t="s">
        <v>169</v>
      </c>
      <c r="F2029">
        <v>409011</v>
      </c>
      <c r="G2029" t="s">
        <v>251</v>
      </c>
      <c r="H2029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4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x14ac:dyDescent="0.25">
      <c r="A2030" s="1">
        <v>46177</v>
      </c>
      <c r="B2030" s="1">
        <v>46177</v>
      </c>
      <c r="C2030" t="s">
        <v>169</v>
      </c>
      <c r="D2030" s="38">
        <v>6</v>
      </c>
      <c r="E2030" t="s">
        <v>169</v>
      </c>
      <c r="F2030">
        <v>302054</v>
      </c>
      <c r="G2030" t="s">
        <v>356</v>
      </c>
      <c r="H2030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4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x14ac:dyDescent="0.25">
      <c r="A2031" s="1">
        <v>46177</v>
      </c>
      <c r="B2031" s="1">
        <v>46177</v>
      </c>
      <c r="C2031" t="s">
        <v>169</v>
      </c>
      <c r="D2031" s="38">
        <v>6</v>
      </c>
      <c r="E2031" t="s">
        <v>169</v>
      </c>
      <c r="F2031">
        <v>302248</v>
      </c>
      <c r="G2031" t="s">
        <v>281</v>
      </c>
      <c r="H203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4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x14ac:dyDescent="0.25">
      <c r="A2032" s="1">
        <v>46177</v>
      </c>
      <c r="B2032" s="1">
        <v>46177</v>
      </c>
      <c r="C2032" t="s">
        <v>169</v>
      </c>
      <c r="D2032" s="38">
        <v>6</v>
      </c>
      <c r="E2032" t="s">
        <v>169</v>
      </c>
      <c r="F2032">
        <v>302028</v>
      </c>
      <c r="G2032" t="s">
        <v>246</v>
      </c>
      <c r="H2032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4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x14ac:dyDescent="0.25">
      <c r="A2033" s="1">
        <v>46177</v>
      </c>
      <c r="B2033" s="1">
        <v>46177</v>
      </c>
      <c r="C2033" t="s">
        <v>169</v>
      </c>
      <c r="D2033" s="38">
        <v>6</v>
      </c>
      <c r="E2033" t="s">
        <v>169</v>
      </c>
      <c r="F2033">
        <v>302010</v>
      </c>
      <c r="G2033" t="s">
        <v>323</v>
      </c>
      <c r="H2033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4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x14ac:dyDescent="0.25">
      <c r="A2034" s="1">
        <v>46177</v>
      </c>
      <c r="B2034" s="1">
        <v>46177</v>
      </c>
      <c r="C2034" t="s">
        <v>169</v>
      </c>
      <c r="D2034" s="38">
        <v>6</v>
      </c>
      <c r="E2034" t="s">
        <v>169</v>
      </c>
      <c r="F2034">
        <v>407185</v>
      </c>
      <c r="G2034" t="s">
        <v>43</v>
      </c>
      <c r="H2034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4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x14ac:dyDescent="0.25">
      <c r="A2035" s="1">
        <v>46177</v>
      </c>
      <c r="B2035" s="1">
        <v>46177</v>
      </c>
      <c r="C2035" t="s">
        <v>169</v>
      </c>
      <c r="D2035" s="38">
        <v>6</v>
      </c>
      <c r="E2035" t="s">
        <v>169</v>
      </c>
      <c r="F2035">
        <v>407423</v>
      </c>
      <c r="G2035" t="s">
        <v>106</v>
      </c>
      <c r="H2035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4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x14ac:dyDescent="0.25">
      <c r="A2036" s="1">
        <v>46177</v>
      </c>
      <c r="B2036" s="1">
        <v>46177</v>
      </c>
      <c r="C2036" t="s">
        <v>169</v>
      </c>
      <c r="D2036" s="38">
        <v>6</v>
      </c>
      <c r="E2036" t="s">
        <v>169</v>
      </c>
      <c r="F2036">
        <v>1902013</v>
      </c>
      <c r="G2036" t="s">
        <v>338</v>
      </c>
      <c r="H2036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4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x14ac:dyDescent="0.25">
      <c r="A2037" s="1">
        <v>46177</v>
      </c>
      <c r="B2037" s="1">
        <v>46177</v>
      </c>
      <c r="C2037" t="s">
        <v>169</v>
      </c>
      <c r="D2037" s="38">
        <v>6</v>
      </c>
      <c r="E2037" t="s">
        <v>169</v>
      </c>
      <c r="F2037">
        <v>1802166</v>
      </c>
      <c r="G2037" t="s">
        <v>283</v>
      </c>
      <c r="H2037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2012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4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x14ac:dyDescent="0.25">
      <c r="A2038" s="1">
        <v>46177</v>
      </c>
      <c r="B2038" s="1">
        <v>46177</v>
      </c>
      <c r="C2038" t="s">
        <v>169</v>
      </c>
      <c r="D2038" s="38">
        <v>6</v>
      </c>
      <c r="E2038" t="s">
        <v>169</v>
      </c>
      <c r="F2038">
        <v>1808146</v>
      </c>
      <c r="G2038" t="s">
        <v>274</v>
      </c>
      <c r="H2038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4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x14ac:dyDescent="0.25">
      <c r="A2039" s="1">
        <v>46177</v>
      </c>
      <c r="B2039" s="1">
        <v>46177</v>
      </c>
      <c r="C2039" t="s">
        <v>169</v>
      </c>
      <c r="D2039" s="38">
        <v>6</v>
      </c>
      <c r="E2039" t="s">
        <v>169</v>
      </c>
      <c r="F2039">
        <v>1808148</v>
      </c>
      <c r="G2039" t="s">
        <v>276</v>
      </c>
      <c r="H2039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4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x14ac:dyDescent="0.25">
      <c r="A2040" s="1">
        <v>46177</v>
      </c>
      <c r="B2040" s="1">
        <v>46177</v>
      </c>
      <c r="C2040" t="s">
        <v>169</v>
      </c>
      <c r="D2040" s="38">
        <v>6</v>
      </c>
      <c r="E2040" t="s">
        <v>169</v>
      </c>
      <c r="F2040">
        <v>1808147</v>
      </c>
      <c r="G2040" t="s">
        <v>275</v>
      </c>
      <c r="H2040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4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x14ac:dyDescent="0.25">
      <c r="A2041" s="1">
        <v>46177</v>
      </c>
      <c r="B2041" s="1">
        <v>46177</v>
      </c>
      <c r="C2041" t="s">
        <v>169</v>
      </c>
      <c r="D2041" s="38">
        <v>6</v>
      </c>
      <c r="E2041" t="s">
        <v>169</v>
      </c>
      <c r="F2041">
        <v>1808145</v>
      </c>
      <c r="G2041" t="s">
        <v>273</v>
      </c>
      <c r="H204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4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x14ac:dyDescent="0.25">
      <c r="A2042" s="1">
        <v>46177</v>
      </c>
      <c r="B2042" s="1">
        <v>46177</v>
      </c>
      <c r="C2042" t="s">
        <v>169</v>
      </c>
      <c r="D2042" s="38">
        <v>6</v>
      </c>
      <c r="E2042" t="s">
        <v>169</v>
      </c>
      <c r="F2042">
        <v>1808144</v>
      </c>
      <c r="G2042" t="s">
        <v>272</v>
      </c>
      <c r="H2042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4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x14ac:dyDescent="0.25">
      <c r="A2043" s="1">
        <v>46177</v>
      </c>
      <c r="B2043" s="1">
        <v>46177</v>
      </c>
      <c r="C2043" t="s">
        <v>169</v>
      </c>
      <c r="D2043" s="38">
        <v>6</v>
      </c>
      <c r="E2043" t="s">
        <v>169</v>
      </c>
      <c r="F2043">
        <v>407795</v>
      </c>
      <c r="G2043" t="s">
        <v>325</v>
      </c>
      <c r="H2043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4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x14ac:dyDescent="0.25">
      <c r="A2044" s="1">
        <v>46177</v>
      </c>
      <c r="B2044" s="1">
        <v>46177</v>
      </c>
      <c r="C2044" t="s">
        <v>169</v>
      </c>
      <c r="D2044" s="38">
        <v>6</v>
      </c>
      <c r="E2044" t="s">
        <v>169</v>
      </c>
      <c r="F2044">
        <v>2505426</v>
      </c>
      <c r="G2044" t="s">
        <v>708</v>
      </c>
      <c r="H2044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4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x14ac:dyDescent="0.25">
      <c r="A2045" s="1">
        <v>46177</v>
      </c>
      <c r="B2045" s="1">
        <v>46177</v>
      </c>
      <c r="C2045" t="s">
        <v>169</v>
      </c>
      <c r="D2045" s="38">
        <v>6</v>
      </c>
      <c r="E2045" t="s">
        <v>169</v>
      </c>
      <c r="F2045">
        <v>1802176</v>
      </c>
      <c r="G2045" t="s">
        <v>196</v>
      </c>
      <c r="H2045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4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x14ac:dyDescent="0.25">
      <c r="A2046" s="1">
        <v>46177</v>
      </c>
      <c r="B2046" s="1">
        <v>46177</v>
      </c>
      <c r="C2046" t="s">
        <v>169</v>
      </c>
      <c r="D2046" s="38">
        <v>6</v>
      </c>
      <c r="E2046" t="s">
        <v>169</v>
      </c>
      <c r="F2046">
        <v>1802165</v>
      </c>
      <c r="G2046" t="s">
        <v>261</v>
      </c>
      <c r="H2046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4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x14ac:dyDescent="0.25">
      <c r="A2047" s="1">
        <v>46177</v>
      </c>
      <c r="B2047" s="1">
        <v>46177</v>
      </c>
      <c r="C2047" t="s">
        <v>169</v>
      </c>
      <c r="D2047" s="38">
        <v>6</v>
      </c>
      <c r="E2047" t="s">
        <v>169</v>
      </c>
      <c r="F2047">
        <v>1701154</v>
      </c>
      <c r="G2047" t="s">
        <v>710</v>
      </c>
      <c r="H2047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4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x14ac:dyDescent="0.25">
      <c r="A2048" s="1">
        <v>46177</v>
      </c>
      <c r="B2048" s="1">
        <v>46177</v>
      </c>
      <c r="C2048" t="s">
        <v>169</v>
      </c>
      <c r="D2048" s="38">
        <v>6</v>
      </c>
      <c r="E2048" t="s">
        <v>169</v>
      </c>
      <c r="F2048">
        <v>1802175</v>
      </c>
      <c r="G2048" t="s">
        <v>269</v>
      </c>
      <c r="H2048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4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x14ac:dyDescent="0.25">
      <c r="A2049" s="1">
        <v>46177</v>
      </c>
      <c r="B2049" s="1">
        <v>46177</v>
      </c>
      <c r="C2049" t="s">
        <v>169</v>
      </c>
      <c r="D2049" s="38">
        <v>6</v>
      </c>
      <c r="E2049" t="s">
        <v>169</v>
      </c>
      <c r="F2049">
        <v>1802174</v>
      </c>
      <c r="G2049" t="s">
        <v>268</v>
      </c>
      <c r="H2049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4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x14ac:dyDescent="0.25">
      <c r="A2050" s="1">
        <v>46177</v>
      </c>
      <c r="B2050" s="1">
        <v>46177</v>
      </c>
      <c r="C2050" t="s">
        <v>169</v>
      </c>
      <c r="D2050" s="38">
        <v>6</v>
      </c>
      <c r="E2050" t="s">
        <v>169</v>
      </c>
      <c r="F2050">
        <v>1802173</v>
      </c>
      <c r="G2050" t="s">
        <v>267</v>
      </c>
      <c r="H2050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4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x14ac:dyDescent="0.25">
      <c r="A2051" s="1">
        <v>46177</v>
      </c>
      <c r="B2051" s="1">
        <v>46177</v>
      </c>
      <c r="C2051" t="s">
        <v>169</v>
      </c>
      <c r="D2051" s="38">
        <v>6</v>
      </c>
      <c r="E2051" t="s">
        <v>169</v>
      </c>
      <c r="F2051">
        <v>5316484</v>
      </c>
      <c r="G2051" t="s">
        <v>96</v>
      </c>
      <c r="H205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4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x14ac:dyDescent="0.25">
      <c r="A2052" s="1">
        <v>46177</v>
      </c>
      <c r="B2052" s="1">
        <v>46177</v>
      </c>
      <c r="C2052" t="s">
        <v>169</v>
      </c>
      <c r="D2052" s="38">
        <v>6</v>
      </c>
      <c r="E2052" t="s">
        <v>169</v>
      </c>
      <c r="F2052">
        <v>5316483</v>
      </c>
      <c r="G2052" t="s">
        <v>97</v>
      </c>
      <c r="H2052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4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x14ac:dyDescent="0.25">
      <c r="A2053" s="1">
        <v>46177</v>
      </c>
      <c r="B2053" s="1">
        <v>46177</v>
      </c>
      <c r="C2053" t="s">
        <v>169</v>
      </c>
      <c r="D2053" s="38">
        <v>6</v>
      </c>
      <c r="E2053" t="s">
        <v>169</v>
      </c>
      <c r="F2053">
        <v>1802170</v>
      </c>
      <c r="G2053" t="s">
        <v>264</v>
      </c>
      <c r="H2053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4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x14ac:dyDescent="0.25">
      <c r="A2054" s="1">
        <v>46177</v>
      </c>
      <c r="B2054" s="1">
        <v>46177</v>
      </c>
      <c r="C2054" t="s">
        <v>169</v>
      </c>
      <c r="D2054" s="38">
        <v>6</v>
      </c>
      <c r="E2054" t="s">
        <v>169</v>
      </c>
      <c r="F2054">
        <v>1802169</v>
      </c>
      <c r="G2054" t="s">
        <v>263</v>
      </c>
      <c r="H2054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4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x14ac:dyDescent="0.25">
      <c r="A2055" s="1">
        <v>46177</v>
      </c>
      <c r="B2055" s="1">
        <v>46177</v>
      </c>
      <c r="C2055" t="s">
        <v>169</v>
      </c>
      <c r="D2055" s="38">
        <v>6</v>
      </c>
      <c r="E2055" t="s">
        <v>169</v>
      </c>
      <c r="F2055">
        <v>1802167</v>
      </c>
      <c r="G2055" t="s">
        <v>262</v>
      </c>
      <c r="H2055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4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x14ac:dyDescent="0.25">
      <c r="A2056" s="1">
        <v>46177</v>
      </c>
      <c r="B2056" s="1">
        <v>46177</v>
      </c>
      <c r="C2056" t="s">
        <v>169</v>
      </c>
      <c r="D2056" s="38">
        <v>6</v>
      </c>
      <c r="E2056" t="s">
        <v>169</v>
      </c>
      <c r="F2056">
        <v>1801229</v>
      </c>
      <c r="G2056" t="s">
        <v>259</v>
      </c>
      <c r="H2056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4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x14ac:dyDescent="0.25">
      <c r="A2057" s="1">
        <v>46178</v>
      </c>
      <c r="B2057" s="1">
        <v>46178</v>
      </c>
      <c r="C2057" t="s">
        <v>169</v>
      </c>
      <c r="D2057" s="38">
        <v>6</v>
      </c>
      <c r="E2057" t="s">
        <v>169</v>
      </c>
      <c r="F2057" t="s">
        <v>774</v>
      </c>
      <c r="G2057" t="s">
        <v>22</v>
      </c>
      <c r="H2057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2017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4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x14ac:dyDescent="0.25">
      <c r="A2058" s="1">
        <v>46178</v>
      </c>
      <c r="B2058" s="1">
        <v>46178</v>
      </c>
      <c r="C2058" t="s">
        <v>169</v>
      </c>
      <c r="D2058" s="38">
        <v>6</v>
      </c>
      <c r="E2058" t="s">
        <v>169</v>
      </c>
      <c r="F2058">
        <v>302048</v>
      </c>
      <c r="G2058" t="s">
        <v>126</v>
      </c>
      <c r="H2058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4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x14ac:dyDescent="0.25">
      <c r="A2059" s="1">
        <v>46178</v>
      </c>
      <c r="B2059" s="1">
        <v>46178</v>
      </c>
      <c r="C2059" t="s">
        <v>169</v>
      </c>
      <c r="D2059" s="38">
        <v>6</v>
      </c>
      <c r="E2059" t="s">
        <v>169</v>
      </c>
      <c r="F2059" t="s">
        <v>386</v>
      </c>
      <c r="G2059" t="s">
        <v>83</v>
      </c>
      <c r="H2059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4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x14ac:dyDescent="0.25">
      <c r="A2060" s="1">
        <v>46178</v>
      </c>
      <c r="B2060" s="1">
        <v>46178</v>
      </c>
      <c r="C2060" t="s">
        <v>169</v>
      </c>
      <c r="D2060" s="38">
        <v>6</v>
      </c>
      <c r="E2060" t="s">
        <v>169</v>
      </c>
      <c r="F2060">
        <v>404184</v>
      </c>
      <c r="G2060" t="s">
        <v>66</v>
      </c>
      <c r="H2060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2014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4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x14ac:dyDescent="0.25">
      <c r="A2061" s="1">
        <v>46178</v>
      </c>
      <c r="B2061" s="1">
        <v>46178</v>
      </c>
      <c r="C2061" t="s">
        <v>169</v>
      </c>
      <c r="D2061" s="38">
        <v>6</v>
      </c>
      <c r="E2061" t="s">
        <v>169</v>
      </c>
      <c r="F2061">
        <v>304101</v>
      </c>
      <c r="G2061" t="s">
        <v>17</v>
      </c>
      <c r="H206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2017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4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x14ac:dyDescent="0.25">
      <c r="A2062" s="1">
        <v>46178</v>
      </c>
      <c r="B2062" s="1">
        <v>46178</v>
      </c>
      <c r="C2062" t="s">
        <v>169</v>
      </c>
      <c r="D2062" s="38">
        <v>6</v>
      </c>
      <c r="E2062" t="s">
        <v>169</v>
      </c>
      <c r="F2062">
        <v>304007</v>
      </c>
      <c r="G2062" t="s">
        <v>80</v>
      </c>
      <c r="H2062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4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x14ac:dyDescent="0.25">
      <c r="A2063" s="1">
        <v>46178</v>
      </c>
      <c r="B2063" s="1">
        <v>46178</v>
      </c>
      <c r="C2063" t="s">
        <v>169</v>
      </c>
      <c r="D2063" s="38">
        <v>6</v>
      </c>
      <c r="E2063" t="s">
        <v>169</v>
      </c>
      <c r="F2063">
        <v>701084</v>
      </c>
      <c r="G2063" t="s">
        <v>38</v>
      </c>
      <c r="H2063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4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x14ac:dyDescent="0.25">
      <c r="A2064" s="1">
        <v>46178</v>
      </c>
      <c r="B2064" s="1">
        <v>46178</v>
      </c>
      <c r="C2064" t="s">
        <v>169</v>
      </c>
      <c r="D2064" s="38">
        <v>6</v>
      </c>
      <c r="E2064" t="s">
        <v>169</v>
      </c>
      <c r="F2064">
        <v>407049</v>
      </c>
      <c r="G2064" t="s">
        <v>232</v>
      </c>
      <c r="H2064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4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x14ac:dyDescent="0.25">
      <c r="A2065" s="1">
        <v>46178</v>
      </c>
      <c r="B2065" s="1">
        <v>46178</v>
      </c>
      <c r="C2065" t="s">
        <v>169</v>
      </c>
      <c r="D2065" s="38">
        <v>6</v>
      </c>
      <c r="E2065" t="s">
        <v>169</v>
      </c>
      <c r="F2065">
        <v>412281</v>
      </c>
      <c r="G2065" t="s">
        <v>326</v>
      </c>
      <c r="H2065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4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x14ac:dyDescent="0.25">
      <c r="A2066" s="1">
        <v>46178</v>
      </c>
      <c r="B2066" s="1">
        <v>46178</v>
      </c>
      <c r="C2066" t="s">
        <v>169</v>
      </c>
      <c r="D2066" s="38">
        <v>6</v>
      </c>
      <c r="E2066" t="s">
        <v>169</v>
      </c>
      <c r="F2066">
        <v>412280</v>
      </c>
      <c r="G2066" t="s">
        <v>40</v>
      </c>
      <c r="H2066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4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x14ac:dyDescent="0.25">
      <c r="A2067" s="1">
        <v>46178</v>
      </c>
      <c r="B2067" s="1">
        <v>46178</v>
      </c>
      <c r="C2067" t="s">
        <v>169</v>
      </c>
      <c r="D2067" s="38">
        <v>6</v>
      </c>
      <c r="E2067" t="s">
        <v>169</v>
      </c>
      <c r="F2067">
        <v>304049</v>
      </c>
      <c r="G2067" t="s">
        <v>318</v>
      </c>
      <c r="H2067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4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x14ac:dyDescent="0.25">
      <c r="A2068" s="1">
        <v>46178</v>
      </c>
      <c r="B2068" s="1">
        <v>46178</v>
      </c>
      <c r="C2068" t="s">
        <v>169</v>
      </c>
      <c r="D2068" s="38">
        <v>6</v>
      </c>
      <c r="E2068" t="s">
        <v>169</v>
      </c>
      <c r="F2068" t="s">
        <v>231</v>
      </c>
      <c r="G2068" t="s">
        <v>180</v>
      </c>
      <c r="H2068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4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x14ac:dyDescent="0.25">
      <c r="A2069" s="1">
        <v>46178</v>
      </c>
      <c r="B2069" s="1">
        <v>46178</v>
      </c>
      <c r="C2069" t="s">
        <v>169</v>
      </c>
      <c r="D2069" s="38">
        <v>6</v>
      </c>
      <c r="E2069" t="s">
        <v>169</v>
      </c>
      <c r="F2069">
        <v>2302098</v>
      </c>
      <c r="G2069" t="s">
        <v>24</v>
      </c>
      <c r="H2069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4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t="s">
        <v>169</v>
      </c>
      <c r="D2070" s="38">
        <v>6</v>
      </c>
      <c r="E2070" t="s">
        <v>169</v>
      </c>
      <c r="F2070">
        <v>1103088</v>
      </c>
      <c r="G2070" t="s">
        <v>1598</v>
      </c>
      <c r="H2070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4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x14ac:dyDescent="0.25">
      <c r="A2071" s="1">
        <v>46178</v>
      </c>
      <c r="B2071" s="1">
        <v>46178</v>
      </c>
      <c r="C2071" t="s">
        <v>169</v>
      </c>
      <c r="D2071" s="38">
        <v>6</v>
      </c>
      <c r="E2071" t="s">
        <v>169</v>
      </c>
      <c r="F2071">
        <v>1103087</v>
      </c>
      <c r="G2071" t="s">
        <v>558</v>
      </c>
      <c r="H207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4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x14ac:dyDescent="0.25">
      <c r="A2072" s="1">
        <v>46178</v>
      </c>
      <c r="B2072" s="1">
        <v>46178</v>
      </c>
      <c r="C2072" t="s">
        <v>169</v>
      </c>
      <c r="D2072" s="38">
        <v>6</v>
      </c>
      <c r="E2072" t="s">
        <v>169</v>
      </c>
      <c r="F2072">
        <v>1103086</v>
      </c>
      <c r="G2072" t="s">
        <v>557</v>
      </c>
      <c r="H2072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4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x14ac:dyDescent="0.25">
      <c r="A2073" s="1">
        <v>46178</v>
      </c>
      <c r="B2073" s="1">
        <v>46178</v>
      </c>
      <c r="C2073" t="s">
        <v>169</v>
      </c>
      <c r="D2073" s="38">
        <v>6</v>
      </c>
      <c r="E2073" t="s">
        <v>169</v>
      </c>
      <c r="F2073">
        <v>705028</v>
      </c>
      <c r="G2073" t="s">
        <v>72</v>
      </c>
      <c r="H2073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2019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4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x14ac:dyDescent="0.25">
      <c r="A2074" s="1">
        <v>46178</v>
      </c>
      <c r="B2074" s="1">
        <v>46178</v>
      </c>
      <c r="C2074" t="s">
        <v>169</v>
      </c>
      <c r="D2074" s="38">
        <v>6</v>
      </c>
      <c r="E2074" t="s">
        <v>169</v>
      </c>
      <c r="F2074">
        <v>907031</v>
      </c>
      <c r="G2074" t="s">
        <v>256</v>
      </c>
      <c r="H2074" t="s">
        <v>743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4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x14ac:dyDescent="0.25">
      <c r="A2075" s="1">
        <v>46178</v>
      </c>
      <c r="B2075" s="1">
        <v>46178</v>
      </c>
      <c r="C2075" t="s">
        <v>169</v>
      </c>
      <c r="D2075" s="38">
        <v>6</v>
      </c>
      <c r="E2075" t="s">
        <v>169</v>
      </c>
      <c r="F2075">
        <v>1801735</v>
      </c>
      <c r="G2075" t="s">
        <v>73</v>
      </c>
      <c r="H2075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4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x14ac:dyDescent="0.25">
      <c r="A2076" s="1">
        <v>46178</v>
      </c>
      <c r="B2076" s="1">
        <v>46178</v>
      </c>
      <c r="C2076" t="s">
        <v>169</v>
      </c>
      <c r="D2076" s="38">
        <v>6</v>
      </c>
      <c r="E2076" t="s">
        <v>169</v>
      </c>
      <c r="F2076">
        <v>2304056</v>
      </c>
      <c r="G2076" t="s">
        <v>417</v>
      </c>
      <c r="H2076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4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x14ac:dyDescent="0.25">
      <c r="A2077" s="1">
        <v>46178</v>
      </c>
      <c r="B2077" s="1">
        <v>46178</v>
      </c>
      <c r="C2077" t="s">
        <v>169</v>
      </c>
      <c r="D2077" s="38">
        <v>6</v>
      </c>
      <c r="E2077" t="s">
        <v>169</v>
      </c>
      <c r="F2077">
        <v>2304053</v>
      </c>
      <c r="G2077" t="s">
        <v>213</v>
      </c>
      <c r="H2077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4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x14ac:dyDescent="0.25">
      <c r="A2078" s="1">
        <v>46178</v>
      </c>
      <c r="B2078" s="1">
        <v>46178</v>
      </c>
      <c r="C2078" t="s">
        <v>169</v>
      </c>
      <c r="D2078" s="38">
        <v>6</v>
      </c>
      <c r="E2078" t="s">
        <v>169</v>
      </c>
      <c r="F2078">
        <v>2508994</v>
      </c>
      <c r="G2078" t="s">
        <v>486</v>
      </c>
      <c r="H2078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4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x14ac:dyDescent="0.25">
      <c r="A2079" s="1">
        <v>46178</v>
      </c>
      <c r="B2079" s="1">
        <v>46178</v>
      </c>
      <c r="C2079" t="s">
        <v>169</v>
      </c>
      <c r="D2079" s="38">
        <v>6</v>
      </c>
      <c r="E2079" t="s">
        <v>169</v>
      </c>
      <c r="F2079">
        <v>2508993</v>
      </c>
      <c r="G2079" t="s">
        <v>485</v>
      </c>
      <c r="H2079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4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x14ac:dyDescent="0.25">
      <c r="A2080" s="1">
        <v>46178</v>
      </c>
      <c r="B2080" s="1">
        <v>46178</v>
      </c>
      <c r="C2080" t="s">
        <v>169</v>
      </c>
      <c r="D2080" s="38">
        <v>6</v>
      </c>
      <c r="E2080" t="s">
        <v>169</v>
      </c>
      <c r="F2080">
        <v>2508992</v>
      </c>
      <c r="G2080" t="s">
        <v>484</v>
      </c>
      <c r="H2080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4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x14ac:dyDescent="0.25">
      <c r="A2081" s="1">
        <v>46178</v>
      </c>
      <c r="B2081" s="1">
        <v>46178</v>
      </c>
      <c r="C2081" t="s">
        <v>169</v>
      </c>
      <c r="D2081" s="38">
        <v>6</v>
      </c>
      <c r="E2081" t="s">
        <v>169</v>
      </c>
      <c r="F2081">
        <v>2508991</v>
      </c>
      <c r="G2081" t="s">
        <v>483</v>
      </c>
      <c r="H20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4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x14ac:dyDescent="0.25">
      <c r="A2082" s="1">
        <v>46178</v>
      </c>
      <c r="B2082" s="1">
        <v>46178</v>
      </c>
      <c r="C2082" t="s">
        <v>169</v>
      </c>
      <c r="D2082" s="38">
        <v>6</v>
      </c>
      <c r="E2082" t="s">
        <v>169</v>
      </c>
      <c r="F2082">
        <v>2508990</v>
      </c>
      <c r="G2082" t="s">
        <v>482</v>
      </c>
      <c r="H2082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4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x14ac:dyDescent="0.25">
      <c r="A2083" s="1">
        <v>46178</v>
      </c>
      <c r="B2083" s="1">
        <v>46178</v>
      </c>
      <c r="C2083" t="s">
        <v>169</v>
      </c>
      <c r="D2083" s="38">
        <v>6</v>
      </c>
      <c r="E2083" t="s">
        <v>169</v>
      </c>
      <c r="F2083">
        <v>1405025</v>
      </c>
      <c r="G2083" t="s">
        <v>189</v>
      </c>
      <c r="H2083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4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x14ac:dyDescent="0.25">
      <c r="A2084" s="1">
        <v>46178</v>
      </c>
      <c r="B2084" s="1">
        <v>46178</v>
      </c>
      <c r="C2084" t="s">
        <v>169</v>
      </c>
      <c r="D2084" s="38">
        <v>6</v>
      </c>
      <c r="E2084" t="s">
        <v>169</v>
      </c>
      <c r="F2084">
        <v>2508988</v>
      </c>
      <c r="G2084" t="s">
        <v>467</v>
      </c>
      <c r="H2084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4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x14ac:dyDescent="0.25">
      <c r="A2085" s="1">
        <v>46178</v>
      </c>
      <c r="B2085" s="1">
        <v>46178</v>
      </c>
      <c r="C2085" t="s">
        <v>169</v>
      </c>
      <c r="D2085" s="38">
        <v>6</v>
      </c>
      <c r="E2085" t="s">
        <v>169</v>
      </c>
      <c r="F2085">
        <v>2508987</v>
      </c>
      <c r="G2085" t="s">
        <v>305</v>
      </c>
      <c r="H2085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4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x14ac:dyDescent="0.25">
      <c r="A2086" s="1">
        <v>46178</v>
      </c>
      <c r="B2086" s="1">
        <v>46178</v>
      </c>
      <c r="C2086" t="s">
        <v>169</v>
      </c>
      <c r="D2086" s="38">
        <v>6</v>
      </c>
      <c r="E2086" t="s">
        <v>169</v>
      </c>
      <c r="F2086">
        <v>2302119</v>
      </c>
      <c r="G2086" t="s">
        <v>74</v>
      </c>
      <c r="H2086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4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x14ac:dyDescent="0.25">
      <c r="A2087" s="1">
        <v>46178</v>
      </c>
      <c r="B2087" s="1">
        <v>46178</v>
      </c>
      <c r="C2087" t="s">
        <v>169</v>
      </c>
      <c r="D2087" s="38">
        <v>6</v>
      </c>
      <c r="E2087" t="s">
        <v>169</v>
      </c>
      <c r="F2087">
        <v>404252</v>
      </c>
      <c r="G2087" t="s">
        <v>181</v>
      </c>
      <c r="H2087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4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x14ac:dyDescent="0.25">
      <c r="A2088" s="1">
        <v>46178</v>
      </c>
      <c r="B2088" s="1">
        <v>46178</v>
      </c>
      <c r="C2088" t="s">
        <v>169</v>
      </c>
      <c r="D2088" s="38">
        <v>6</v>
      </c>
      <c r="E2088" t="s">
        <v>169</v>
      </c>
      <c r="F2088">
        <v>1802162</v>
      </c>
      <c r="G2088" t="s">
        <v>260</v>
      </c>
      <c r="H2088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4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x14ac:dyDescent="0.25">
      <c r="A2089" s="1">
        <v>46178</v>
      </c>
      <c r="B2089" s="1">
        <v>46178</v>
      </c>
      <c r="C2089" t="s">
        <v>169</v>
      </c>
      <c r="D2089" s="38">
        <v>6</v>
      </c>
      <c r="E2089" t="s">
        <v>169</v>
      </c>
      <c r="F2089">
        <v>1902014</v>
      </c>
      <c r="G2089" t="s">
        <v>316</v>
      </c>
      <c r="H2089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2017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4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x14ac:dyDescent="0.25">
      <c r="A2090" s="1">
        <v>46178</v>
      </c>
      <c r="B2090" s="1">
        <v>46178</v>
      </c>
      <c r="C2090" t="s">
        <v>169</v>
      </c>
      <c r="D2090" s="38">
        <v>6</v>
      </c>
      <c r="E2090" t="s">
        <v>169</v>
      </c>
      <c r="F2090">
        <v>404184</v>
      </c>
      <c r="G2090" t="s">
        <v>66</v>
      </c>
      <c r="H2090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2014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4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x14ac:dyDescent="0.25">
      <c r="A2091" s="1">
        <v>46181</v>
      </c>
      <c r="B2091" s="1">
        <v>46181</v>
      </c>
      <c r="C2091" t="s">
        <v>169</v>
      </c>
      <c r="D2091" s="38">
        <v>6</v>
      </c>
      <c r="E2091" t="s">
        <v>169</v>
      </c>
      <c r="F2091">
        <v>2304002</v>
      </c>
      <c r="G2091" t="s">
        <v>212</v>
      </c>
      <c r="H209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2011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4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x14ac:dyDescent="0.25">
      <c r="A2092" s="1">
        <v>46181</v>
      </c>
      <c r="B2092" s="1">
        <v>46181</v>
      </c>
      <c r="C2092" t="s">
        <v>169</v>
      </c>
      <c r="D2092" s="38">
        <v>6</v>
      </c>
      <c r="E2092" t="s">
        <v>169</v>
      </c>
      <c r="F2092">
        <v>608012</v>
      </c>
      <c r="G2092" t="s">
        <v>2002</v>
      </c>
      <c r="H2092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2019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4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x14ac:dyDescent="0.25">
      <c r="A2093" s="1">
        <v>46181</v>
      </c>
      <c r="B2093" s="1">
        <v>46181</v>
      </c>
      <c r="C2093" t="s">
        <v>169</v>
      </c>
      <c r="D2093" s="38">
        <v>6</v>
      </c>
      <c r="E2093" t="s">
        <v>169</v>
      </c>
      <c r="F2093">
        <v>302046</v>
      </c>
      <c r="G2093" t="s">
        <v>115</v>
      </c>
      <c r="H2093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2017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4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x14ac:dyDescent="0.25">
      <c r="A2094" s="1">
        <v>46181</v>
      </c>
      <c r="B2094" s="1">
        <v>46181</v>
      </c>
      <c r="C2094" t="s">
        <v>169</v>
      </c>
      <c r="D2094" s="38">
        <v>6</v>
      </c>
      <c r="E2094" t="s">
        <v>169</v>
      </c>
      <c r="F2094">
        <v>5314002</v>
      </c>
      <c r="G2094" t="s">
        <v>342</v>
      </c>
      <c r="H2094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4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x14ac:dyDescent="0.25">
      <c r="A2095" s="1">
        <v>46181</v>
      </c>
      <c r="B2095" s="1">
        <v>46181</v>
      </c>
      <c r="C2095" t="s">
        <v>169</v>
      </c>
      <c r="D2095" s="38">
        <v>6</v>
      </c>
      <c r="E2095" t="s">
        <v>169</v>
      </c>
      <c r="F2095">
        <v>1901086</v>
      </c>
      <c r="G2095" t="s">
        <v>279</v>
      </c>
      <c r="H2095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4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x14ac:dyDescent="0.25">
      <c r="A2096" s="1">
        <v>46181</v>
      </c>
      <c r="B2096" s="1">
        <v>46181</v>
      </c>
      <c r="C2096" t="s">
        <v>169</v>
      </c>
      <c r="D2096" s="38">
        <v>6</v>
      </c>
      <c r="E2096" t="s">
        <v>169</v>
      </c>
      <c r="F2096">
        <v>1901038</v>
      </c>
      <c r="G2096" t="s">
        <v>39</v>
      </c>
      <c r="H2096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4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x14ac:dyDescent="0.25">
      <c r="A2097" s="1">
        <v>46181</v>
      </c>
      <c r="B2097" s="1">
        <v>46181</v>
      </c>
      <c r="C2097" t="s">
        <v>169</v>
      </c>
      <c r="D2097" s="38">
        <v>6</v>
      </c>
      <c r="E2097" t="s">
        <v>169</v>
      </c>
      <c r="F2097">
        <v>617055</v>
      </c>
      <c r="G2097" t="s">
        <v>182</v>
      </c>
      <c r="H2097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4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x14ac:dyDescent="0.25">
      <c r="A2098" s="1">
        <v>46181</v>
      </c>
      <c r="B2098" s="1">
        <v>46181</v>
      </c>
      <c r="C2098" t="s">
        <v>169</v>
      </c>
      <c r="D2098" s="38">
        <v>6</v>
      </c>
      <c r="E2098" t="s">
        <v>169</v>
      </c>
      <c r="F2098">
        <v>617057</v>
      </c>
      <c r="G2098" t="s">
        <v>134</v>
      </c>
      <c r="H2098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4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x14ac:dyDescent="0.25">
      <c r="A2099" s="1">
        <v>46181</v>
      </c>
      <c r="B2099" s="1">
        <v>46181</v>
      </c>
      <c r="C2099" t="s">
        <v>169</v>
      </c>
      <c r="D2099" s="38">
        <v>6</v>
      </c>
      <c r="E2099" t="s">
        <v>169</v>
      </c>
      <c r="F2099">
        <v>1610023</v>
      </c>
      <c r="G2099" t="s">
        <v>351</v>
      </c>
      <c r="H2099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4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x14ac:dyDescent="0.25">
      <c r="A2100" s="1">
        <v>46181</v>
      </c>
      <c r="B2100" s="1">
        <v>46181</v>
      </c>
      <c r="C2100" t="s">
        <v>169</v>
      </c>
      <c r="D2100" s="38">
        <v>6</v>
      </c>
      <c r="E2100" t="s">
        <v>169</v>
      </c>
      <c r="F2100">
        <v>304101</v>
      </c>
      <c r="G2100" t="s">
        <v>17</v>
      </c>
      <c r="H2100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4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x14ac:dyDescent="0.25">
      <c r="A2101" s="1">
        <v>46181</v>
      </c>
      <c r="B2101" s="1">
        <v>46181</v>
      </c>
      <c r="C2101" t="s">
        <v>169</v>
      </c>
      <c r="D2101" s="38">
        <v>6</v>
      </c>
      <c r="E2101" t="s">
        <v>169</v>
      </c>
      <c r="F2101">
        <v>106022</v>
      </c>
      <c r="G2101" t="s">
        <v>245</v>
      </c>
      <c r="H210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4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x14ac:dyDescent="0.25">
      <c r="A2102" s="1">
        <v>46181</v>
      </c>
      <c r="B2102" s="1">
        <v>46181</v>
      </c>
      <c r="C2102" t="s">
        <v>169</v>
      </c>
      <c r="D2102" s="38">
        <v>6</v>
      </c>
      <c r="E2102" t="s">
        <v>169</v>
      </c>
      <c r="F2102">
        <v>412630</v>
      </c>
      <c r="G2102" t="s">
        <v>284</v>
      </c>
      <c r="H2102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4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x14ac:dyDescent="0.25">
      <c r="A2103" s="1">
        <v>46181</v>
      </c>
      <c r="B2103" s="1">
        <v>46181</v>
      </c>
      <c r="C2103" t="s">
        <v>169</v>
      </c>
      <c r="D2103" s="38">
        <v>6</v>
      </c>
      <c r="E2103" t="s">
        <v>169</v>
      </c>
      <c r="F2103">
        <v>609008</v>
      </c>
      <c r="G2103" t="s">
        <v>57</v>
      </c>
      <c r="H2103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4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x14ac:dyDescent="0.25">
      <c r="A2104" s="1">
        <v>46181</v>
      </c>
      <c r="B2104" s="1">
        <v>46181</v>
      </c>
      <c r="C2104" t="s">
        <v>169</v>
      </c>
      <c r="D2104" s="38">
        <v>6</v>
      </c>
      <c r="E2104" t="s">
        <v>169</v>
      </c>
      <c r="F2104">
        <v>2302119</v>
      </c>
      <c r="G2104" t="s">
        <v>74</v>
      </c>
      <c r="H2104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2019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4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x14ac:dyDescent="0.25">
      <c r="A2105" s="1">
        <v>46181</v>
      </c>
      <c r="B2105" s="1">
        <v>46181</v>
      </c>
      <c r="C2105" t="s">
        <v>169</v>
      </c>
      <c r="D2105" s="38">
        <v>6</v>
      </c>
      <c r="E2105" t="s">
        <v>169</v>
      </c>
      <c r="F2105">
        <v>1808156</v>
      </c>
      <c r="G2105" t="s">
        <v>277</v>
      </c>
      <c r="H2105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4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x14ac:dyDescent="0.25">
      <c r="A2106" s="1">
        <v>46181</v>
      </c>
      <c r="B2106" s="1">
        <v>46181</v>
      </c>
      <c r="C2106" t="s">
        <v>169</v>
      </c>
      <c r="D2106" s="38">
        <v>6</v>
      </c>
      <c r="E2106" t="s">
        <v>169</v>
      </c>
      <c r="F2106">
        <v>1808006</v>
      </c>
      <c r="G2106" t="s">
        <v>194</v>
      </c>
      <c r="H2106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4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x14ac:dyDescent="0.25">
      <c r="A2107" s="1">
        <v>46181</v>
      </c>
      <c r="B2107" s="1">
        <v>46181</v>
      </c>
      <c r="C2107" t="s">
        <v>169</v>
      </c>
      <c r="D2107" s="38">
        <v>6</v>
      </c>
      <c r="E2107" t="s">
        <v>169</v>
      </c>
      <c r="F2107">
        <v>1808003</v>
      </c>
      <c r="G2107" t="s">
        <v>195</v>
      </c>
      <c r="H2107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4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x14ac:dyDescent="0.25">
      <c r="A2108" s="1">
        <v>46181</v>
      </c>
      <c r="B2108" s="1">
        <v>46181</v>
      </c>
      <c r="C2108" t="s">
        <v>169</v>
      </c>
      <c r="D2108" s="38">
        <v>6</v>
      </c>
      <c r="E2108" t="s">
        <v>169</v>
      </c>
      <c r="F2108">
        <v>1802172</v>
      </c>
      <c r="G2108" t="s">
        <v>266</v>
      </c>
      <c r="H2108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4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x14ac:dyDescent="0.25">
      <c r="A2109" s="1">
        <v>46181</v>
      </c>
      <c r="B2109" s="1">
        <v>46181</v>
      </c>
      <c r="C2109" t="s">
        <v>169</v>
      </c>
      <c r="D2109" s="38">
        <v>6</v>
      </c>
      <c r="E2109" t="s">
        <v>169</v>
      </c>
      <c r="F2109">
        <v>1802171</v>
      </c>
      <c r="G2109" t="s">
        <v>265</v>
      </c>
      <c r="H2109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4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x14ac:dyDescent="0.25">
      <c r="A2110" s="1">
        <v>46181</v>
      </c>
      <c r="B2110" s="1">
        <v>46181</v>
      </c>
      <c r="C2110" t="s">
        <v>169</v>
      </c>
      <c r="D2110" s="38">
        <v>6</v>
      </c>
      <c r="E2110" t="s">
        <v>169</v>
      </c>
      <c r="F2110">
        <v>1206002</v>
      </c>
      <c r="G2110" t="s">
        <v>192</v>
      </c>
      <c r="H2110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4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x14ac:dyDescent="0.25">
      <c r="A2111" s="1">
        <v>46181</v>
      </c>
      <c r="B2111" s="1">
        <v>46181</v>
      </c>
      <c r="C2111" t="s">
        <v>169</v>
      </c>
      <c r="D2111" s="38">
        <v>6</v>
      </c>
      <c r="E2111" t="s">
        <v>169</v>
      </c>
      <c r="F2111">
        <v>617057</v>
      </c>
      <c r="G2111" t="s">
        <v>134</v>
      </c>
      <c r="H211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4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x14ac:dyDescent="0.25">
      <c r="A2112" s="1">
        <v>46181</v>
      </c>
      <c r="B2112" s="1">
        <v>46181</v>
      </c>
      <c r="C2112" t="s">
        <v>169</v>
      </c>
      <c r="D2112" s="38">
        <v>6</v>
      </c>
      <c r="E2112" t="s">
        <v>169</v>
      </c>
      <c r="F2112">
        <v>617055</v>
      </c>
      <c r="G2112" t="s">
        <v>182</v>
      </c>
      <c r="H2112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4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x14ac:dyDescent="0.25">
      <c r="A2113" s="1">
        <v>46181</v>
      </c>
      <c r="B2113" s="1">
        <v>46181</v>
      </c>
      <c r="C2113" t="s">
        <v>169</v>
      </c>
      <c r="D2113" s="38">
        <v>6</v>
      </c>
      <c r="E2113" t="s">
        <v>169</v>
      </c>
      <c r="F2113">
        <v>617016</v>
      </c>
      <c r="G2113" t="s">
        <v>133</v>
      </c>
      <c r="H2113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4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x14ac:dyDescent="0.25">
      <c r="A2114" s="1">
        <v>46181</v>
      </c>
      <c r="B2114" s="1">
        <v>46181</v>
      </c>
      <c r="C2114" t="s">
        <v>169</v>
      </c>
      <c r="D2114" s="38">
        <v>6</v>
      </c>
      <c r="E2114" t="s">
        <v>169</v>
      </c>
      <c r="F2114">
        <v>307030</v>
      </c>
      <c r="G2114" t="s">
        <v>64</v>
      </c>
      <c r="H2114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4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x14ac:dyDescent="0.25">
      <c r="A2115" s="1">
        <v>46181</v>
      </c>
      <c r="B2115" s="1">
        <v>46181</v>
      </c>
      <c r="C2115" t="s">
        <v>169</v>
      </c>
      <c r="D2115" s="38">
        <v>6</v>
      </c>
      <c r="E2115" t="s">
        <v>169</v>
      </c>
      <c r="F2115">
        <v>307096</v>
      </c>
      <c r="G2115" t="s">
        <v>249</v>
      </c>
      <c r="H2115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4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x14ac:dyDescent="0.25">
      <c r="A2116" s="1">
        <v>46181</v>
      </c>
      <c r="B2116" s="1">
        <v>46181</v>
      </c>
      <c r="C2116" t="s">
        <v>169</v>
      </c>
      <c r="D2116" s="38">
        <v>6</v>
      </c>
      <c r="E2116" t="s">
        <v>169</v>
      </c>
      <c r="F2116">
        <v>307032</v>
      </c>
      <c r="G2116" t="s">
        <v>186</v>
      </c>
      <c r="H2116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4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x14ac:dyDescent="0.25">
      <c r="A2117" s="1">
        <v>46181</v>
      </c>
      <c r="B2117" s="1">
        <v>46181</v>
      </c>
      <c r="C2117" t="s">
        <v>169</v>
      </c>
      <c r="D2117" s="38">
        <v>6</v>
      </c>
      <c r="E2117" t="s">
        <v>169</v>
      </c>
      <c r="F2117">
        <v>407185</v>
      </c>
      <c r="G2117" t="s">
        <v>43</v>
      </c>
      <c r="H2117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2011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4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x14ac:dyDescent="0.25">
      <c r="A2118" s="1">
        <v>46181</v>
      </c>
      <c r="B2118" s="1">
        <v>46181</v>
      </c>
      <c r="C2118" t="s">
        <v>169</v>
      </c>
      <c r="D2118" s="38">
        <v>6</v>
      </c>
      <c r="E2118" t="s">
        <v>169</v>
      </c>
      <c r="F2118">
        <v>407423</v>
      </c>
      <c r="G2118" t="s">
        <v>106</v>
      </c>
      <c r="H2118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4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x14ac:dyDescent="0.25">
      <c r="A2119" s="1">
        <v>46181</v>
      </c>
      <c r="B2119" s="1">
        <v>46181</v>
      </c>
      <c r="C2119" t="s">
        <v>169</v>
      </c>
      <c r="D2119" s="38">
        <v>6</v>
      </c>
      <c r="E2119" t="s">
        <v>169</v>
      </c>
      <c r="F2119">
        <v>602254</v>
      </c>
      <c r="G2119" t="s">
        <v>214</v>
      </c>
      <c r="H2119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2011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4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x14ac:dyDescent="0.25">
      <c r="A2120" s="1">
        <v>46181</v>
      </c>
      <c r="B2120" s="1">
        <v>46181</v>
      </c>
      <c r="C2120" t="s">
        <v>169</v>
      </c>
      <c r="D2120" s="38">
        <v>6</v>
      </c>
      <c r="E2120" t="s">
        <v>169</v>
      </c>
      <c r="F2120">
        <v>704079</v>
      </c>
      <c r="G2120" t="s">
        <v>209</v>
      </c>
      <c r="H2120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4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x14ac:dyDescent="0.25">
      <c r="A2121" s="1">
        <v>46181</v>
      </c>
      <c r="B2121" s="1">
        <v>46181</v>
      </c>
      <c r="C2121" t="s">
        <v>169</v>
      </c>
      <c r="D2121" s="38">
        <v>6</v>
      </c>
      <c r="E2121" t="s">
        <v>169</v>
      </c>
      <c r="F2121">
        <v>2304053</v>
      </c>
      <c r="G2121" t="s">
        <v>213</v>
      </c>
      <c r="H212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4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x14ac:dyDescent="0.25">
      <c r="A2122" s="1">
        <v>46181</v>
      </c>
      <c r="B2122" s="1">
        <v>46181</v>
      </c>
      <c r="C2122" t="s">
        <v>169</v>
      </c>
      <c r="D2122" s="38">
        <v>6</v>
      </c>
      <c r="E2122" t="s">
        <v>169</v>
      </c>
      <c r="F2122">
        <v>106022</v>
      </c>
      <c r="G2122" t="s">
        <v>245</v>
      </c>
      <c r="H2122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4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x14ac:dyDescent="0.25">
      <c r="A2123" s="1">
        <v>46181</v>
      </c>
      <c r="B2123" s="1">
        <v>46181</v>
      </c>
      <c r="C2123" t="s">
        <v>169</v>
      </c>
      <c r="D2123" s="38">
        <v>6</v>
      </c>
      <c r="E2123" t="s">
        <v>169</v>
      </c>
      <c r="F2123">
        <v>2302119</v>
      </c>
      <c r="G2123" t="s">
        <v>74</v>
      </c>
      <c r="H2123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4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x14ac:dyDescent="0.25">
      <c r="A2124" s="1">
        <v>46181</v>
      </c>
      <c r="B2124" s="1">
        <v>46181</v>
      </c>
      <c r="C2124" t="s">
        <v>169</v>
      </c>
      <c r="D2124" s="38">
        <v>6</v>
      </c>
      <c r="E2124" t="s">
        <v>169</v>
      </c>
      <c r="F2124">
        <v>1610023</v>
      </c>
      <c r="G2124" t="s">
        <v>351</v>
      </c>
      <c r="H2124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4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x14ac:dyDescent="0.25">
      <c r="A2125" s="1">
        <v>46181</v>
      </c>
      <c r="B2125" s="1">
        <v>46181</v>
      </c>
      <c r="C2125" t="s">
        <v>169</v>
      </c>
      <c r="D2125" s="38">
        <v>6</v>
      </c>
      <c r="E2125" t="s">
        <v>169</v>
      </c>
      <c r="F2125">
        <v>307032</v>
      </c>
      <c r="G2125" t="s">
        <v>186</v>
      </c>
      <c r="H2125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4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x14ac:dyDescent="0.25">
      <c r="A2126" s="1">
        <v>46181</v>
      </c>
      <c r="B2126" s="1">
        <v>46181</v>
      </c>
      <c r="C2126" t="s">
        <v>169</v>
      </c>
      <c r="D2126" s="38">
        <v>6</v>
      </c>
      <c r="E2126" t="s">
        <v>169</v>
      </c>
      <c r="F2126">
        <v>307096</v>
      </c>
      <c r="G2126" t="s">
        <v>249</v>
      </c>
      <c r="H2126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4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x14ac:dyDescent="0.25">
      <c r="A2127" s="1">
        <v>46181</v>
      </c>
      <c r="B2127" s="1">
        <v>46181</v>
      </c>
      <c r="C2127" t="s">
        <v>169</v>
      </c>
      <c r="D2127" s="38">
        <v>6</v>
      </c>
      <c r="E2127" t="s">
        <v>169</v>
      </c>
      <c r="F2127">
        <v>307031</v>
      </c>
      <c r="G2127" t="s">
        <v>65</v>
      </c>
      <c r="H2127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4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x14ac:dyDescent="0.25">
      <c r="A2128" s="1">
        <v>46181</v>
      </c>
      <c r="B2128" s="1">
        <v>46181</v>
      </c>
      <c r="C2128" t="s">
        <v>169</v>
      </c>
      <c r="D2128" s="38">
        <v>6</v>
      </c>
      <c r="E2128" t="s">
        <v>169</v>
      </c>
      <c r="F2128">
        <v>704022</v>
      </c>
      <c r="G2128" t="s">
        <v>330</v>
      </c>
      <c r="H2128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4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x14ac:dyDescent="0.25">
      <c r="A2129" s="1">
        <v>46181</v>
      </c>
      <c r="B2129" s="1">
        <v>46181</v>
      </c>
      <c r="C2129" t="s">
        <v>169</v>
      </c>
      <c r="D2129" s="38">
        <v>6</v>
      </c>
      <c r="E2129" t="s">
        <v>169</v>
      </c>
      <c r="F2129">
        <v>704024</v>
      </c>
      <c r="G2129" t="s">
        <v>332</v>
      </c>
      <c r="H2129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4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x14ac:dyDescent="0.25">
      <c r="A2130" s="1">
        <v>46181</v>
      </c>
      <c r="B2130" s="1">
        <v>46181</v>
      </c>
      <c r="C2130" t="s">
        <v>169</v>
      </c>
      <c r="D2130" s="38">
        <v>6</v>
      </c>
      <c r="E2130" t="s">
        <v>169</v>
      </c>
      <c r="F2130">
        <v>2508991</v>
      </c>
      <c r="G2130" t="s">
        <v>483</v>
      </c>
      <c r="H2130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4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x14ac:dyDescent="0.25">
      <c r="A2131" s="1">
        <v>46181</v>
      </c>
      <c r="B2131" s="1">
        <v>46181</v>
      </c>
      <c r="C2131" t="s">
        <v>169</v>
      </c>
      <c r="D2131" s="38">
        <v>6</v>
      </c>
      <c r="E2131" t="s">
        <v>169</v>
      </c>
      <c r="F2131">
        <v>404252</v>
      </c>
      <c r="G2131" t="s">
        <v>181</v>
      </c>
      <c r="H213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4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x14ac:dyDescent="0.25">
      <c r="A2132" s="1">
        <v>46181</v>
      </c>
      <c r="B2132" s="1">
        <v>46181</v>
      </c>
      <c r="C2132" t="s">
        <v>169</v>
      </c>
      <c r="D2132" s="38">
        <v>6</v>
      </c>
      <c r="E2132" t="s">
        <v>169</v>
      </c>
      <c r="F2132">
        <v>1103074</v>
      </c>
      <c r="G2132" t="s">
        <v>310</v>
      </c>
      <c r="H2132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4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x14ac:dyDescent="0.25">
      <c r="A2133" s="1">
        <v>46181</v>
      </c>
      <c r="B2133" s="1">
        <v>46181</v>
      </c>
      <c r="C2133" t="s">
        <v>169</v>
      </c>
      <c r="D2133" s="38">
        <v>6</v>
      </c>
      <c r="E2133" t="s">
        <v>169</v>
      </c>
      <c r="F2133">
        <v>1103076</v>
      </c>
      <c r="G2133" t="s">
        <v>311</v>
      </c>
      <c r="H2133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4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x14ac:dyDescent="0.25">
      <c r="A2134" s="1">
        <v>46181</v>
      </c>
      <c r="B2134" s="1">
        <v>46181</v>
      </c>
      <c r="C2134" t="s">
        <v>169</v>
      </c>
      <c r="D2134" s="38">
        <v>6</v>
      </c>
      <c r="E2134" t="s">
        <v>169</v>
      </c>
      <c r="F2134">
        <v>404184</v>
      </c>
      <c r="G2134" t="s">
        <v>66</v>
      </c>
      <c r="H2134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4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x14ac:dyDescent="0.25">
      <c r="A2135" s="1">
        <v>46182</v>
      </c>
      <c r="B2135" s="1">
        <v>46182</v>
      </c>
      <c r="C2135" t="s">
        <v>169</v>
      </c>
      <c r="D2135" s="38">
        <v>6</v>
      </c>
      <c r="E2135" t="s">
        <v>169</v>
      </c>
      <c r="F2135">
        <v>404792</v>
      </c>
      <c r="G2135" t="s">
        <v>2003</v>
      </c>
      <c r="H2135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2017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4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x14ac:dyDescent="0.25">
      <c r="A2136" s="1">
        <v>46182</v>
      </c>
      <c r="B2136" s="1">
        <v>46182</v>
      </c>
      <c r="C2136" t="s">
        <v>169</v>
      </c>
      <c r="D2136" s="38">
        <v>6</v>
      </c>
      <c r="E2136" t="s">
        <v>169</v>
      </c>
      <c r="F2136">
        <v>2505058</v>
      </c>
      <c r="G2136" t="s">
        <v>142</v>
      </c>
      <c r="H2136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2019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4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x14ac:dyDescent="0.25">
      <c r="A2137" s="1">
        <v>46182</v>
      </c>
      <c r="B2137" s="1">
        <v>46182</v>
      </c>
      <c r="C2137" t="s">
        <v>169</v>
      </c>
      <c r="D2137" s="38">
        <v>6</v>
      </c>
      <c r="E2137" t="s">
        <v>169</v>
      </c>
      <c r="F2137">
        <v>705028</v>
      </c>
      <c r="G2137" t="s">
        <v>72</v>
      </c>
      <c r="H2137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4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x14ac:dyDescent="0.25">
      <c r="A2138" s="1">
        <v>46182</v>
      </c>
      <c r="B2138" s="1">
        <v>46182</v>
      </c>
      <c r="C2138" t="s">
        <v>169</v>
      </c>
      <c r="D2138" s="38">
        <v>6</v>
      </c>
      <c r="E2138" t="s">
        <v>169</v>
      </c>
      <c r="F2138">
        <v>1801735</v>
      </c>
      <c r="G2138" t="s">
        <v>73</v>
      </c>
      <c r="H2138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4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x14ac:dyDescent="0.25">
      <c r="A2139" s="1">
        <v>46182</v>
      </c>
      <c r="B2139" s="1">
        <v>46182</v>
      </c>
      <c r="C2139" t="s">
        <v>169</v>
      </c>
      <c r="D2139" s="38">
        <v>6</v>
      </c>
      <c r="E2139" t="s">
        <v>169</v>
      </c>
      <c r="F2139">
        <v>1103074</v>
      </c>
      <c r="G2139" t="s">
        <v>310</v>
      </c>
      <c r="H2139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4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x14ac:dyDescent="0.25">
      <c r="A2140" s="1">
        <v>46182</v>
      </c>
      <c r="B2140" s="1">
        <v>46182</v>
      </c>
      <c r="C2140" t="s">
        <v>169</v>
      </c>
      <c r="D2140" s="38">
        <v>6</v>
      </c>
      <c r="E2140" t="s">
        <v>169</v>
      </c>
      <c r="F2140">
        <v>1103076</v>
      </c>
      <c r="G2140" t="s">
        <v>311</v>
      </c>
      <c r="H2140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4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x14ac:dyDescent="0.25">
      <c r="A2141" s="1">
        <v>46182</v>
      </c>
      <c r="B2141" s="1">
        <v>46182</v>
      </c>
      <c r="C2141" t="s">
        <v>169</v>
      </c>
      <c r="D2141" s="38">
        <v>6</v>
      </c>
      <c r="E2141" t="s">
        <v>169</v>
      </c>
      <c r="F2141">
        <v>1802162</v>
      </c>
      <c r="G2141" t="s">
        <v>260</v>
      </c>
      <c r="H214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4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x14ac:dyDescent="0.25">
      <c r="A2142" s="1">
        <v>46182</v>
      </c>
      <c r="B2142" s="1">
        <v>46182</v>
      </c>
      <c r="C2142" t="s">
        <v>169</v>
      </c>
      <c r="D2142" s="38">
        <v>6</v>
      </c>
      <c r="E2142" t="s">
        <v>169</v>
      </c>
      <c r="F2142">
        <v>704021</v>
      </c>
      <c r="G2142" t="s">
        <v>329</v>
      </c>
      <c r="H2142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2011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4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x14ac:dyDescent="0.25">
      <c r="A2143" s="1">
        <v>46182</v>
      </c>
      <c r="B2143" s="1">
        <v>46182</v>
      </c>
      <c r="C2143" t="s">
        <v>169</v>
      </c>
      <c r="D2143" s="38">
        <v>6</v>
      </c>
      <c r="E2143" t="s">
        <v>169</v>
      </c>
      <c r="F2143">
        <v>408034</v>
      </c>
      <c r="G2143" t="s">
        <v>250</v>
      </c>
      <c r="H2143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2017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4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x14ac:dyDescent="0.25">
      <c r="A2144" s="1">
        <v>46182</v>
      </c>
      <c r="B2144" s="1">
        <v>46182</v>
      </c>
      <c r="C2144" t="s">
        <v>169</v>
      </c>
      <c r="D2144" s="38">
        <v>6</v>
      </c>
      <c r="E2144" t="s">
        <v>169</v>
      </c>
      <c r="F2144">
        <v>704021</v>
      </c>
      <c r="G2144" t="s">
        <v>329</v>
      </c>
      <c r="H2144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4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x14ac:dyDescent="0.25">
      <c r="A2145" s="1">
        <v>46182</v>
      </c>
      <c r="B2145" s="1">
        <v>46182</v>
      </c>
      <c r="C2145" t="s">
        <v>169</v>
      </c>
      <c r="D2145" s="38">
        <v>6</v>
      </c>
      <c r="E2145" t="s">
        <v>169</v>
      </c>
      <c r="F2145">
        <v>704025</v>
      </c>
      <c r="G2145" t="s">
        <v>333</v>
      </c>
      <c r="H2145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4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x14ac:dyDescent="0.25">
      <c r="A2146" s="1">
        <v>46182</v>
      </c>
      <c r="B2146" s="1">
        <v>46182</v>
      </c>
      <c r="C2146" t="s">
        <v>169</v>
      </c>
      <c r="D2146" s="38">
        <v>6</v>
      </c>
      <c r="E2146" t="s">
        <v>169</v>
      </c>
      <c r="F2146">
        <v>704023</v>
      </c>
      <c r="G2146" t="s">
        <v>331</v>
      </c>
      <c r="H2146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4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x14ac:dyDescent="0.25">
      <c r="A2147" s="1">
        <v>46182</v>
      </c>
      <c r="B2147" s="1">
        <v>46182</v>
      </c>
      <c r="C2147" t="s">
        <v>169</v>
      </c>
      <c r="D2147" s="38">
        <v>6</v>
      </c>
      <c r="E2147" t="s">
        <v>169</v>
      </c>
      <c r="F2147">
        <v>704024</v>
      </c>
      <c r="G2147" t="s">
        <v>332</v>
      </c>
      <c r="H2147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4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x14ac:dyDescent="0.25">
      <c r="A2148" s="1">
        <v>46182</v>
      </c>
      <c r="B2148" s="1">
        <v>46182</v>
      </c>
      <c r="C2148" t="s">
        <v>169</v>
      </c>
      <c r="D2148" s="38">
        <v>6</v>
      </c>
      <c r="E2148" t="s">
        <v>169</v>
      </c>
      <c r="F2148">
        <v>2304053</v>
      </c>
      <c r="G2148" t="s">
        <v>213</v>
      </c>
      <c r="H2148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4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x14ac:dyDescent="0.25">
      <c r="A2149" s="1">
        <v>46182</v>
      </c>
      <c r="B2149" s="1">
        <v>46182</v>
      </c>
      <c r="C2149" t="s">
        <v>169</v>
      </c>
      <c r="D2149" s="38">
        <v>6</v>
      </c>
      <c r="E2149" t="s">
        <v>169</v>
      </c>
      <c r="F2149">
        <v>1801230</v>
      </c>
      <c r="G2149" t="s">
        <v>51</v>
      </c>
      <c r="H2149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4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x14ac:dyDescent="0.25">
      <c r="A2150" s="1">
        <v>46182</v>
      </c>
      <c r="B2150" s="1">
        <v>46182</v>
      </c>
      <c r="C2150" t="s">
        <v>169</v>
      </c>
      <c r="D2150" s="38">
        <v>6</v>
      </c>
      <c r="E2150" t="s">
        <v>169</v>
      </c>
      <c r="F2150">
        <v>407011</v>
      </c>
      <c r="G2150" t="s">
        <v>30</v>
      </c>
      <c r="H2150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4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x14ac:dyDescent="0.25">
      <c r="A2151" s="1">
        <v>46182</v>
      </c>
      <c r="B2151" s="1">
        <v>46182</v>
      </c>
      <c r="C2151" t="s">
        <v>169</v>
      </c>
      <c r="D2151" s="38">
        <v>6</v>
      </c>
      <c r="E2151" t="s">
        <v>169</v>
      </c>
      <c r="F2151">
        <v>701096</v>
      </c>
      <c r="G2151" t="s">
        <v>204</v>
      </c>
      <c r="H215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4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x14ac:dyDescent="0.25">
      <c r="A2152" s="1">
        <v>46182</v>
      </c>
      <c r="B2152" s="1">
        <v>46182</v>
      </c>
      <c r="C2152" t="s">
        <v>169</v>
      </c>
      <c r="D2152" s="38">
        <v>6</v>
      </c>
      <c r="E2152" t="s">
        <v>169</v>
      </c>
      <c r="F2152">
        <v>412301</v>
      </c>
      <c r="G2152" t="s">
        <v>327</v>
      </c>
      <c r="H2152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4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x14ac:dyDescent="0.25">
      <c r="A2153" s="1">
        <v>46182</v>
      </c>
      <c r="B2153" s="1">
        <v>46182</v>
      </c>
      <c r="C2153" t="s">
        <v>169</v>
      </c>
      <c r="D2153" s="38">
        <v>6</v>
      </c>
      <c r="E2153" t="s">
        <v>169</v>
      </c>
      <c r="F2153">
        <v>412302</v>
      </c>
      <c r="G2153" t="s">
        <v>165</v>
      </c>
      <c r="H2153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4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x14ac:dyDescent="0.25">
      <c r="A2154" s="1">
        <v>46182</v>
      </c>
      <c r="B2154" s="1">
        <v>46182</v>
      </c>
      <c r="C2154" t="s">
        <v>169</v>
      </c>
      <c r="D2154" s="38">
        <v>6</v>
      </c>
      <c r="E2154" t="s">
        <v>169</v>
      </c>
      <c r="F2154">
        <v>1405006</v>
      </c>
      <c r="G2154" t="s">
        <v>199</v>
      </c>
      <c r="H2154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4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x14ac:dyDescent="0.25">
      <c r="A2155" s="1">
        <v>46183</v>
      </c>
      <c r="B2155" s="1">
        <v>46183</v>
      </c>
      <c r="C2155" t="s">
        <v>169</v>
      </c>
      <c r="D2155" s="38">
        <v>6</v>
      </c>
      <c r="E2155" t="s">
        <v>169</v>
      </c>
      <c r="F2155" t="s">
        <v>94</v>
      </c>
      <c r="G2155" t="s">
        <v>95</v>
      </c>
      <c r="H2155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2019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4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x14ac:dyDescent="0.25">
      <c r="A2156" s="1">
        <v>46183</v>
      </c>
      <c r="B2156" s="1">
        <v>46183</v>
      </c>
      <c r="C2156" t="s">
        <v>169</v>
      </c>
      <c r="D2156" s="38">
        <v>6</v>
      </c>
      <c r="E2156" t="s">
        <v>169</v>
      </c>
      <c r="F2156">
        <v>2508987</v>
      </c>
      <c r="G2156" t="s">
        <v>305</v>
      </c>
      <c r="H2156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4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x14ac:dyDescent="0.25">
      <c r="A2157" s="1">
        <v>46183</v>
      </c>
      <c r="B2157" s="1">
        <v>46183</v>
      </c>
      <c r="C2157" t="s">
        <v>169</v>
      </c>
      <c r="D2157" s="38">
        <v>6</v>
      </c>
      <c r="E2157" t="s">
        <v>169</v>
      </c>
      <c r="F2157">
        <v>2508988</v>
      </c>
      <c r="G2157" t="s">
        <v>467</v>
      </c>
      <c r="H2157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4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x14ac:dyDescent="0.25">
      <c r="A2158" s="1">
        <v>46183</v>
      </c>
      <c r="B2158" s="1">
        <v>46183</v>
      </c>
      <c r="C2158" t="s">
        <v>169</v>
      </c>
      <c r="D2158" s="38">
        <v>6</v>
      </c>
      <c r="E2158" t="s">
        <v>169</v>
      </c>
      <c r="F2158">
        <v>2508990</v>
      </c>
      <c r="G2158" t="s">
        <v>482</v>
      </c>
      <c r="H2158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4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x14ac:dyDescent="0.25">
      <c r="A2159" s="1">
        <v>46183</v>
      </c>
      <c r="B2159" s="1">
        <v>46183</v>
      </c>
      <c r="C2159" t="s">
        <v>169</v>
      </c>
      <c r="D2159" s="38">
        <v>6</v>
      </c>
      <c r="E2159" t="s">
        <v>169</v>
      </c>
      <c r="F2159">
        <v>2508991</v>
      </c>
      <c r="G2159" t="s">
        <v>483</v>
      </c>
      <c r="H2159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4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x14ac:dyDescent="0.25">
      <c r="A2160" s="1">
        <v>46183</v>
      </c>
      <c r="B2160" s="1">
        <v>46183</v>
      </c>
      <c r="C2160" t="s">
        <v>169</v>
      </c>
      <c r="D2160" s="38">
        <v>6</v>
      </c>
      <c r="E2160" t="s">
        <v>169</v>
      </c>
      <c r="F2160">
        <v>2508992</v>
      </c>
      <c r="G2160" t="s">
        <v>484</v>
      </c>
      <c r="H2160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4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x14ac:dyDescent="0.25">
      <c r="A2161" s="1">
        <v>46183</v>
      </c>
      <c r="B2161" s="1">
        <v>46183</v>
      </c>
      <c r="C2161" t="s">
        <v>169</v>
      </c>
      <c r="D2161" s="38">
        <v>6</v>
      </c>
      <c r="E2161" t="s">
        <v>169</v>
      </c>
      <c r="F2161">
        <v>2508993</v>
      </c>
      <c r="G2161" t="s">
        <v>485</v>
      </c>
      <c r="H216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4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x14ac:dyDescent="0.25">
      <c r="A2162" s="1">
        <v>46183</v>
      </c>
      <c r="B2162" s="1">
        <v>46183</v>
      </c>
      <c r="C2162" t="s">
        <v>169</v>
      </c>
      <c r="D2162" s="38">
        <v>6</v>
      </c>
      <c r="E2162" t="s">
        <v>169</v>
      </c>
      <c r="F2162">
        <v>307096</v>
      </c>
      <c r="G2162" t="s">
        <v>249</v>
      </c>
      <c r="H2162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4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x14ac:dyDescent="0.25">
      <c r="A2163" s="1">
        <v>46183</v>
      </c>
      <c r="B2163" s="1">
        <v>46183</v>
      </c>
      <c r="C2163" t="s">
        <v>169</v>
      </c>
      <c r="D2163" s="38">
        <v>6</v>
      </c>
      <c r="E2163" t="s">
        <v>169</v>
      </c>
      <c r="F2163">
        <v>1802103</v>
      </c>
      <c r="G2163" t="s">
        <v>2006</v>
      </c>
      <c r="H2163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2017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4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x14ac:dyDescent="0.25">
      <c r="A2164" s="1">
        <v>46183</v>
      </c>
      <c r="B2164" s="1">
        <v>46183</v>
      </c>
      <c r="C2164" t="s">
        <v>169</v>
      </c>
      <c r="D2164" s="38">
        <v>6</v>
      </c>
      <c r="E2164" t="s">
        <v>169</v>
      </c>
      <c r="F2164" t="s">
        <v>82</v>
      </c>
      <c r="G2164" t="s">
        <v>83</v>
      </c>
      <c r="H2164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4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x14ac:dyDescent="0.25">
      <c r="A2165" s="1">
        <v>46183</v>
      </c>
      <c r="B2165" s="1">
        <v>46183</v>
      </c>
      <c r="C2165" t="s">
        <v>169</v>
      </c>
      <c r="D2165" s="38">
        <v>6</v>
      </c>
      <c r="E2165" t="s">
        <v>169</v>
      </c>
      <c r="F2165">
        <v>1902013</v>
      </c>
      <c r="G2165" t="s">
        <v>338</v>
      </c>
      <c r="H2165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4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x14ac:dyDescent="0.25">
      <c r="A2166" s="1">
        <v>46183</v>
      </c>
      <c r="B2166" s="1">
        <v>46183</v>
      </c>
      <c r="C2166" t="s">
        <v>169</v>
      </c>
      <c r="D2166" s="38">
        <v>6</v>
      </c>
      <c r="E2166" t="s">
        <v>169</v>
      </c>
      <c r="F2166">
        <v>404745</v>
      </c>
      <c r="G2166" t="s">
        <v>442</v>
      </c>
      <c r="H2166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4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x14ac:dyDescent="0.25">
      <c r="A2167" s="1">
        <v>46183</v>
      </c>
      <c r="B2167" s="1">
        <v>46183</v>
      </c>
      <c r="C2167" t="s">
        <v>169</v>
      </c>
      <c r="D2167" s="38">
        <v>6</v>
      </c>
      <c r="E2167" t="s">
        <v>169</v>
      </c>
      <c r="F2167">
        <v>407427</v>
      </c>
      <c r="G2167" t="s">
        <v>172</v>
      </c>
      <c r="H2167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4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x14ac:dyDescent="0.25">
      <c r="A2168" s="1">
        <v>46183</v>
      </c>
      <c r="B2168" s="1">
        <v>46183</v>
      </c>
      <c r="C2168" t="s">
        <v>169</v>
      </c>
      <c r="D2168" s="38">
        <v>6</v>
      </c>
      <c r="E2168" t="s">
        <v>169</v>
      </c>
      <c r="F2168">
        <v>2302118</v>
      </c>
      <c r="G2168" t="s">
        <v>228</v>
      </c>
      <c r="H2168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4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x14ac:dyDescent="0.25">
      <c r="A2169" s="1">
        <v>46183</v>
      </c>
      <c r="B2169" s="1">
        <v>46183</v>
      </c>
      <c r="C2169" t="s">
        <v>169</v>
      </c>
      <c r="D2169" s="38">
        <v>6</v>
      </c>
      <c r="E2169" t="s">
        <v>169</v>
      </c>
      <c r="F2169">
        <v>407423</v>
      </c>
      <c r="G2169" t="s">
        <v>106</v>
      </c>
      <c r="H2169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4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x14ac:dyDescent="0.25">
      <c r="A2170" s="1">
        <v>46183</v>
      </c>
      <c r="B2170" s="1">
        <v>46183</v>
      </c>
      <c r="C2170" t="s">
        <v>169</v>
      </c>
      <c r="D2170" s="38">
        <v>6</v>
      </c>
      <c r="E2170" t="s">
        <v>169</v>
      </c>
      <c r="F2170" t="s">
        <v>450</v>
      </c>
      <c r="G2170" t="s">
        <v>451</v>
      </c>
      <c r="H2170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4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x14ac:dyDescent="0.25">
      <c r="A2171" s="1">
        <v>46184</v>
      </c>
      <c r="B2171" s="1">
        <v>46184</v>
      </c>
      <c r="C2171" t="s">
        <v>169</v>
      </c>
      <c r="D2171" s="38">
        <v>6</v>
      </c>
      <c r="E2171" t="s">
        <v>169</v>
      </c>
      <c r="F2171">
        <v>1803044</v>
      </c>
      <c r="G2171" t="s">
        <v>336</v>
      </c>
      <c r="H217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2008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4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x14ac:dyDescent="0.25">
      <c r="A2172" s="1">
        <v>46184</v>
      </c>
      <c r="B2172" s="1">
        <v>46184</v>
      </c>
      <c r="C2172" t="s">
        <v>169</v>
      </c>
      <c r="D2172" s="38">
        <v>6</v>
      </c>
      <c r="E2172" t="s">
        <v>169</v>
      </c>
      <c r="F2172">
        <v>1803045</v>
      </c>
      <c r="G2172" t="s">
        <v>337</v>
      </c>
      <c r="H2172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4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x14ac:dyDescent="0.25">
      <c r="A2173" s="1">
        <v>46184</v>
      </c>
      <c r="B2173" s="1">
        <v>46184</v>
      </c>
      <c r="C2173" t="s">
        <v>169</v>
      </c>
      <c r="D2173" s="38">
        <v>6</v>
      </c>
      <c r="E2173" t="s">
        <v>169</v>
      </c>
      <c r="F2173">
        <v>2304053</v>
      </c>
      <c r="G2173" t="s">
        <v>213</v>
      </c>
      <c r="H2173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4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x14ac:dyDescent="0.25">
      <c r="A2174" s="1">
        <v>46184</v>
      </c>
      <c r="B2174" s="1">
        <v>46184</v>
      </c>
      <c r="C2174" t="s">
        <v>169</v>
      </c>
      <c r="D2174" s="38">
        <v>6</v>
      </c>
      <c r="E2174" t="s">
        <v>169</v>
      </c>
      <c r="F2174">
        <v>2302119</v>
      </c>
      <c r="G2174" t="s">
        <v>74</v>
      </c>
      <c r="H2174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4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x14ac:dyDescent="0.25">
      <c r="A2175" s="1">
        <v>46184</v>
      </c>
      <c r="B2175" s="1">
        <v>46184</v>
      </c>
      <c r="C2175" t="s">
        <v>169</v>
      </c>
      <c r="D2175" s="38">
        <v>6</v>
      </c>
      <c r="E2175" t="s">
        <v>169</v>
      </c>
      <c r="F2175">
        <v>2304002</v>
      </c>
      <c r="G2175" t="s">
        <v>212</v>
      </c>
      <c r="H2175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4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x14ac:dyDescent="0.25">
      <c r="A2176" s="1">
        <v>46184</v>
      </c>
      <c r="B2176" s="1">
        <v>46184</v>
      </c>
      <c r="C2176" t="s">
        <v>169</v>
      </c>
      <c r="D2176" s="38">
        <v>6</v>
      </c>
      <c r="E2176" t="s">
        <v>169</v>
      </c>
      <c r="F2176">
        <v>2304008</v>
      </c>
      <c r="G2176" t="s">
        <v>704</v>
      </c>
      <c r="H2176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4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x14ac:dyDescent="0.25">
      <c r="A2177" s="1">
        <v>46184</v>
      </c>
      <c r="B2177" s="1">
        <v>46184</v>
      </c>
      <c r="C2177" t="s">
        <v>169</v>
      </c>
      <c r="D2177" s="38">
        <v>6</v>
      </c>
      <c r="E2177" t="s">
        <v>169</v>
      </c>
      <c r="F2177">
        <v>408034</v>
      </c>
      <c r="G2177" t="s">
        <v>250</v>
      </c>
      <c r="H2177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4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x14ac:dyDescent="0.25">
      <c r="A2178" s="1">
        <v>46184</v>
      </c>
      <c r="B2178" s="1">
        <v>46184</v>
      </c>
      <c r="C2178" t="s">
        <v>169</v>
      </c>
      <c r="D2178" s="38">
        <v>6</v>
      </c>
      <c r="E2178" t="s">
        <v>169</v>
      </c>
      <c r="F2178">
        <v>1103107</v>
      </c>
      <c r="G2178" t="s">
        <v>556</v>
      </c>
      <c r="H2178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2016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4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x14ac:dyDescent="0.25">
      <c r="A2179" s="1">
        <v>46184</v>
      </c>
      <c r="B2179" s="1">
        <v>46184</v>
      </c>
      <c r="C2179" t="s">
        <v>169</v>
      </c>
      <c r="D2179" s="38">
        <v>6</v>
      </c>
      <c r="E2179" t="s">
        <v>169</v>
      </c>
      <c r="F2179">
        <v>704079</v>
      </c>
      <c r="G2179" t="s">
        <v>209</v>
      </c>
      <c r="H2179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2017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4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x14ac:dyDescent="0.25">
      <c r="A2180" s="1">
        <v>46184</v>
      </c>
      <c r="B2180" s="1">
        <v>46184</v>
      </c>
      <c r="C2180" t="s">
        <v>169</v>
      </c>
      <c r="D2180" s="38">
        <v>6</v>
      </c>
      <c r="E2180" t="s">
        <v>169</v>
      </c>
      <c r="F2180">
        <v>5314002</v>
      </c>
      <c r="G2180" t="s">
        <v>342</v>
      </c>
      <c r="H2180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4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x14ac:dyDescent="0.25">
      <c r="A2181" s="1">
        <v>46184</v>
      </c>
      <c r="B2181" s="1">
        <v>46184</v>
      </c>
      <c r="C2181" t="s">
        <v>169</v>
      </c>
      <c r="D2181" s="38">
        <v>6</v>
      </c>
      <c r="E2181" t="s">
        <v>169</v>
      </c>
      <c r="F2181">
        <v>302054</v>
      </c>
      <c r="G2181" t="s">
        <v>356</v>
      </c>
      <c r="H21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4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x14ac:dyDescent="0.25">
      <c r="A2182" s="1">
        <v>46184</v>
      </c>
      <c r="B2182" s="1">
        <v>46184</v>
      </c>
      <c r="C2182" t="s">
        <v>169</v>
      </c>
      <c r="D2182" s="38">
        <v>6</v>
      </c>
      <c r="E2182" t="s">
        <v>169</v>
      </c>
      <c r="F2182">
        <v>412281</v>
      </c>
      <c r="G2182" t="s">
        <v>326</v>
      </c>
      <c r="H2182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4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x14ac:dyDescent="0.25">
      <c r="A2183" s="1">
        <v>46184</v>
      </c>
      <c r="B2183" s="1">
        <v>46184</v>
      </c>
      <c r="C2183" t="s">
        <v>169</v>
      </c>
      <c r="D2183" s="38">
        <v>6</v>
      </c>
      <c r="E2183" t="s">
        <v>169</v>
      </c>
      <c r="F2183">
        <v>701043</v>
      </c>
      <c r="G2183" t="s">
        <v>197</v>
      </c>
      <c r="H2183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4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x14ac:dyDescent="0.25">
      <c r="A2184" s="1">
        <v>46184</v>
      </c>
      <c r="B2184" s="1">
        <v>46184</v>
      </c>
      <c r="C2184" t="s">
        <v>169</v>
      </c>
      <c r="D2184" s="38">
        <v>6</v>
      </c>
      <c r="E2184" t="s">
        <v>169</v>
      </c>
      <c r="F2184">
        <v>707023</v>
      </c>
      <c r="G2184" t="s">
        <v>794</v>
      </c>
      <c r="H2184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4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x14ac:dyDescent="0.25">
      <c r="A2185" s="1">
        <v>46184</v>
      </c>
      <c r="B2185" s="1">
        <v>46184</v>
      </c>
      <c r="C2185" t="s">
        <v>169</v>
      </c>
      <c r="D2185" s="38">
        <v>6</v>
      </c>
      <c r="E2185" t="s">
        <v>169</v>
      </c>
      <c r="F2185">
        <v>701096</v>
      </c>
      <c r="G2185" t="s">
        <v>204</v>
      </c>
      <c r="H2185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4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x14ac:dyDescent="0.25">
      <c r="A2186" s="1">
        <v>46184</v>
      </c>
      <c r="B2186" s="1">
        <v>46184</v>
      </c>
      <c r="C2186" t="s">
        <v>169</v>
      </c>
      <c r="D2186" s="38">
        <v>6</v>
      </c>
      <c r="E2186" t="s">
        <v>169</v>
      </c>
      <c r="F2186" t="s">
        <v>21</v>
      </c>
      <c r="G2186" t="s">
        <v>22</v>
      </c>
      <c r="H2186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4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x14ac:dyDescent="0.25">
      <c r="A2187" s="1">
        <v>46184</v>
      </c>
      <c r="B2187" s="1">
        <v>46184</v>
      </c>
      <c r="C2187" t="s">
        <v>169</v>
      </c>
      <c r="D2187" s="38">
        <v>6</v>
      </c>
      <c r="E2187" t="s">
        <v>169</v>
      </c>
      <c r="F2187">
        <v>302046</v>
      </c>
      <c r="G2187" t="s">
        <v>115</v>
      </c>
      <c r="H2187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4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x14ac:dyDescent="0.25">
      <c r="A2188" s="1">
        <v>46184</v>
      </c>
      <c r="B2188" s="1">
        <v>46184</v>
      </c>
      <c r="C2188" t="s">
        <v>169</v>
      </c>
      <c r="D2188" s="38">
        <v>6</v>
      </c>
      <c r="E2188" t="s">
        <v>169</v>
      </c>
      <c r="F2188">
        <v>1902013</v>
      </c>
      <c r="G2188" t="s">
        <v>338</v>
      </c>
      <c r="H2188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4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x14ac:dyDescent="0.25">
      <c r="A2189" s="1">
        <v>46184</v>
      </c>
      <c r="B2189" s="1">
        <v>46184</v>
      </c>
      <c r="C2189" t="s">
        <v>169</v>
      </c>
      <c r="D2189" s="38">
        <v>6</v>
      </c>
      <c r="E2189" t="s">
        <v>169</v>
      </c>
      <c r="F2189">
        <v>304049</v>
      </c>
      <c r="G2189" t="s">
        <v>318</v>
      </c>
      <c r="H2189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4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x14ac:dyDescent="0.25">
      <c r="A2190" s="1">
        <v>46185</v>
      </c>
      <c r="B2190" s="1">
        <v>46185</v>
      </c>
      <c r="C2190" t="s">
        <v>169</v>
      </c>
      <c r="D2190" s="38">
        <v>6</v>
      </c>
      <c r="E2190" t="s">
        <v>169</v>
      </c>
      <c r="F2190" t="s">
        <v>345</v>
      </c>
      <c r="G2190" t="s">
        <v>167</v>
      </c>
      <c r="H2190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2008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4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x14ac:dyDescent="0.25">
      <c r="A2191" s="1">
        <v>46185</v>
      </c>
      <c r="B2191" s="1">
        <v>46185</v>
      </c>
      <c r="C2191" t="s">
        <v>169</v>
      </c>
      <c r="D2191" s="38">
        <v>6</v>
      </c>
      <c r="E2191" t="s">
        <v>169</v>
      </c>
      <c r="F2191">
        <v>408034</v>
      </c>
      <c r="G2191" t="s">
        <v>250</v>
      </c>
      <c r="H219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2011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4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x14ac:dyDescent="0.25">
      <c r="A2192" s="1">
        <v>46185</v>
      </c>
      <c r="B2192" s="1">
        <v>46185</v>
      </c>
      <c r="C2192" t="s">
        <v>169</v>
      </c>
      <c r="D2192" s="38">
        <v>6</v>
      </c>
      <c r="E2192" t="s">
        <v>169</v>
      </c>
      <c r="F2192">
        <v>2508992</v>
      </c>
      <c r="G2192" t="s">
        <v>484</v>
      </c>
      <c r="H2192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4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x14ac:dyDescent="0.25">
      <c r="A2193" s="1">
        <v>46185</v>
      </c>
      <c r="B2193" s="1">
        <v>46185</v>
      </c>
      <c r="C2193" t="s">
        <v>169</v>
      </c>
      <c r="D2193" s="38">
        <v>6</v>
      </c>
      <c r="E2193" t="s">
        <v>169</v>
      </c>
      <c r="F2193">
        <v>407423</v>
      </c>
      <c r="G2193" t="s">
        <v>106</v>
      </c>
      <c r="H2193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4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x14ac:dyDescent="0.25">
      <c r="A2194" s="1">
        <v>46185</v>
      </c>
      <c r="B2194" s="1">
        <v>46185</v>
      </c>
      <c r="C2194" t="s">
        <v>169</v>
      </c>
      <c r="D2194" s="38">
        <v>6</v>
      </c>
      <c r="E2194" t="s">
        <v>169</v>
      </c>
      <c r="F2194">
        <v>407185</v>
      </c>
      <c r="G2194" t="s">
        <v>43</v>
      </c>
      <c r="H2194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4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x14ac:dyDescent="0.25">
      <c r="A2195" s="1">
        <v>46185</v>
      </c>
      <c r="B2195" s="1">
        <v>46185</v>
      </c>
      <c r="C2195" t="s">
        <v>169</v>
      </c>
      <c r="D2195" s="38">
        <v>6</v>
      </c>
      <c r="E2195" t="s">
        <v>169</v>
      </c>
      <c r="F2195">
        <v>302048</v>
      </c>
      <c r="G2195" t="s">
        <v>126</v>
      </c>
      <c r="H2195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2017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4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x14ac:dyDescent="0.25">
      <c r="A2196" s="1">
        <v>46185</v>
      </c>
      <c r="B2196" s="1">
        <v>46185</v>
      </c>
      <c r="C2196" t="s">
        <v>169</v>
      </c>
      <c r="D2196" s="38">
        <v>6</v>
      </c>
      <c r="E2196" t="s">
        <v>169</v>
      </c>
      <c r="F2196">
        <v>302048</v>
      </c>
      <c r="G2196" t="s">
        <v>126</v>
      </c>
      <c r="H2196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4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x14ac:dyDescent="0.25">
      <c r="A2197" s="1">
        <v>46185</v>
      </c>
      <c r="B2197" s="1">
        <v>46185</v>
      </c>
      <c r="C2197" t="s">
        <v>169</v>
      </c>
      <c r="D2197" s="38">
        <v>6</v>
      </c>
      <c r="E2197" t="s">
        <v>169</v>
      </c>
      <c r="F2197" t="s">
        <v>231</v>
      </c>
      <c r="G2197" t="s">
        <v>180</v>
      </c>
      <c r="H2197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2017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4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x14ac:dyDescent="0.25">
      <c r="A2198" s="1">
        <v>46185</v>
      </c>
      <c r="B2198" s="1">
        <v>46185</v>
      </c>
      <c r="C2198" t="s">
        <v>169</v>
      </c>
      <c r="D2198" s="38">
        <v>6</v>
      </c>
      <c r="E2198" t="s">
        <v>169</v>
      </c>
      <c r="F2198" t="s">
        <v>725</v>
      </c>
      <c r="G2198" t="s">
        <v>705</v>
      </c>
      <c r="H2198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2008</v>
      </c>
      <c r="V2198" s="2">
        <v>3787528</v>
      </c>
      <c r="W2198">
        <v>6344</v>
      </c>
      <c r="X2198" s="2">
        <v>6579000000</v>
      </c>
      <c r="Y2198" s="6" t="s">
        <v>355</v>
      </c>
      <c r="Z2198" s="38">
        <v>10010</v>
      </c>
      <c r="AA2198" s="4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x14ac:dyDescent="0.25">
      <c r="A2199" s="1">
        <v>46185</v>
      </c>
      <c r="B2199" s="1">
        <v>46185</v>
      </c>
      <c r="C2199" t="s">
        <v>169</v>
      </c>
      <c r="D2199" s="38">
        <v>6</v>
      </c>
      <c r="E2199" t="s">
        <v>169</v>
      </c>
      <c r="F2199">
        <v>617016</v>
      </c>
      <c r="G2199" t="s">
        <v>133</v>
      </c>
      <c r="H2199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W2199">
        <v>6344</v>
      </c>
      <c r="X2199" s="2">
        <v>6579000000</v>
      </c>
      <c r="Y2199" s="6">
        <v>28575.132740000001</v>
      </c>
      <c r="Z2199" s="38">
        <v>10010</v>
      </c>
      <c r="AA2199" s="4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x14ac:dyDescent="0.25">
      <c r="A2200" s="1">
        <v>46185</v>
      </c>
      <c r="B2200" s="1">
        <v>46185</v>
      </c>
      <c r="C2200" t="s">
        <v>169</v>
      </c>
      <c r="D2200" s="38">
        <v>6</v>
      </c>
      <c r="E2200" t="s">
        <v>169</v>
      </c>
      <c r="F2200">
        <v>617057</v>
      </c>
      <c r="G2200" t="s">
        <v>134</v>
      </c>
      <c r="H2200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W2200">
        <v>6344</v>
      </c>
      <c r="X2200" s="2">
        <v>6579000000</v>
      </c>
      <c r="Y2200" s="6">
        <v>20421.197059999999</v>
      </c>
      <c r="Z2200" s="38">
        <v>10010</v>
      </c>
      <c r="AA2200" s="4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x14ac:dyDescent="0.25">
      <c r="A2201" s="1">
        <v>46185</v>
      </c>
      <c r="B2201" s="1">
        <v>46185</v>
      </c>
      <c r="C2201" t="s">
        <v>169</v>
      </c>
      <c r="D2201" s="38">
        <v>6</v>
      </c>
      <c r="E2201" t="s">
        <v>169</v>
      </c>
      <c r="F2201">
        <v>617055</v>
      </c>
      <c r="G2201" t="s">
        <v>182</v>
      </c>
      <c r="H220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W2201">
        <v>6344</v>
      </c>
      <c r="X2201" s="2">
        <v>6579000000</v>
      </c>
      <c r="Y2201" s="6">
        <v>9203.5378099999998</v>
      </c>
      <c r="Z2201" s="38">
        <v>10010</v>
      </c>
      <c r="AA2201" s="4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x14ac:dyDescent="0.25">
      <c r="A2202" s="1">
        <v>46185</v>
      </c>
      <c r="B2202" s="1">
        <v>46185</v>
      </c>
      <c r="C2202" t="s">
        <v>169</v>
      </c>
      <c r="D2202" s="38">
        <v>6</v>
      </c>
      <c r="E2202" t="s">
        <v>169</v>
      </c>
      <c r="F2202">
        <v>307096</v>
      </c>
      <c r="G2202" t="s">
        <v>249</v>
      </c>
      <c r="H2202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W2202">
        <v>6344</v>
      </c>
      <c r="X2202" s="2">
        <v>6579000000</v>
      </c>
      <c r="Y2202" s="6">
        <v>104767.50644999991</v>
      </c>
      <c r="Z2202" s="38">
        <v>10010</v>
      </c>
      <c r="AA2202" s="4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x14ac:dyDescent="0.25">
      <c r="A2203" s="1">
        <v>46185</v>
      </c>
      <c r="B2203" s="1">
        <v>46185</v>
      </c>
      <c r="C2203" t="s">
        <v>169</v>
      </c>
      <c r="D2203" s="38">
        <v>6</v>
      </c>
      <c r="E2203" t="s">
        <v>169</v>
      </c>
      <c r="F2203">
        <v>307033</v>
      </c>
      <c r="G2203" t="s">
        <v>248</v>
      </c>
      <c r="H2203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W2203">
        <v>6344</v>
      </c>
      <c r="X2203" s="2">
        <v>6579000000</v>
      </c>
      <c r="Y2203" s="6">
        <v>94452.677199999991</v>
      </c>
      <c r="Z2203" s="38">
        <v>10010</v>
      </c>
      <c r="AA2203" s="4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x14ac:dyDescent="0.25">
      <c r="A2204" s="1">
        <v>46185</v>
      </c>
      <c r="B2204" s="1">
        <v>46185</v>
      </c>
      <c r="C2204" t="s">
        <v>169</v>
      </c>
      <c r="D2204" s="38">
        <v>6</v>
      </c>
      <c r="E2204" t="s">
        <v>169</v>
      </c>
      <c r="F2204">
        <v>705028</v>
      </c>
      <c r="G2204" t="s">
        <v>72</v>
      </c>
      <c r="H2204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W2204">
        <v>6344</v>
      </c>
      <c r="X2204" s="2">
        <v>6579000000</v>
      </c>
      <c r="Y2204" s="6">
        <v>917083.44828000001</v>
      </c>
      <c r="Z2204" s="38">
        <v>10010</v>
      </c>
      <c r="AA2204" s="4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x14ac:dyDescent="0.25">
      <c r="A2205" s="1">
        <v>46185</v>
      </c>
      <c r="B2205" s="1">
        <v>46185</v>
      </c>
      <c r="C2205" t="s">
        <v>169</v>
      </c>
      <c r="D2205" s="38">
        <v>6</v>
      </c>
      <c r="E2205" t="s">
        <v>169</v>
      </c>
      <c r="F2205">
        <v>601047</v>
      </c>
      <c r="G2205" t="s">
        <v>129</v>
      </c>
      <c r="H2205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W2205">
        <v>6344</v>
      </c>
      <c r="X2205" s="2">
        <v>6579000000</v>
      </c>
      <c r="Y2205" s="6">
        <v>100573.72</v>
      </c>
      <c r="Z2205" s="38">
        <v>10010</v>
      </c>
      <c r="AA2205" s="4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x14ac:dyDescent="0.25">
      <c r="A2206" s="1">
        <v>46185</v>
      </c>
      <c r="B2206" s="1">
        <v>46185</v>
      </c>
      <c r="C2206" t="s">
        <v>169</v>
      </c>
      <c r="D2206" s="38">
        <v>6</v>
      </c>
      <c r="E2206" t="s">
        <v>169</v>
      </c>
      <c r="F2206">
        <v>602255</v>
      </c>
      <c r="G2206" t="s">
        <v>203</v>
      </c>
      <c r="H2206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W2206">
        <v>6344</v>
      </c>
      <c r="X2206" s="2">
        <v>6579000000</v>
      </c>
      <c r="Y2206" s="6">
        <v>191558</v>
      </c>
      <c r="Z2206" s="38">
        <v>10010</v>
      </c>
      <c r="AA2206" s="4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x14ac:dyDescent="0.25">
      <c r="A2207" s="1">
        <v>46185</v>
      </c>
      <c r="B2207" s="1">
        <v>46185</v>
      </c>
      <c r="C2207" t="s">
        <v>169</v>
      </c>
      <c r="D2207" s="38">
        <v>6</v>
      </c>
      <c r="E2207" t="s">
        <v>169</v>
      </c>
      <c r="F2207">
        <v>602254</v>
      </c>
      <c r="G2207" t="s">
        <v>214</v>
      </c>
      <c r="H2207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W2207">
        <v>6344</v>
      </c>
      <c r="X2207" s="2">
        <v>6579000000</v>
      </c>
      <c r="Y2207" s="6">
        <v>184240</v>
      </c>
      <c r="Z2207" s="38">
        <v>10010</v>
      </c>
      <c r="AA2207" s="4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x14ac:dyDescent="0.25">
      <c r="A2208" s="1">
        <v>46185</v>
      </c>
      <c r="B2208" s="1">
        <v>46185</v>
      </c>
      <c r="C2208" t="s">
        <v>169</v>
      </c>
      <c r="D2208" s="38">
        <v>6</v>
      </c>
      <c r="E2208" t="s">
        <v>169</v>
      </c>
      <c r="F2208">
        <v>2302017</v>
      </c>
      <c r="G2208" t="s">
        <v>156</v>
      </c>
      <c r="H2208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W2208">
        <v>6344</v>
      </c>
      <c r="X2208" s="2">
        <v>6579000000</v>
      </c>
      <c r="Y2208" s="6">
        <v>405989.40789499989</v>
      </c>
      <c r="Z2208" s="38">
        <v>10010</v>
      </c>
      <c r="AA2208" s="4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x14ac:dyDescent="0.25">
      <c r="A2209" s="1">
        <v>46185</v>
      </c>
      <c r="B2209" s="1">
        <v>46185</v>
      </c>
      <c r="C2209" t="s">
        <v>169</v>
      </c>
      <c r="D2209" s="38">
        <v>6</v>
      </c>
      <c r="E2209" t="s">
        <v>169</v>
      </c>
      <c r="F2209">
        <v>907031</v>
      </c>
      <c r="G2209" t="s">
        <v>256</v>
      </c>
      <c r="H2209" t="s">
        <v>743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W2209">
        <v>6344</v>
      </c>
      <c r="X2209" s="2">
        <v>6579000000</v>
      </c>
      <c r="Y2209" s="6">
        <v>1562691.6666700004</v>
      </c>
      <c r="Z2209" s="38">
        <v>10010</v>
      </c>
      <c r="AA2209" s="4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x14ac:dyDescent="0.25">
      <c r="A2210" s="1">
        <v>46185</v>
      </c>
      <c r="B2210" s="1">
        <v>46185</v>
      </c>
      <c r="C2210" t="s">
        <v>169</v>
      </c>
      <c r="D2210" s="38">
        <v>6</v>
      </c>
      <c r="E2210" t="s">
        <v>169</v>
      </c>
      <c r="F2210">
        <v>707023</v>
      </c>
      <c r="G2210" t="s">
        <v>794</v>
      </c>
      <c r="H2210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W2210">
        <v>6344</v>
      </c>
      <c r="X2210" s="2">
        <v>6579000000</v>
      </c>
      <c r="Y2210" s="6" t="s">
        <v>355</v>
      </c>
      <c r="Z2210" s="38">
        <v>10010</v>
      </c>
      <c r="AA2210" s="4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x14ac:dyDescent="0.25">
      <c r="A2211" s="1">
        <v>46185</v>
      </c>
      <c r="B2211" s="1">
        <v>46185</v>
      </c>
      <c r="C2211" t="s">
        <v>169</v>
      </c>
      <c r="D2211" s="38">
        <v>6</v>
      </c>
      <c r="E2211" t="s">
        <v>169</v>
      </c>
      <c r="F2211">
        <v>106022</v>
      </c>
      <c r="G2211" t="s">
        <v>245</v>
      </c>
      <c r="H221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W2211">
        <v>6344</v>
      </c>
      <c r="X2211" s="2">
        <v>6579000000</v>
      </c>
      <c r="Y2211" s="6">
        <v>26604.837693000005</v>
      </c>
      <c r="Z2211" s="38">
        <v>10010</v>
      </c>
      <c r="AA2211" s="4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x14ac:dyDescent="0.25">
      <c r="A2212" s="1">
        <v>46185</v>
      </c>
      <c r="B2212" s="1">
        <v>46185</v>
      </c>
      <c r="C2212" t="s">
        <v>169</v>
      </c>
      <c r="D2212" s="38">
        <v>6</v>
      </c>
      <c r="E2212" t="s">
        <v>169</v>
      </c>
      <c r="F2212">
        <v>1610023</v>
      </c>
      <c r="G2212" t="s">
        <v>351</v>
      </c>
      <c r="H2212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2008</v>
      </c>
      <c r="V2212" s="2">
        <v>213470</v>
      </c>
      <c r="W2212">
        <v>6344</v>
      </c>
      <c r="X2212" s="2">
        <v>6579000000</v>
      </c>
      <c r="Y2212" s="6">
        <v>8436.2341680000009</v>
      </c>
      <c r="Z2212" s="38">
        <v>10010</v>
      </c>
      <c r="AA2212" s="4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x14ac:dyDescent="0.25">
      <c r="A2213" s="1">
        <v>46185</v>
      </c>
      <c r="B2213" s="1">
        <v>46185</v>
      </c>
      <c r="C2213" t="s">
        <v>169</v>
      </c>
      <c r="D2213" s="38">
        <v>6</v>
      </c>
      <c r="E2213" t="s">
        <v>169</v>
      </c>
      <c r="F2213">
        <v>609008</v>
      </c>
      <c r="G2213" t="s">
        <v>57</v>
      </c>
      <c r="H2213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W2213">
        <v>6344</v>
      </c>
      <c r="X2213" s="2">
        <v>6579000000</v>
      </c>
      <c r="Y2213" s="6">
        <v>8523.0292399999998</v>
      </c>
      <c r="Z2213" s="38">
        <v>10010</v>
      </c>
      <c r="AA2213" s="4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x14ac:dyDescent="0.25">
      <c r="A2214" s="1">
        <v>46185</v>
      </c>
      <c r="B2214" s="1">
        <v>46185</v>
      </c>
      <c r="C2214" t="s">
        <v>169</v>
      </c>
      <c r="D2214" s="38">
        <v>6</v>
      </c>
      <c r="E2214" t="s">
        <v>169</v>
      </c>
      <c r="F2214">
        <v>2508994</v>
      </c>
      <c r="G2214" t="s">
        <v>486</v>
      </c>
      <c r="H2214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W2214">
        <v>6344</v>
      </c>
      <c r="X2214" s="2">
        <v>6579000000</v>
      </c>
      <c r="Y2214" s="6">
        <v>6392</v>
      </c>
      <c r="Z2214" s="38">
        <v>10010</v>
      </c>
      <c r="AA2214" s="4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x14ac:dyDescent="0.25">
      <c r="A2215" s="1">
        <v>46185</v>
      </c>
      <c r="B2215" s="1">
        <v>46185</v>
      </c>
      <c r="C2215" t="s">
        <v>169</v>
      </c>
      <c r="D2215" s="38">
        <v>6</v>
      </c>
      <c r="E2215" t="s">
        <v>169</v>
      </c>
      <c r="F2215">
        <v>2508993</v>
      </c>
      <c r="G2215" t="s">
        <v>485</v>
      </c>
      <c r="H2215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W2215">
        <v>6344</v>
      </c>
      <c r="X2215" s="2">
        <v>6579000000</v>
      </c>
      <c r="Y2215" s="6">
        <v>11280</v>
      </c>
      <c r="Z2215" s="38">
        <v>10010</v>
      </c>
      <c r="AA2215" s="4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x14ac:dyDescent="0.25">
      <c r="A2216" s="1">
        <v>46185</v>
      </c>
      <c r="B2216" s="1">
        <v>46185</v>
      </c>
      <c r="C2216" t="s">
        <v>169</v>
      </c>
      <c r="D2216" s="38">
        <v>6</v>
      </c>
      <c r="E2216" t="s">
        <v>169</v>
      </c>
      <c r="F2216">
        <v>2508992</v>
      </c>
      <c r="G2216" t="s">
        <v>484</v>
      </c>
      <c r="H2216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W2216">
        <v>6344</v>
      </c>
      <c r="X2216" s="2">
        <v>6579000000</v>
      </c>
      <c r="Y2216" s="6">
        <v>30504</v>
      </c>
      <c r="Z2216" s="38">
        <v>10010</v>
      </c>
      <c r="AA2216" s="4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x14ac:dyDescent="0.25">
      <c r="A2217" s="1">
        <v>46185</v>
      </c>
      <c r="B2217" s="1">
        <v>46185</v>
      </c>
      <c r="C2217" t="s">
        <v>169</v>
      </c>
      <c r="D2217" s="38">
        <v>6</v>
      </c>
      <c r="E2217" t="s">
        <v>169</v>
      </c>
      <c r="F2217">
        <v>2508991</v>
      </c>
      <c r="G2217" t="s">
        <v>483</v>
      </c>
      <c r="H2217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W2217">
        <v>6344</v>
      </c>
      <c r="X2217" s="2">
        <v>6579000000</v>
      </c>
      <c r="Y2217" s="6">
        <v>38384</v>
      </c>
      <c r="Z2217" s="38">
        <v>10010</v>
      </c>
      <c r="AA2217" s="4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x14ac:dyDescent="0.25">
      <c r="A2218" s="1">
        <v>46185</v>
      </c>
      <c r="B2218" s="1">
        <v>46185</v>
      </c>
      <c r="C2218" t="s">
        <v>169</v>
      </c>
      <c r="D2218" s="38">
        <v>6</v>
      </c>
      <c r="E2218" t="s">
        <v>169</v>
      </c>
      <c r="F2218">
        <v>2508990</v>
      </c>
      <c r="G2218" t="s">
        <v>482</v>
      </c>
      <c r="H2218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W2218">
        <v>6344</v>
      </c>
      <c r="X2218" s="2">
        <v>6579000000</v>
      </c>
      <c r="Y2218" s="6">
        <v>53904</v>
      </c>
      <c r="Z2218" s="38">
        <v>10010</v>
      </c>
      <c r="AA2218" s="4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x14ac:dyDescent="0.25">
      <c r="A2219" s="1">
        <v>46185</v>
      </c>
      <c r="B2219" s="1">
        <v>46185</v>
      </c>
      <c r="C2219" t="s">
        <v>169</v>
      </c>
      <c r="D2219" s="38">
        <v>6</v>
      </c>
      <c r="E2219" t="s">
        <v>169</v>
      </c>
      <c r="F2219">
        <v>1405025</v>
      </c>
      <c r="G2219" t="s">
        <v>189</v>
      </c>
      <c r="H2219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W2219">
        <v>6344</v>
      </c>
      <c r="X2219" s="2">
        <v>6579000000</v>
      </c>
      <c r="Y2219" s="6">
        <v>27034.133332000001</v>
      </c>
      <c r="Z2219" s="38">
        <v>10010</v>
      </c>
      <c r="AA2219" s="4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x14ac:dyDescent="0.25">
      <c r="A2220" s="1">
        <v>46185</v>
      </c>
      <c r="B2220" s="1">
        <v>46185</v>
      </c>
      <c r="C2220" t="s">
        <v>169</v>
      </c>
      <c r="D2220" s="38">
        <v>6</v>
      </c>
      <c r="E2220" t="s">
        <v>169</v>
      </c>
      <c r="F2220">
        <v>1802517</v>
      </c>
      <c r="G2220" t="s">
        <v>141</v>
      </c>
      <c r="H2220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W2220">
        <v>6344</v>
      </c>
      <c r="X2220" s="2">
        <v>6579000000</v>
      </c>
      <c r="Y2220" s="6">
        <v>9248</v>
      </c>
      <c r="Z2220" s="38">
        <v>10010</v>
      </c>
      <c r="AA2220" s="4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x14ac:dyDescent="0.25">
      <c r="A2221" s="1">
        <v>46185</v>
      </c>
      <c r="B2221" s="1">
        <v>46185</v>
      </c>
      <c r="C2221" t="s">
        <v>169</v>
      </c>
      <c r="D2221" s="38">
        <v>6</v>
      </c>
      <c r="E2221" t="s">
        <v>169</v>
      </c>
      <c r="F2221">
        <v>412016</v>
      </c>
      <c r="G2221" t="s">
        <v>719</v>
      </c>
      <c r="H222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W2221">
        <v>6344</v>
      </c>
      <c r="X2221" s="2">
        <v>6579000000</v>
      </c>
      <c r="Y2221" s="6" t="s">
        <v>355</v>
      </c>
      <c r="Z2221" s="38">
        <v>10010</v>
      </c>
      <c r="AA2221" s="4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x14ac:dyDescent="0.25">
      <c r="A2222" s="1">
        <v>46188</v>
      </c>
      <c r="B2222" s="1">
        <v>46188</v>
      </c>
      <c r="C2222" t="s">
        <v>169</v>
      </c>
      <c r="D2222" s="38">
        <v>6</v>
      </c>
      <c r="E2222" t="s">
        <v>169</v>
      </c>
      <c r="F2222">
        <v>2508987</v>
      </c>
      <c r="G2222" t="s">
        <v>305</v>
      </c>
      <c r="H2222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2017</v>
      </c>
      <c r="V2222" s="2">
        <v>1312803</v>
      </c>
      <c r="W2222">
        <v>6344</v>
      </c>
      <c r="X2222" s="2">
        <v>6579000000</v>
      </c>
      <c r="Y2222" s="6">
        <v>437541</v>
      </c>
      <c r="Z2222" s="38">
        <v>10010</v>
      </c>
      <c r="AA2222" s="4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x14ac:dyDescent="0.25">
      <c r="A2223" s="1">
        <v>46188</v>
      </c>
      <c r="B2223" s="1">
        <v>46188</v>
      </c>
      <c r="C2223" t="s">
        <v>169</v>
      </c>
      <c r="D2223" s="38">
        <v>6</v>
      </c>
      <c r="E2223" t="s">
        <v>169</v>
      </c>
      <c r="F2223">
        <v>2508988</v>
      </c>
      <c r="G2223" t="s">
        <v>467</v>
      </c>
      <c r="H2223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W2223">
        <v>6344</v>
      </c>
      <c r="X2223" s="2">
        <v>6579000000</v>
      </c>
      <c r="Y2223" s="6" t="s">
        <v>355</v>
      </c>
      <c r="Z2223" s="38">
        <v>10010</v>
      </c>
      <c r="AA2223" s="4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x14ac:dyDescent="0.25">
      <c r="A2224" s="1">
        <v>46188</v>
      </c>
      <c r="B2224" s="1">
        <v>46188</v>
      </c>
      <c r="C2224" t="s">
        <v>169</v>
      </c>
      <c r="D2224" s="38">
        <v>6</v>
      </c>
      <c r="E2224" t="s">
        <v>169</v>
      </c>
      <c r="F2224">
        <v>1101298</v>
      </c>
      <c r="G2224" t="s">
        <v>796</v>
      </c>
      <c r="H2224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W2224">
        <v>6344</v>
      </c>
      <c r="X2224" s="2">
        <v>6579000000</v>
      </c>
      <c r="Y2224" s="6" t="s">
        <v>355</v>
      </c>
      <c r="Z2224" s="38">
        <v>10010</v>
      </c>
      <c r="AA2224" s="4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x14ac:dyDescent="0.25">
      <c r="A2225" s="1">
        <v>46188</v>
      </c>
      <c r="B2225" s="1">
        <v>46188</v>
      </c>
      <c r="C2225" t="s">
        <v>169</v>
      </c>
      <c r="D2225" s="38">
        <v>6</v>
      </c>
      <c r="E2225" t="s">
        <v>169</v>
      </c>
      <c r="F2225">
        <v>609008</v>
      </c>
      <c r="G2225" t="s">
        <v>57</v>
      </c>
      <c r="H2225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W2225">
        <v>6344</v>
      </c>
      <c r="X2225" s="2">
        <v>6579000000</v>
      </c>
      <c r="Y2225" s="6">
        <v>8523.0292399999998</v>
      </c>
      <c r="Z2225" s="38">
        <v>10010</v>
      </c>
      <c r="AA2225" s="4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x14ac:dyDescent="0.25">
      <c r="A2226" s="1">
        <v>46188</v>
      </c>
      <c r="B2226" s="1">
        <v>46188</v>
      </c>
      <c r="C2226" t="s">
        <v>169</v>
      </c>
      <c r="D2226" s="38">
        <v>6</v>
      </c>
      <c r="E2226" t="s">
        <v>169</v>
      </c>
      <c r="F2226">
        <v>1610023</v>
      </c>
      <c r="G2226" t="s">
        <v>351</v>
      </c>
      <c r="H2226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W2226">
        <v>6344</v>
      </c>
      <c r="X2226" s="2">
        <v>6579000000</v>
      </c>
      <c r="Y2226" s="6">
        <v>8436.2341680000009</v>
      </c>
      <c r="Z2226" s="38">
        <v>10010</v>
      </c>
      <c r="AA2226" s="4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x14ac:dyDescent="0.25">
      <c r="A2227" s="1">
        <v>46188</v>
      </c>
      <c r="B2227" s="1">
        <v>46188</v>
      </c>
      <c r="C2227" t="s">
        <v>169</v>
      </c>
      <c r="D2227" s="38">
        <v>6</v>
      </c>
      <c r="E2227" t="s">
        <v>169</v>
      </c>
      <c r="F2227">
        <v>2302119</v>
      </c>
      <c r="G2227" t="s">
        <v>74</v>
      </c>
      <c r="H2227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2017</v>
      </c>
      <c r="V2227" s="2">
        <v>9560990</v>
      </c>
      <c r="W2227">
        <v>6344</v>
      </c>
      <c r="X2227" s="2">
        <v>6579000000</v>
      </c>
      <c r="Y2227" s="6">
        <v>132156</v>
      </c>
      <c r="Z2227" s="38">
        <v>10010</v>
      </c>
      <c r="AA2227" s="4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x14ac:dyDescent="0.25">
      <c r="A2228" s="1">
        <v>46188</v>
      </c>
      <c r="B2228" s="1">
        <v>46188</v>
      </c>
      <c r="C2228" t="s">
        <v>169</v>
      </c>
      <c r="D2228" s="38">
        <v>6</v>
      </c>
      <c r="E2228" t="s">
        <v>169</v>
      </c>
      <c r="F2228">
        <v>1610023</v>
      </c>
      <c r="G2228" t="s">
        <v>351</v>
      </c>
      <c r="H2228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W2228">
        <v>6344</v>
      </c>
      <c r="X2228" s="2">
        <v>6579000000</v>
      </c>
      <c r="Y2228" s="6">
        <v>10545.292710000002</v>
      </c>
      <c r="Z2228" s="38">
        <v>10010</v>
      </c>
      <c r="AA2228" s="4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x14ac:dyDescent="0.25">
      <c r="A2229" s="1">
        <v>46188</v>
      </c>
      <c r="B2229" s="1">
        <v>46188</v>
      </c>
      <c r="C2229" t="s">
        <v>169</v>
      </c>
      <c r="D2229" s="38">
        <v>6</v>
      </c>
      <c r="E2229" t="s">
        <v>169</v>
      </c>
      <c r="F2229">
        <v>609008</v>
      </c>
      <c r="G2229" t="s">
        <v>57</v>
      </c>
      <c r="H2229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W2229">
        <v>6344</v>
      </c>
      <c r="X2229" s="2">
        <v>6579000000</v>
      </c>
      <c r="Y2229" s="6">
        <v>21307.573100000001</v>
      </c>
      <c r="Z2229" s="38">
        <v>10010</v>
      </c>
      <c r="AA2229" s="4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x14ac:dyDescent="0.25">
      <c r="A2230" s="1">
        <v>46188</v>
      </c>
      <c r="B2230" s="1">
        <v>46188</v>
      </c>
      <c r="C2230" t="s">
        <v>169</v>
      </c>
      <c r="D2230" s="38">
        <v>6</v>
      </c>
      <c r="E2230" t="s">
        <v>169</v>
      </c>
      <c r="F2230">
        <v>304101</v>
      </c>
      <c r="G2230" t="s">
        <v>17</v>
      </c>
      <c r="H2230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W2230">
        <v>6344</v>
      </c>
      <c r="X2230" s="2">
        <v>6579000000</v>
      </c>
      <c r="Y2230" s="6">
        <v>2433712.1634000018</v>
      </c>
      <c r="Z2230" s="38">
        <v>10010</v>
      </c>
      <c r="AA2230" s="4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x14ac:dyDescent="0.25">
      <c r="A2231" s="1">
        <v>46188</v>
      </c>
      <c r="B2231" s="1">
        <v>46188</v>
      </c>
      <c r="C2231" t="s">
        <v>169</v>
      </c>
      <c r="D2231" s="38">
        <v>6</v>
      </c>
      <c r="E2231" t="s">
        <v>169</v>
      </c>
      <c r="F2231">
        <v>304049</v>
      </c>
      <c r="G2231" t="s">
        <v>318</v>
      </c>
      <c r="H223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W2231">
        <v>6344</v>
      </c>
      <c r="X2231" s="2">
        <v>6579000000</v>
      </c>
      <c r="Y2231" s="6">
        <v>2921489.9999999986</v>
      </c>
      <c r="Z2231" s="38">
        <v>10010</v>
      </c>
      <c r="AA2231" s="4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x14ac:dyDescent="0.25">
      <c r="A2232" s="1">
        <v>46188</v>
      </c>
      <c r="B2232" s="1">
        <v>46188</v>
      </c>
      <c r="C2232" t="s">
        <v>169</v>
      </c>
      <c r="D2232" s="38">
        <v>6</v>
      </c>
      <c r="E2232" t="s">
        <v>169</v>
      </c>
      <c r="F2232">
        <v>1901466</v>
      </c>
      <c r="G2232" t="s">
        <v>398</v>
      </c>
      <c r="H2232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W2232">
        <v>6344</v>
      </c>
      <c r="X2232" s="2">
        <v>6579000000</v>
      </c>
      <c r="Y2232" s="6">
        <v>570454.86033000005</v>
      </c>
      <c r="Z2232" s="38">
        <v>10010</v>
      </c>
      <c r="AA2232" s="4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x14ac:dyDescent="0.25">
      <c r="A2233" s="1">
        <v>46188</v>
      </c>
      <c r="B2233" s="1">
        <v>46188</v>
      </c>
      <c r="C2233" t="s">
        <v>169</v>
      </c>
      <c r="D2233" s="38">
        <v>6</v>
      </c>
      <c r="E2233" t="s">
        <v>169</v>
      </c>
      <c r="F2233">
        <v>1901086</v>
      </c>
      <c r="G2233" t="s">
        <v>279</v>
      </c>
      <c r="H2233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W2233">
        <v>6344</v>
      </c>
      <c r="X2233" s="2">
        <v>6579000000</v>
      </c>
      <c r="Y2233" s="6">
        <v>601277.10064200009</v>
      </c>
      <c r="Z2233" s="38">
        <v>10010</v>
      </c>
      <c r="AA2233" s="4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x14ac:dyDescent="0.25">
      <c r="A2234" s="1">
        <v>46188</v>
      </c>
      <c r="B2234" s="1">
        <v>46188</v>
      </c>
      <c r="C2234" t="s">
        <v>169</v>
      </c>
      <c r="D2234" s="38">
        <v>6</v>
      </c>
      <c r="E2234" t="s">
        <v>169</v>
      </c>
      <c r="F2234">
        <v>1901008</v>
      </c>
      <c r="G2234" t="s">
        <v>278</v>
      </c>
      <c r="H2234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W2234">
        <v>6344</v>
      </c>
      <c r="X2234" s="2">
        <v>6579000000</v>
      </c>
      <c r="Y2234" s="6">
        <v>570454.86033000005</v>
      </c>
      <c r="Z2234" s="38">
        <v>10010</v>
      </c>
      <c r="AA2234" s="4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x14ac:dyDescent="0.25">
      <c r="A2235" s="1">
        <v>46188</v>
      </c>
      <c r="B2235" s="1">
        <v>46188</v>
      </c>
      <c r="C2235" t="s">
        <v>169</v>
      </c>
      <c r="D2235" s="38">
        <v>6</v>
      </c>
      <c r="E2235" t="s">
        <v>169</v>
      </c>
      <c r="F2235">
        <v>407011</v>
      </c>
      <c r="G2235" t="s">
        <v>30</v>
      </c>
      <c r="H2235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W2235">
        <v>6344</v>
      </c>
      <c r="X2235" s="2">
        <v>6579000000</v>
      </c>
      <c r="Y2235" s="6">
        <v>2365876.1999999997</v>
      </c>
      <c r="Z2235" s="38">
        <v>10010</v>
      </c>
      <c r="AA2235" s="4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x14ac:dyDescent="0.25">
      <c r="A2236" s="1">
        <v>46188</v>
      </c>
      <c r="B2236" s="1">
        <v>46188</v>
      </c>
      <c r="C2236" t="s">
        <v>169</v>
      </c>
      <c r="D2236" s="38">
        <v>6</v>
      </c>
      <c r="E2236" t="s">
        <v>169</v>
      </c>
      <c r="F2236">
        <v>2302098</v>
      </c>
      <c r="G2236" t="s">
        <v>24</v>
      </c>
      <c r="H2236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2017</v>
      </c>
      <c r="V2236" s="2">
        <v>127278</v>
      </c>
      <c r="W2236">
        <v>6344</v>
      </c>
      <c r="X2236" s="2">
        <v>6579000000</v>
      </c>
      <c r="Y2236" s="6">
        <v>127277.99999999996</v>
      </c>
      <c r="Z2236" s="38">
        <v>10010</v>
      </c>
      <c r="AA2236" s="4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x14ac:dyDescent="0.25">
      <c r="A2237" s="1">
        <v>46188</v>
      </c>
      <c r="B2237" s="1">
        <v>46188</v>
      </c>
      <c r="C2237" t="s">
        <v>169</v>
      </c>
      <c r="D2237" s="38">
        <v>6</v>
      </c>
      <c r="E2237" t="s">
        <v>169</v>
      </c>
      <c r="F2237">
        <v>106022</v>
      </c>
      <c r="G2237" t="s">
        <v>245</v>
      </c>
      <c r="H2237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2008</v>
      </c>
      <c r="V2237" s="2">
        <v>336947</v>
      </c>
      <c r="W2237">
        <v>6344</v>
      </c>
      <c r="X2237" s="2">
        <v>6579000000</v>
      </c>
      <c r="Y2237" s="6">
        <v>38006.910989999997</v>
      </c>
      <c r="Z2237" s="38">
        <v>10010</v>
      </c>
      <c r="AA2237" s="4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x14ac:dyDescent="0.25">
      <c r="A2238" s="1">
        <v>46188</v>
      </c>
      <c r="B2238" s="1">
        <v>46188</v>
      </c>
      <c r="C2238" t="s">
        <v>169</v>
      </c>
      <c r="D2238" s="38">
        <v>6</v>
      </c>
      <c r="E2238" t="s">
        <v>169</v>
      </c>
      <c r="F2238">
        <v>1405040</v>
      </c>
      <c r="G2238" t="s">
        <v>449</v>
      </c>
      <c r="H2238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W2238">
        <v>6344</v>
      </c>
      <c r="X2238" s="2">
        <v>6579000000</v>
      </c>
      <c r="Y2238" s="6">
        <v>75680</v>
      </c>
      <c r="Z2238" s="38">
        <v>10010</v>
      </c>
      <c r="AA2238" s="4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x14ac:dyDescent="0.25">
      <c r="A2239" s="1">
        <v>46188</v>
      </c>
      <c r="B2239" s="1">
        <v>46188</v>
      </c>
      <c r="C2239" t="s">
        <v>169</v>
      </c>
      <c r="D2239" s="38">
        <v>6</v>
      </c>
      <c r="E2239" t="s">
        <v>169</v>
      </c>
      <c r="F2239">
        <v>2302119</v>
      </c>
      <c r="G2239" t="s">
        <v>74</v>
      </c>
      <c r="H2239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W2239">
        <v>6344</v>
      </c>
      <c r="X2239" s="2">
        <v>6579000000</v>
      </c>
      <c r="Y2239" s="6">
        <v>132156</v>
      </c>
      <c r="Z2239" s="38">
        <v>10010</v>
      </c>
      <c r="AA2239" s="4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x14ac:dyDescent="0.25">
      <c r="A2240" s="1">
        <v>46188</v>
      </c>
      <c r="B2240" s="1">
        <v>46188</v>
      </c>
      <c r="C2240" t="s">
        <v>169</v>
      </c>
      <c r="D2240" s="38">
        <v>6</v>
      </c>
      <c r="E2240" t="s">
        <v>169</v>
      </c>
      <c r="F2240">
        <v>2304053</v>
      </c>
      <c r="G2240" t="s">
        <v>213</v>
      </c>
      <c r="H2240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W2240">
        <v>6344</v>
      </c>
      <c r="X2240" s="2">
        <v>6579000000</v>
      </c>
      <c r="Y2240" s="6">
        <v>41376.000000000007</v>
      </c>
      <c r="Z2240" s="38">
        <v>10010</v>
      </c>
      <c r="AA2240" s="4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x14ac:dyDescent="0.25">
      <c r="A2241" s="1">
        <v>46188</v>
      </c>
      <c r="B2241" s="1">
        <v>46188</v>
      </c>
      <c r="C2241" t="s">
        <v>169</v>
      </c>
      <c r="D2241" s="38">
        <v>6</v>
      </c>
      <c r="E2241" t="s">
        <v>169</v>
      </c>
      <c r="F2241">
        <v>2304002</v>
      </c>
      <c r="G2241" t="s">
        <v>212</v>
      </c>
      <c r="H224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W2241">
        <v>6344</v>
      </c>
      <c r="X2241" s="2">
        <v>6579000000</v>
      </c>
      <c r="Y2241" s="6">
        <v>33035.321376</v>
      </c>
      <c r="Z2241" s="38">
        <v>10010</v>
      </c>
      <c r="AA2241" s="4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x14ac:dyDescent="0.25">
      <c r="A2242" s="1">
        <v>46188</v>
      </c>
      <c r="B2242" s="1">
        <v>46188</v>
      </c>
      <c r="C2242" t="s">
        <v>169</v>
      </c>
      <c r="D2242" s="38">
        <v>6</v>
      </c>
      <c r="E2242" t="s">
        <v>169</v>
      </c>
      <c r="F2242">
        <v>704079</v>
      </c>
      <c r="G2242" t="s">
        <v>209</v>
      </c>
      <c r="H2242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W2242">
        <v>6344</v>
      </c>
      <c r="X2242" s="2">
        <v>6579000000</v>
      </c>
      <c r="Y2242" s="6">
        <v>7557.04882</v>
      </c>
      <c r="Z2242" s="38">
        <v>10010</v>
      </c>
      <c r="AA2242" s="4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x14ac:dyDescent="0.25">
      <c r="A2243" s="1">
        <v>46188</v>
      </c>
      <c r="B2243" s="1">
        <v>46188</v>
      </c>
      <c r="C2243" t="s">
        <v>169</v>
      </c>
      <c r="D2243" s="38">
        <v>6</v>
      </c>
      <c r="E2243" t="s">
        <v>169</v>
      </c>
      <c r="F2243">
        <v>2304056</v>
      </c>
      <c r="G2243" t="s">
        <v>417</v>
      </c>
      <c r="H2243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2008</v>
      </c>
      <c r="V2243" s="2">
        <v>1186087</v>
      </c>
      <c r="W2243">
        <v>6344</v>
      </c>
      <c r="X2243" s="2">
        <v>6579000000</v>
      </c>
      <c r="Y2243" s="6">
        <v>71496</v>
      </c>
      <c r="Z2243" s="38">
        <v>10010</v>
      </c>
      <c r="AA2243" s="4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x14ac:dyDescent="0.25">
      <c r="A2244" s="1">
        <v>46188</v>
      </c>
      <c r="B2244" s="1">
        <v>46188</v>
      </c>
      <c r="C2244" t="s">
        <v>169</v>
      </c>
      <c r="D2244" s="38">
        <v>6</v>
      </c>
      <c r="E2244" t="s">
        <v>169</v>
      </c>
      <c r="F2244">
        <v>1803044</v>
      </c>
      <c r="G2244" t="s">
        <v>336</v>
      </c>
      <c r="H2244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W2244">
        <v>6344</v>
      </c>
      <c r="X2244" s="2">
        <v>6579000000</v>
      </c>
      <c r="Y2244" s="6">
        <v>476280</v>
      </c>
      <c r="Z2244" s="38">
        <v>10010</v>
      </c>
      <c r="AA2244" s="4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x14ac:dyDescent="0.25">
      <c r="A2245" s="1">
        <v>46188</v>
      </c>
      <c r="B2245" s="1">
        <v>46188</v>
      </c>
      <c r="C2245" t="s">
        <v>169</v>
      </c>
      <c r="D2245" s="38">
        <v>6</v>
      </c>
      <c r="E2245" t="s">
        <v>169</v>
      </c>
      <c r="F2245">
        <v>1803045</v>
      </c>
      <c r="G2245" t="s">
        <v>337</v>
      </c>
      <c r="H2245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W2245">
        <v>6344</v>
      </c>
      <c r="X2245" s="2">
        <v>6579000000</v>
      </c>
      <c r="Y2245" s="6">
        <v>466856.99999999994</v>
      </c>
      <c r="Z2245" s="38">
        <v>10010</v>
      </c>
      <c r="AA2245" s="4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x14ac:dyDescent="0.25">
      <c r="A2246" s="1">
        <v>46188</v>
      </c>
      <c r="B2246" s="1">
        <v>46188</v>
      </c>
      <c r="C2246" t="s">
        <v>169</v>
      </c>
      <c r="D2246" s="38">
        <v>6</v>
      </c>
      <c r="E2246" t="s">
        <v>169</v>
      </c>
      <c r="F2246">
        <v>407423</v>
      </c>
      <c r="G2246" t="s">
        <v>106</v>
      </c>
      <c r="H2246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W2246">
        <v>6344</v>
      </c>
      <c r="X2246" s="2">
        <v>6579000000</v>
      </c>
      <c r="Y2246" s="6">
        <v>533202.50991891895</v>
      </c>
      <c r="Z2246" s="38">
        <v>10010</v>
      </c>
      <c r="AA2246" s="4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x14ac:dyDescent="0.25">
      <c r="A2247" s="1">
        <v>46188</v>
      </c>
      <c r="B2247" s="1">
        <v>46188</v>
      </c>
      <c r="C2247" t="s">
        <v>169</v>
      </c>
      <c r="D2247" s="38">
        <v>6</v>
      </c>
      <c r="E2247" t="s">
        <v>169</v>
      </c>
      <c r="F2247">
        <v>407185</v>
      </c>
      <c r="G2247" t="s">
        <v>43</v>
      </c>
      <c r="H2247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W2247">
        <v>6344</v>
      </c>
      <c r="X2247" s="2">
        <v>6579000000</v>
      </c>
      <c r="Y2247" s="6">
        <v>34391.599999999999</v>
      </c>
      <c r="Z2247" s="38">
        <v>10010</v>
      </c>
      <c r="AA2247" s="4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x14ac:dyDescent="0.25">
      <c r="A2248" s="1">
        <v>46188</v>
      </c>
      <c r="B2248" s="1">
        <v>46188</v>
      </c>
      <c r="C2248" t="s">
        <v>169</v>
      </c>
      <c r="D2248" s="38">
        <v>6</v>
      </c>
      <c r="E2248" t="s">
        <v>169</v>
      </c>
      <c r="F2248">
        <v>307096</v>
      </c>
      <c r="G2248" t="s">
        <v>249</v>
      </c>
      <c r="H2248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W2248">
        <v>6344</v>
      </c>
      <c r="X2248" s="2">
        <v>6579000000</v>
      </c>
      <c r="Y2248" s="6">
        <v>146674.5090299999</v>
      </c>
      <c r="Z2248" s="38">
        <v>10010</v>
      </c>
      <c r="AA2248" s="4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x14ac:dyDescent="0.25">
      <c r="A2249" s="1">
        <v>46188</v>
      </c>
      <c r="B2249" s="1">
        <v>46188</v>
      </c>
      <c r="C2249" t="s">
        <v>169</v>
      </c>
      <c r="D2249" s="38">
        <v>6</v>
      </c>
      <c r="E2249" t="s">
        <v>169</v>
      </c>
      <c r="F2249">
        <v>617016</v>
      </c>
      <c r="G2249" t="s">
        <v>133</v>
      </c>
      <c r="H2249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2011</v>
      </c>
      <c r="V2249" s="2">
        <v>3568122</v>
      </c>
      <c r="W2249">
        <v>6344</v>
      </c>
      <c r="X2249" s="2">
        <v>6579000000</v>
      </c>
      <c r="Y2249" s="6">
        <v>14287.56637</v>
      </c>
      <c r="Z2249" s="38">
        <v>10010</v>
      </c>
      <c r="AA2249" s="4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x14ac:dyDescent="0.25">
      <c r="A2250" s="1">
        <v>46188</v>
      </c>
      <c r="B2250" s="1">
        <v>46188</v>
      </c>
      <c r="C2250" t="s">
        <v>169</v>
      </c>
      <c r="D2250" s="38">
        <v>6</v>
      </c>
      <c r="E2250" t="s">
        <v>169</v>
      </c>
      <c r="F2250">
        <v>617057</v>
      </c>
      <c r="G2250" t="s">
        <v>134</v>
      </c>
      <c r="H2250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W2250">
        <v>6344</v>
      </c>
      <c r="X2250" s="2">
        <v>6579000000</v>
      </c>
      <c r="Y2250" s="6">
        <v>10210.598529999999</v>
      </c>
      <c r="Z2250" s="38">
        <v>10010</v>
      </c>
      <c r="AA2250" s="4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x14ac:dyDescent="0.25">
      <c r="A2251" s="1">
        <v>46188</v>
      </c>
      <c r="B2251" s="1">
        <v>46188</v>
      </c>
      <c r="C2251" t="s">
        <v>169</v>
      </c>
      <c r="D2251" s="38">
        <v>6</v>
      </c>
      <c r="E2251" t="s">
        <v>169</v>
      </c>
      <c r="F2251">
        <v>1902003</v>
      </c>
      <c r="G2251" t="s">
        <v>155</v>
      </c>
      <c r="H225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W2251">
        <v>6344</v>
      </c>
      <c r="X2251" s="2">
        <v>6579000000</v>
      </c>
      <c r="Y2251" s="6">
        <v>904223.85275999969</v>
      </c>
      <c r="Z2251" s="38">
        <v>10010</v>
      </c>
      <c r="AA2251" s="4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x14ac:dyDescent="0.25">
      <c r="A2252" s="1">
        <v>46188</v>
      </c>
      <c r="B2252" s="1">
        <v>46188</v>
      </c>
      <c r="C2252" t="s">
        <v>169</v>
      </c>
      <c r="D2252" s="38">
        <v>6</v>
      </c>
      <c r="E2252" t="s">
        <v>169</v>
      </c>
      <c r="F2252">
        <v>907031</v>
      </c>
      <c r="G2252" t="s">
        <v>256</v>
      </c>
      <c r="H2252" t="s">
        <v>743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W2252">
        <v>6344</v>
      </c>
      <c r="X2252" s="2">
        <v>6579000000</v>
      </c>
      <c r="Y2252" s="6">
        <v>312538.33333400008</v>
      </c>
      <c r="Z2252" s="38">
        <v>10010</v>
      </c>
      <c r="AA2252" s="4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x14ac:dyDescent="0.25">
      <c r="A2253" s="1">
        <v>46188</v>
      </c>
      <c r="B2253" s="1">
        <v>46188</v>
      </c>
      <c r="C2253" t="s">
        <v>169</v>
      </c>
      <c r="D2253" s="38">
        <v>6</v>
      </c>
      <c r="E2253" t="s">
        <v>169</v>
      </c>
      <c r="F2253">
        <v>2302024</v>
      </c>
      <c r="G2253" t="s">
        <v>234</v>
      </c>
      <c r="H2253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W2253">
        <v>6344</v>
      </c>
      <c r="X2253" s="2">
        <v>6579000000</v>
      </c>
      <c r="Y2253" s="6">
        <v>44584</v>
      </c>
      <c r="Z2253" s="38">
        <v>10010</v>
      </c>
      <c r="AA2253" s="4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x14ac:dyDescent="0.25">
      <c r="A2254" s="1">
        <v>46188</v>
      </c>
      <c r="B2254" s="1">
        <v>46188</v>
      </c>
      <c r="C2254" t="s">
        <v>169</v>
      </c>
      <c r="D2254" s="38">
        <v>6</v>
      </c>
      <c r="E2254" t="s">
        <v>169</v>
      </c>
      <c r="F2254">
        <v>2302098</v>
      </c>
      <c r="G2254" t="s">
        <v>24</v>
      </c>
      <c r="H2254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W2254">
        <v>6344</v>
      </c>
      <c r="X2254" s="2">
        <v>6579000000</v>
      </c>
      <c r="Y2254" s="6">
        <v>42425.999999999993</v>
      </c>
      <c r="Z2254" s="38">
        <v>10010</v>
      </c>
      <c r="AA2254" s="4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x14ac:dyDescent="0.25">
      <c r="A2255" s="1">
        <v>46188</v>
      </c>
      <c r="B2255" s="1">
        <v>46188</v>
      </c>
      <c r="C2255" t="s">
        <v>169</v>
      </c>
      <c r="D2255" s="38">
        <v>6</v>
      </c>
      <c r="E2255" t="s">
        <v>169</v>
      </c>
      <c r="F2255">
        <v>404792</v>
      </c>
      <c r="G2255" t="s">
        <v>2003</v>
      </c>
      <c r="H2255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W2255">
        <v>6344</v>
      </c>
      <c r="X2255" s="2">
        <v>6579000000</v>
      </c>
      <c r="Y2255" s="6" t="s">
        <v>355</v>
      </c>
      <c r="Z2255" s="38">
        <v>10010</v>
      </c>
      <c r="AA2255" s="4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x14ac:dyDescent="0.25">
      <c r="A2256" s="1">
        <v>46188</v>
      </c>
      <c r="B2256" s="1">
        <v>46188</v>
      </c>
      <c r="C2256" t="s">
        <v>169</v>
      </c>
      <c r="D2256" s="38">
        <v>6</v>
      </c>
      <c r="E2256" t="s">
        <v>169</v>
      </c>
      <c r="F2256">
        <v>707023</v>
      </c>
      <c r="G2256" t="s">
        <v>794</v>
      </c>
      <c r="H2256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W2256">
        <v>6344</v>
      </c>
      <c r="X2256" s="2">
        <v>6579000000</v>
      </c>
      <c r="Y2256" s="6" t="s">
        <v>355</v>
      </c>
      <c r="Z2256" s="38">
        <v>10010</v>
      </c>
      <c r="AA2256" s="4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x14ac:dyDescent="0.25">
      <c r="A2257" s="1">
        <v>46188</v>
      </c>
      <c r="B2257" s="1">
        <v>46188</v>
      </c>
      <c r="C2257" t="s">
        <v>169</v>
      </c>
      <c r="D2257" s="38">
        <v>6</v>
      </c>
      <c r="E2257" t="s">
        <v>169</v>
      </c>
      <c r="F2257">
        <v>304007</v>
      </c>
      <c r="G2257" t="s">
        <v>80</v>
      </c>
      <c r="H2257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W2257">
        <v>6344</v>
      </c>
      <c r="X2257" s="2">
        <v>6579000000</v>
      </c>
      <c r="Y2257" s="6">
        <v>823993.41758399969</v>
      </c>
      <c r="Z2257" s="38">
        <v>10010</v>
      </c>
      <c r="AA2257" s="4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x14ac:dyDescent="0.25">
      <c r="A2258" s="1">
        <v>46188</v>
      </c>
      <c r="B2258" s="1">
        <v>46188</v>
      </c>
      <c r="C2258" t="s">
        <v>169</v>
      </c>
      <c r="D2258" s="38">
        <v>6</v>
      </c>
      <c r="E2258" t="s">
        <v>169</v>
      </c>
      <c r="F2258">
        <v>304101</v>
      </c>
      <c r="G2258" t="s">
        <v>17</v>
      </c>
      <c r="H2258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W2258">
        <v>6344</v>
      </c>
      <c r="X2258" s="2">
        <v>6579000000</v>
      </c>
      <c r="Y2258" s="6">
        <v>811237.38780000038</v>
      </c>
      <c r="Z2258" s="38">
        <v>10010</v>
      </c>
      <c r="AA2258" s="4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x14ac:dyDescent="0.25">
      <c r="A2259" s="1">
        <v>46188</v>
      </c>
      <c r="B2259" s="1">
        <v>46188</v>
      </c>
      <c r="C2259" t="s">
        <v>169</v>
      </c>
      <c r="D2259" s="38">
        <v>6</v>
      </c>
      <c r="E2259" t="s">
        <v>169</v>
      </c>
      <c r="F2259">
        <v>2302119</v>
      </c>
      <c r="G2259" t="s">
        <v>74</v>
      </c>
      <c r="H2259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W2259">
        <v>6344</v>
      </c>
      <c r="X2259" s="2">
        <v>6579000000</v>
      </c>
      <c r="Y2259" s="6">
        <v>176208</v>
      </c>
      <c r="Z2259" s="38">
        <v>10010</v>
      </c>
      <c r="AA2259" s="4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x14ac:dyDescent="0.25">
      <c r="A2260" s="1">
        <v>46188</v>
      </c>
      <c r="B2260" s="1">
        <v>46188</v>
      </c>
      <c r="C2260" t="s">
        <v>169</v>
      </c>
      <c r="D2260" s="38">
        <v>6</v>
      </c>
      <c r="E2260" t="s">
        <v>169</v>
      </c>
      <c r="F2260">
        <v>1802517</v>
      </c>
      <c r="G2260" t="s">
        <v>141</v>
      </c>
      <c r="H2260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2011</v>
      </c>
      <c r="V2260" s="2">
        <v>113404</v>
      </c>
      <c r="W2260">
        <v>6344</v>
      </c>
      <c r="X2260" s="2">
        <v>6579000000</v>
      </c>
      <c r="Y2260" s="6">
        <v>34680</v>
      </c>
      <c r="Z2260" s="38">
        <v>10010</v>
      </c>
      <c r="AA2260" s="4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x14ac:dyDescent="0.25">
      <c r="A2261" s="1">
        <v>46188</v>
      </c>
      <c r="B2261" s="1">
        <v>46188</v>
      </c>
      <c r="C2261" t="s">
        <v>169</v>
      </c>
      <c r="D2261" s="38">
        <v>6</v>
      </c>
      <c r="E2261" t="s">
        <v>169</v>
      </c>
      <c r="F2261">
        <v>412016</v>
      </c>
      <c r="G2261" t="s">
        <v>719</v>
      </c>
      <c r="H226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W2261">
        <v>6344</v>
      </c>
      <c r="X2261" s="2">
        <v>6579000000</v>
      </c>
      <c r="Y2261" s="6" t="s">
        <v>355</v>
      </c>
      <c r="Z2261" s="38">
        <v>10010</v>
      </c>
      <c r="AA2261" s="4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x14ac:dyDescent="0.25">
      <c r="A2262" s="1">
        <v>46188</v>
      </c>
      <c r="B2262" s="1">
        <v>46188</v>
      </c>
      <c r="C2262" t="s">
        <v>169</v>
      </c>
      <c r="D2262" s="38">
        <v>6</v>
      </c>
      <c r="E2262" t="s">
        <v>169</v>
      </c>
      <c r="F2262">
        <v>412132</v>
      </c>
      <c r="G2262" t="s">
        <v>738</v>
      </c>
      <c r="H2262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W2262">
        <v>6344</v>
      </c>
      <c r="X2262" s="2">
        <v>6579000000</v>
      </c>
      <c r="Y2262" s="6" t="s">
        <v>355</v>
      </c>
      <c r="Z2262" s="38">
        <v>10010</v>
      </c>
      <c r="AA2262" s="4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x14ac:dyDescent="0.25">
      <c r="A2263" s="1">
        <v>46189</v>
      </c>
      <c r="B2263" s="1">
        <v>46189</v>
      </c>
      <c r="C2263" t="s">
        <v>169</v>
      </c>
      <c r="D2263" s="38">
        <v>6</v>
      </c>
      <c r="E2263" t="s">
        <v>169</v>
      </c>
      <c r="F2263" t="s">
        <v>296</v>
      </c>
      <c r="G2263" t="s">
        <v>297</v>
      </c>
      <c r="H2263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2009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4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x14ac:dyDescent="0.25">
      <c r="A2264" s="1">
        <v>46189</v>
      </c>
      <c r="B2264" s="1">
        <v>46189</v>
      </c>
      <c r="C2264" t="s">
        <v>169</v>
      </c>
      <c r="D2264" s="38">
        <v>6</v>
      </c>
      <c r="E2264" t="s">
        <v>169</v>
      </c>
      <c r="F2264" t="s">
        <v>288</v>
      </c>
      <c r="G2264" t="s">
        <v>289</v>
      </c>
      <c r="H2264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2009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4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x14ac:dyDescent="0.25">
      <c r="A2265" s="1">
        <v>46189</v>
      </c>
      <c r="B2265" s="1">
        <v>46189</v>
      </c>
      <c r="C2265" t="s">
        <v>169</v>
      </c>
      <c r="D2265" s="38">
        <v>6</v>
      </c>
      <c r="E2265" t="s">
        <v>169</v>
      </c>
      <c r="F2265" t="s">
        <v>286</v>
      </c>
      <c r="G2265" t="s">
        <v>287</v>
      </c>
      <c r="H2265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2009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4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x14ac:dyDescent="0.25">
      <c r="A2266" s="1">
        <v>46189</v>
      </c>
      <c r="B2266" s="1">
        <v>46189</v>
      </c>
      <c r="C2266" t="s">
        <v>169</v>
      </c>
      <c r="D2266" s="38">
        <v>6</v>
      </c>
      <c r="E2266" t="s">
        <v>169</v>
      </c>
      <c r="F2266">
        <v>304002</v>
      </c>
      <c r="G2266" t="s">
        <v>37</v>
      </c>
      <c r="H2266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2008</v>
      </c>
      <c r="V2266" s="2">
        <v>2078394</v>
      </c>
      <c r="W2266">
        <v>6344</v>
      </c>
      <c r="X2266" s="2">
        <v>6579000000</v>
      </c>
      <c r="Y2266" s="6">
        <v>1529748.5150160005</v>
      </c>
      <c r="Z2266" s="38">
        <v>10010</v>
      </c>
      <c r="AA2266" s="4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x14ac:dyDescent="0.25">
      <c r="A2267" s="1">
        <v>46189</v>
      </c>
      <c r="B2267" s="1">
        <v>46189</v>
      </c>
      <c r="C2267" t="s">
        <v>169</v>
      </c>
      <c r="D2267" s="38">
        <v>6</v>
      </c>
      <c r="E2267" t="s">
        <v>169</v>
      </c>
      <c r="F2267" t="s">
        <v>345</v>
      </c>
      <c r="G2267" t="s">
        <v>167</v>
      </c>
      <c r="H2267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W2267">
        <v>6344</v>
      </c>
      <c r="X2267" s="2">
        <v>6579000000</v>
      </c>
      <c r="Y2267" s="6">
        <v>475295.51668</v>
      </c>
      <c r="Z2267" s="38">
        <v>10010</v>
      </c>
      <c r="AA2267" s="4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x14ac:dyDescent="0.25">
      <c r="A2268" s="1">
        <v>46189</v>
      </c>
      <c r="B2268" s="1">
        <v>46189</v>
      </c>
      <c r="C2268" t="s">
        <v>169</v>
      </c>
      <c r="D2268" s="38">
        <v>6</v>
      </c>
      <c r="E2268" t="s">
        <v>169</v>
      </c>
      <c r="F2268">
        <v>1103086</v>
      </c>
      <c r="G2268" t="s">
        <v>557</v>
      </c>
      <c r="H2268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2016</v>
      </c>
      <c r="V2268" s="2">
        <v>1150091</v>
      </c>
      <c r="W2268">
        <v>6344</v>
      </c>
      <c r="X2268" s="2">
        <v>6579000000</v>
      </c>
      <c r="Y2268" s="6">
        <v>523300</v>
      </c>
      <c r="Z2268" s="38">
        <v>10010</v>
      </c>
      <c r="AA2268" s="4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t="s">
        <v>169</v>
      </c>
      <c r="D2269" s="38">
        <v>6</v>
      </c>
      <c r="E2269" t="s">
        <v>169</v>
      </c>
      <c r="F2269">
        <v>1103088</v>
      </c>
      <c r="G2269" t="s">
        <v>1598</v>
      </c>
      <c r="H2269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W2269">
        <v>6344</v>
      </c>
      <c r="X2269" s="2">
        <v>6579000000</v>
      </c>
      <c r="Y2269" s="6">
        <v>626800</v>
      </c>
      <c r="Z2269" s="38">
        <v>10010</v>
      </c>
      <c r="AA2269" s="4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x14ac:dyDescent="0.25">
      <c r="A2270" s="1">
        <v>46189</v>
      </c>
      <c r="B2270" s="1">
        <v>46189</v>
      </c>
      <c r="C2270" t="s">
        <v>169</v>
      </c>
      <c r="D2270" s="38">
        <v>6</v>
      </c>
      <c r="E2270" t="s">
        <v>169</v>
      </c>
      <c r="F2270">
        <v>106022</v>
      </c>
      <c r="G2270" t="s">
        <v>245</v>
      </c>
      <c r="H2270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2017</v>
      </c>
      <c r="V2270" s="2">
        <v>19894462</v>
      </c>
      <c r="W2270">
        <v>6344</v>
      </c>
      <c r="X2270" s="2">
        <v>6579000000</v>
      </c>
      <c r="Y2270" s="6">
        <v>15202.764396000002</v>
      </c>
      <c r="Z2270" s="38">
        <v>10010</v>
      </c>
      <c r="AA2270" s="4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x14ac:dyDescent="0.25">
      <c r="A2271" s="1">
        <v>46189</v>
      </c>
      <c r="B2271" s="1">
        <v>46189</v>
      </c>
      <c r="C2271" t="s">
        <v>169</v>
      </c>
      <c r="D2271" s="38">
        <v>6</v>
      </c>
      <c r="E2271" t="s">
        <v>169</v>
      </c>
      <c r="F2271">
        <v>407049</v>
      </c>
      <c r="G2271" t="s">
        <v>232</v>
      </c>
      <c r="H227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W2271">
        <v>6344</v>
      </c>
      <c r="X2271" s="2">
        <v>6579000000</v>
      </c>
      <c r="Y2271" s="6">
        <v>16202.162000000002</v>
      </c>
      <c r="Z2271" s="38">
        <v>10010</v>
      </c>
      <c r="AA2271" s="4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x14ac:dyDescent="0.25">
      <c r="A2272" s="1">
        <v>46189</v>
      </c>
      <c r="B2272" s="1">
        <v>46189</v>
      </c>
      <c r="C2272" t="s">
        <v>169</v>
      </c>
      <c r="D2272" s="38">
        <v>6</v>
      </c>
      <c r="E2272" t="s">
        <v>169</v>
      </c>
      <c r="F2272" t="s">
        <v>774</v>
      </c>
      <c r="G2272" t="s">
        <v>22</v>
      </c>
      <c r="H2272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W2272">
        <v>6344</v>
      </c>
      <c r="X2272" s="2">
        <v>6579000000</v>
      </c>
      <c r="Y2272" s="6">
        <v>1228776.2228000003</v>
      </c>
      <c r="Z2272" s="38">
        <v>10010</v>
      </c>
      <c r="AA2272" s="4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x14ac:dyDescent="0.25">
      <c r="A2273" s="1">
        <v>46189</v>
      </c>
      <c r="B2273" s="1">
        <v>46189</v>
      </c>
      <c r="C2273" t="s">
        <v>169</v>
      </c>
      <c r="D2273" s="38">
        <v>6</v>
      </c>
      <c r="E2273" t="s">
        <v>169</v>
      </c>
      <c r="F2273" t="s">
        <v>757</v>
      </c>
      <c r="G2273" t="s">
        <v>226</v>
      </c>
      <c r="H2273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W2273">
        <v>6344</v>
      </c>
      <c r="X2273" s="2">
        <v>6579000000</v>
      </c>
      <c r="Y2273" s="6">
        <v>98061.426605999994</v>
      </c>
      <c r="Z2273" s="38">
        <v>10010</v>
      </c>
      <c r="AA2273" s="4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x14ac:dyDescent="0.25">
      <c r="A2274" s="1">
        <v>46189</v>
      </c>
      <c r="B2274" s="1">
        <v>46189</v>
      </c>
      <c r="C2274" t="s">
        <v>169</v>
      </c>
      <c r="D2274" s="38">
        <v>6</v>
      </c>
      <c r="E2274" t="s">
        <v>169</v>
      </c>
      <c r="F2274">
        <v>2304056</v>
      </c>
      <c r="G2274" t="s">
        <v>417</v>
      </c>
      <c r="H2274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W2274">
        <v>6344</v>
      </c>
      <c r="X2274" s="2">
        <v>6579000000</v>
      </c>
      <c r="Y2274" s="6">
        <v>107244</v>
      </c>
      <c r="Z2274" s="38">
        <v>10010</v>
      </c>
      <c r="AA2274" s="4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x14ac:dyDescent="0.25">
      <c r="A2275" s="1">
        <v>46189</v>
      </c>
      <c r="B2275" s="1">
        <v>46189</v>
      </c>
      <c r="C2275" t="s">
        <v>169</v>
      </c>
      <c r="D2275" s="38">
        <v>6</v>
      </c>
      <c r="E2275" t="s">
        <v>169</v>
      </c>
      <c r="F2275">
        <v>404745</v>
      </c>
      <c r="G2275" t="s">
        <v>442</v>
      </c>
      <c r="H2275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W2275">
        <v>6344</v>
      </c>
      <c r="X2275" s="2">
        <v>6579000000</v>
      </c>
      <c r="Y2275" s="6" t="s">
        <v>355</v>
      </c>
      <c r="Z2275" s="38">
        <v>10010</v>
      </c>
      <c r="AA2275" s="4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x14ac:dyDescent="0.25">
      <c r="A2276" s="1">
        <v>46189</v>
      </c>
      <c r="B2276" s="1">
        <v>46189</v>
      </c>
      <c r="C2276" t="s">
        <v>169</v>
      </c>
      <c r="D2276" s="38">
        <v>6</v>
      </c>
      <c r="E2276" t="s">
        <v>169</v>
      </c>
      <c r="F2276">
        <v>302028</v>
      </c>
      <c r="G2276" t="s">
        <v>246</v>
      </c>
      <c r="H2276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W2276">
        <v>6344</v>
      </c>
      <c r="X2276" s="2">
        <v>6579000000</v>
      </c>
      <c r="Y2276" s="6">
        <v>1844568.9097200008</v>
      </c>
      <c r="Z2276" s="38">
        <v>10010</v>
      </c>
      <c r="AA2276" s="4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x14ac:dyDescent="0.25">
      <c r="A2277" s="1">
        <v>46189</v>
      </c>
      <c r="B2277" s="1">
        <v>46189</v>
      </c>
      <c r="C2277" t="s">
        <v>169</v>
      </c>
      <c r="D2277" s="38">
        <v>6</v>
      </c>
      <c r="E2277" t="s">
        <v>169</v>
      </c>
      <c r="F2277">
        <v>302010</v>
      </c>
      <c r="G2277" t="s">
        <v>323</v>
      </c>
      <c r="H2277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W2277">
        <v>6344</v>
      </c>
      <c r="X2277" s="2">
        <v>6579000000</v>
      </c>
      <c r="Y2277" s="6">
        <v>1659453.7037399979</v>
      </c>
      <c r="Z2277" s="38">
        <v>10010</v>
      </c>
      <c r="AA2277" s="4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x14ac:dyDescent="0.25">
      <c r="A2278" s="1">
        <v>46189</v>
      </c>
      <c r="B2278" s="1">
        <v>46189</v>
      </c>
      <c r="C2278" t="s">
        <v>169</v>
      </c>
      <c r="D2278" s="38">
        <v>6</v>
      </c>
      <c r="E2278" t="s">
        <v>169</v>
      </c>
      <c r="F2278">
        <v>407423</v>
      </c>
      <c r="G2278" t="s">
        <v>106</v>
      </c>
      <c r="H2278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W2278">
        <v>6344</v>
      </c>
      <c r="X2278" s="2">
        <v>6579000000</v>
      </c>
      <c r="Y2278" s="6">
        <v>533202.50991891895</v>
      </c>
      <c r="Z2278" s="38">
        <v>10010</v>
      </c>
      <c r="AA2278" s="4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x14ac:dyDescent="0.25">
      <c r="A2279" s="1">
        <v>46189</v>
      </c>
      <c r="B2279" s="1">
        <v>46189</v>
      </c>
      <c r="C2279" t="s">
        <v>169</v>
      </c>
      <c r="D2279" s="38">
        <v>6</v>
      </c>
      <c r="E2279" t="s">
        <v>169</v>
      </c>
      <c r="F2279">
        <v>304007</v>
      </c>
      <c r="G2279" t="s">
        <v>80</v>
      </c>
      <c r="H2279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W2279">
        <v>6344</v>
      </c>
      <c r="X2279" s="2">
        <v>6579000000</v>
      </c>
      <c r="Y2279" s="6">
        <v>1647986.8351679994</v>
      </c>
      <c r="Z2279" s="38">
        <v>10010</v>
      </c>
      <c r="AA2279" s="4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x14ac:dyDescent="0.25">
      <c r="A2280" s="1">
        <v>46189</v>
      </c>
      <c r="B2280" s="1">
        <v>46189</v>
      </c>
      <c r="C2280" t="s">
        <v>169</v>
      </c>
      <c r="D2280" s="38">
        <v>6</v>
      </c>
      <c r="E2280" t="s">
        <v>169</v>
      </c>
      <c r="F2280">
        <v>412313</v>
      </c>
      <c r="G2280" t="s">
        <v>253</v>
      </c>
      <c r="H2280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W2280">
        <v>6344</v>
      </c>
      <c r="X2280" s="2">
        <v>6579000000</v>
      </c>
      <c r="Y2280" s="6">
        <v>142344.40430999998</v>
      </c>
      <c r="Z2280" s="38">
        <v>10010</v>
      </c>
      <c r="AA2280" s="4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x14ac:dyDescent="0.25">
      <c r="A2281" s="1">
        <v>46189</v>
      </c>
      <c r="B2281" s="1">
        <v>46189</v>
      </c>
      <c r="C2281" t="s">
        <v>169</v>
      </c>
      <c r="D2281" s="38">
        <v>6</v>
      </c>
      <c r="E2281" t="s">
        <v>169</v>
      </c>
      <c r="F2281">
        <v>1902013</v>
      </c>
      <c r="G2281" t="s">
        <v>338</v>
      </c>
      <c r="H22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W2281">
        <v>6344</v>
      </c>
      <c r="X2281" s="2">
        <v>6579000000</v>
      </c>
      <c r="Y2281" s="6">
        <v>565801</v>
      </c>
      <c r="Z2281" s="38">
        <v>10010</v>
      </c>
      <c r="AA2281" s="4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x14ac:dyDescent="0.25">
      <c r="A2282" s="1">
        <v>46189</v>
      </c>
      <c r="B2282" s="1">
        <v>46189</v>
      </c>
      <c r="C2282" t="s">
        <v>169</v>
      </c>
      <c r="D2282" s="38">
        <v>6</v>
      </c>
      <c r="E2282" t="s">
        <v>169</v>
      </c>
      <c r="F2282">
        <v>408014</v>
      </c>
      <c r="G2282" t="s">
        <v>108</v>
      </c>
      <c r="H2282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W2282">
        <v>6344</v>
      </c>
      <c r="X2282" s="2">
        <v>6579000000</v>
      </c>
      <c r="Y2282" s="6">
        <v>32364.213524000013</v>
      </c>
      <c r="Z2282" s="38">
        <v>10010</v>
      </c>
      <c r="AA2282" s="4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x14ac:dyDescent="0.25">
      <c r="A2283" s="1">
        <v>46189</v>
      </c>
      <c r="B2283" s="1">
        <v>46189</v>
      </c>
      <c r="C2283" t="s">
        <v>169</v>
      </c>
      <c r="D2283" s="38">
        <v>6</v>
      </c>
      <c r="E2283" t="s">
        <v>169</v>
      </c>
      <c r="F2283">
        <v>412280</v>
      </c>
      <c r="G2283" t="s">
        <v>40</v>
      </c>
      <c r="H2283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W2283">
        <v>6344</v>
      </c>
      <c r="X2283" s="2">
        <v>6579000000</v>
      </c>
      <c r="Y2283" s="6">
        <v>1280093.442976</v>
      </c>
      <c r="Z2283" s="38">
        <v>10010</v>
      </c>
      <c r="AA2283" s="4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x14ac:dyDescent="0.25">
      <c r="A2284" s="1">
        <v>46189</v>
      </c>
      <c r="B2284" s="1">
        <v>46189</v>
      </c>
      <c r="C2284" t="s">
        <v>169</v>
      </c>
      <c r="D2284" s="38">
        <v>6</v>
      </c>
      <c r="E2284" t="s">
        <v>169</v>
      </c>
      <c r="F2284">
        <v>412260</v>
      </c>
      <c r="G2284" t="s">
        <v>41</v>
      </c>
      <c r="H2284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W2284">
        <v>6344</v>
      </c>
      <c r="X2284" s="2">
        <v>6579000000</v>
      </c>
      <c r="Y2284" s="6">
        <v>11208632.637183998</v>
      </c>
      <c r="Z2284" s="38">
        <v>10010</v>
      </c>
      <c r="AA2284" s="4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x14ac:dyDescent="0.25">
      <c r="A2285" s="1">
        <v>46189</v>
      </c>
      <c r="B2285" s="1">
        <v>46189</v>
      </c>
      <c r="C2285" t="s">
        <v>169</v>
      </c>
      <c r="D2285" s="38">
        <v>6</v>
      </c>
      <c r="E2285" t="s">
        <v>169</v>
      </c>
      <c r="F2285">
        <v>412301</v>
      </c>
      <c r="G2285" t="s">
        <v>327</v>
      </c>
      <c r="H2285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2017</v>
      </c>
      <c r="V2285" s="2">
        <v>7063028</v>
      </c>
      <c r="W2285">
        <v>6344</v>
      </c>
      <c r="X2285" s="2">
        <v>6579000000</v>
      </c>
      <c r="Y2285" s="6">
        <v>194379.88500000001</v>
      </c>
      <c r="Z2285" s="38">
        <v>10010</v>
      </c>
      <c r="AA2285" s="4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x14ac:dyDescent="0.25">
      <c r="A2286" s="1">
        <v>46189</v>
      </c>
      <c r="B2286" s="1">
        <v>46189</v>
      </c>
      <c r="C2286" t="s">
        <v>169</v>
      </c>
      <c r="D2286" s="38">
        <v>6</v>
      </c>
      <c r="E2286" t="s">
        <v>169</v>
      </c>
      <c r="F2286">
        <v>407853</v>
      </c>
      <c r="G2286" t="s">
        <v>1599</v>
      </c>
      <c r="H2286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W2286">
        <v>6344</v>
      </c>
      <c r="X2286" s="2">
        <v>6579000000</v>
      </c>
      <c r="Y2286" s="6" t="s">
        <v>355</v>
      </c>
      <c r="Z2286" s="38">
        <v>10010</v>
      </c>
      <c r="AA2286" s="4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x14ac:dyDescent="0.25">
      <c r="A2287" s="1">
        <v>46189</v>
      </c>
      <c r="B2287" s="1">
        <v>46189</v>
      </c>
      <c r="C2287" t="s">
        <v>169</v>
      </c>
      <c r="D2287" s="38">
        <v>6</v>
      </c>
      <c r="E2287" t="s">
        <v>169</v>
      </c>
      <c r="F2287">
        <v>302054</v>
      </c>
      <c r="G2287" t="s">
        <v>356</v>
      </c>
      <c r="H2287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W2287">
        <v>6344</v>
      </c>
      <c r="X2287" s="2">
        <v>6579000000</v>
      </c>
      <c r="Y2287" s="6">
        <v>5347368</v>
      </c>
      <c r="Z2287" s="38">
        <v>10010</v>
      </c>
      <c r="AA2287" s="4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x14ac:dyDescent="0.25">
      <c r="A2288" s="1">
        <v>46189</v>
      </c>
      <c r="B2288" s="1">
        <v>46189</v>
      </c>
      <c r="C2288" t="s">
        <v>169</v>
      </c>
      <c r="D2288" s="38">
        <v>6</v>
      </c>
      <c r="E2288" t="s">
        <v>169</v>
      </c>
      <c r="F2288">
        <v>307096</v>
      </c>
      <c r="G2288" t="s">
        <v>249</v>
      </c>
      <c r="H2288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W2288">
        <v>6344</v>
      </c>
      <c r="X2288" s="2">
        <v>6579000000</v>
      </c>
      <c r="Y2288" s="6">
        <v>209535.01289999983</v>
      </c>
      <c r="Z2288" s="38">
        <v>10010</v>
      </c>
      <c r="AA2288" s="4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x14ac:dyDescent="0.25">
      <c r="A2289" s="1">
        <v>46189</v>
      </c>
      <c r="B2289" s="1">
        <v>46189</v>
      </c>
      <c r="C2289" t="s">
        <v>169</v>
      </c>
      <c r="D2289" s="38">
        <v>6</v>
      </c>
      <c r="E2289" t="s">
        <v>169</v>
      </c>
      <c r="F2289">
        <v>307032</v>
      </c>
      <c r="G2289" t="s">
        <v>186</v>
      </c>
      <c r="H2289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W2289">
        <v>6344</v>
      </c>
      <c r="X2289" s="2">
        <v>6579000000</v>
      </c>
      <c r="Y2289" s="6">
        <v>237837.50409999999</v>
      </c>
      <c r="Z2289" s="38">
        <v>10010</v>
      </c>
      <c r="AA2289" s="4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x14ac:dyDescent="0.25">
      <c r="A2290" s="1">
        <v>46189</v>
      </c>
      <c r="B2290" s="1">
        <v>46189</v>
      </c>
      <c r="C2290" t="s">
        <v>169</v>
      </c>
      <c r="D2290" s="38">
        <v>6</v>
      </c>
      <c r="E2290" t="s">
        <v>169</v>
      </c>
      <c r="F2290">
        <v>407185</v>
      </c>
      <c r="G2290" t="s">
        <v>43</v>
      </c>
      <c r="H2290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W2290">
        <v>6344</v>
      </c>
      <c r="X2290" s="2">
        <v>6579000000</v>
      </c>
      <c r="Y2290" s="6">
        <v>34391.599999999999</v>
      </c>
      <c r="Z2290" s="38">
        <v>10010</v>
      </c>
      <c r="AA2290" s="4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x14ac:dyDescent="0.25">
      <c r="A2291" s="1">
        <v>46189</v>
      </c>
      <c r="B2291" s="1">
        <v>46189</v>
      </c>
      <c r="C2291" t="s">
        <v>169</v>
      </c>
      <c r="D2291" s="38">
        <v>6</v>
      </c>
      <c r="E2291" t="s">
        <v>169</v>
      </c>
      <c r="F2291">
        <v>408088</v>
      </c>
      <c r="G2291" t="s">
        <v>109</v>
      </c>
      <c r="H229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W2291">
        <v>6344</v>
      </c>
      <c r="X2291" s="2">
        <v>6579000000</v>
      </c>
      <c r="Y2291" s="6">
        <v>35000.185429999998</v>
      </c>
      <c r="Z2291" s="38">
        <v>10010</v>
      </c>
      <c r="AA2291" s="4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x14ac:dyDescent="0.25">
      <c r="A2292" s="1">
        <v>46189</v>
      </c>
      <c r="B2292" s="1">
        <v>46189</v>
      </c>
      <c r="C2292" t="s">
        <v>169</v>
      </c>
      <c r="D2292" s="38">
        <v>6</v>
      </c>
      <c r="E2292" t="s">
        <v>169</v>
      </c>
      <c r="F2292">
        <v>407170</v>
      </c>
      <c r="G2292" t="s">
        <v>107</v>
      </c>
      <c r="H2292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W2292">
        <v>6344</v>
      </c>
      <c r="X2292" s="2">
        <v>6579000000</v>
      </c>
      <c r="Y2292" s="6">
        <v>4880.2160000000003</v>
      </c>
      <c r="Z2292" s="38">
        <v>10010</v>
      </c>
      <c r="AA2292" s="4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x14ac:dyDescent="0.25">
      <c r="A2293" s="1">
        <v>46189</v>
      </c>
      <c r="B2293" s="1">
        <v>46189</v>
      </c>
      <c r="C2293" t="s">
        <v>169</v>
      </c>
      <c r="D2293" s="38">
        <v>6</v>
      </c>
      <c r="E2293" t="s">
        <v>169</v>
      </c>
      <c r="F2293">
        <v>1405006</v>
      </c>
      <c r="G2293" t="s">
        <v>199</v>
      </c>
      <c r="H2293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W2293">
        <v>6344</v>
      </c>
      <c r="X2293" s="2">
        <v>6579000000</v>
      </c>
      <c r="Y2293" s="6">
        <v>17598.730000000003</v>
      </c>
      <c r="Z2293" s="38">
        <v>10010</v>
      </c>
      <c r="AA2293" s="4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x14ac:dyDescent="0.25">
      <c r="A2294" s="1">
        <v>46189</v>
      </c>
      <c r="B2294" s="1">
        <v>46189</v>
      </c>
      <c r="C2294" t="s">
        <v>169</v>
      </c>
      <c r="D2294" s="38">
        <v>6</v>
      </c>
      <c r="E2294" t="s">
        <v>169</v>
      </c>
      <c r="F2294">
        <v>304002</v>
      </c>
      <c r="G2294" t="s">
        <v>37</v>
      </c>
      <c r="H2294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W2294">
        <v>6344</v>
      </c>
      <c r="X2294" s="2">
        <v>6579000000</v>
      </c>
      <c r="Y2294" s="6">
        <v>1529748.5150160005</v>
      </c>
      <c r="Z2294" s="38">
        <v>10010</v>
      </c>
      <c r="AA2294" s="4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x14ac:dyDescent="0.25">
      <c r="A2295" s="1">
        <v>46189</v>
      </c>
      <c r="B2295" s="1">
        <v>46189</v>
      </c>
      <c r="C2295" t="s">
        <v>169</v>
      </c>
      <c r="D2295" s="38">
        <v>6</v>
      </c>
      <c r="E2295" t="s">
        <v>169</v>
      </c>
      <c r="F2295">
        <v>1901038</v>
      </c>
      <c r="G2295" t="s">
        <v>39</v>
      </c>
      <c r="H2295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W2295">
        <v>6344</v>
      </c>
      <c r="X2295" s="2">
        <v>6579000000</v>
      </c>
      <c r="Y2295" s="6">
        <v>453321.13050000009</v>
      </c>
      <c r="Z2295" s="38">
        <v>10010</v>
      </c>
      <c r="AA2295" s="4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x14ac:dyDescent="0.25">
      <c r="A2296" s="1">
        <v>46189</v>
      </c>
      <c r="B2296" s="1">
        <v>46189</v>
      </c>
      <c r="C2296" t="s">
        <v>169</v>
      </c>
      <c r="D2296" s="38">
        <v>6</v>
      </c>
      <c r="E2296" t="s">
        <v>169</v>
      </c>
      <c r="F2296">
        <v>608013</v>
      </c>
      <c r="G2296" t="s">
        <v>328</v>
      </c>
      <c r="H2296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W2296">
        <v>6344</v>
      </c>
      <c r="X2296" s="2">
        <v>6579000000</v>
      </c>
      <c r="Y2296" s="6">
        <v>25413</v>
      </c>
      <c r="Z2296" s="38">
        <v>10010</v>
      </c>
      <c r="AA2296" s="4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x14ac:dyDescent="0.25">
      <c r="A2297" s="1">
        <v>46189</v>
      </c>
      <c r="B2297" s="1">
        <v>46189</v>
      </c>
      <c r="C2297" t="s">
        <v>169</v>
      </c>
      <c r="D2297" s="38">
        <v>6</v>
      </c>
      <c r="E2297" t="s">
        <v>169</v>
      </c>
      <c r="F2297">
        <v>304012</v>
      </c>
      <c r="G2297" t="s">
        <v>707</v>
      </c>
      <c r="H2297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2011</v>
      </c>
      <c r="V2297" s="2">
        <v>2800350</v>
      </c>
      <c r="W2297">
        <v>6344</v>
      </c>
      <c r="X2297" s="2">
        <v>6579000000</v>
      </c>
      <c r="Y2297" s="6">
        <v>0</v>
      </c>
      <c r="Z2297" s="38">
        <v>10010</v>
      </c>
      <c r="AA2297" s="4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x14ac:dyDescent="0.25">
      <c r="A2298" s="1">
        <v>46189</v>
      </c>
      <c r="B2298" s="1">
        <v>46189</v>
      </c>
      <c r="C2298" t="s">
        <v>169</v>
      </c>
      <c r="D2298" s="38">
        <v>6</v>
      </c>
      <c r="E2298" t="s">
        <v>169</v>
      </c>
      <c r="F2298">
        <v>1703006</v>
      </c>
      <c r="G2298" t="s">
        <v>48</v>
      </c>
      <c r="H2298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W2298">
        <v>6344</v>
      </c>
      <c r="X2298" s="2">
        <v>6579000000</v>
      </c>
      <c r="Y2298" s="6">
        <v>9972</v>
      </c>
      <c r="Z2298" s="38">
        <v>10010</v>
      </c>
      <c r="AA2298" s="4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x14ac:dyDescent="0.25">
      <c r="A2299" s="1">
        <v>46189</v>
      </c>
      <c r="B2299" s="1">
        <v>46189</v>
      </c>
      <c r="C2299" t="s">
        <v>169</v>
      </c>
      <c r="D2299" s="38">
        <v>6</v>
      </c>
      <c r="E2299" t="s">
        <v>169</v>
      </c>
      <c r="F2299">
        <v>5316509</v>
      </c>
      <c r="G2299" t="s">
        <v>56</v>
      </c>
      <c r="H2299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W2299">
        <v>6344</v>
      </c>
      <c r="X2299" s="2">
        <v>6579000000</v>
      </c>
      <c r="Y2299" s="6">
        <v>61733.333332000002</v>
      </c>
      <c r="Z2299" s="38">
        <v>10010</v>
      </c>
      <c r="AA2299" s="4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x14ac:dyDescent="0.25">
      <c r="A2300" s="1">
        <v>46189</v>
      </c>
      <c r="B2300" s="1">
        <v>46189</v>
      </c>
      <c r="C2300" t="s">
        <v>169</v>
      </c>
      <c r="D2300" s="38">
        <v>6</v>
      </c>
      <c r="E2300" t="s">
        <v>169</v>
      </c>
      <c r="F2300">
        <v>5316508</v>
      </c>
      <c r="G2300" t="s">
        <v>468</v>
      </c>
      <c r="H2300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W2300">
        <v>6344</v>
      </c>
      <c r="X2300" s="2">
        <v>6579000000</v>
      </c>
      <c r="Y2300" s="6" t="s">
        <v>355</v>
      </c>
      <c r="Z2300" s="38">
        <v>10010</v>
      </c>
      <c r="AA2300" s="4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x14ac:dyDescent="0.25">
      <c r="A2301" s="1">
        <v>46189</v>
      </c>
      <c r="B2301" s="1">
        <v>46189</v>
      </c>
      <c r="C2301" t="s">
        <v>169</v>
      </c>
      <c r="D2301" s="38">
        <v>6</v>
      </c>
      <c r="E2301" t="s">
        <v>169</v>
      </c>
      <c r="F2301">
        <v>5316507</v>
      </c>
      <c r="G2301" t="s">
        <v>55</v>
      </c>
      <c r="H230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W2301">
        <v>6344</v>
      </c>
      <c r="X2301" s="2">
        <v>6579000000</v>
      </c>
      <c r="Y2301" s="6">
        <v>248518.00000199999</v>
      </c>
      <c r="Z2301" s="38">
        <v>10010</v>
      </c>
      <c r="AA2301" s="4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x14ac:dyDescent="0.25">
      <c r="A2302" s="1">
        <v>46189</v>
      </c>
      <c r="B2302" s="1">
        <v>46189</v>
      </c>
      <c r="C2302" t="s">
        <v>169</v>
      </c>
      <c r="D2302" s="38">
        <v>6</v>
      </c>
      <c r="E2302" t="s">
        <v>169</v>
      </c>
      <c r="F2302">
        <v>1802162</v>
      </c>
      <c r="G2302" t="s">
        <v>260</v>
      </c>
      <c r="H2302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W2302">
        <v>6344</v>
      </c>
      <c r="X2302" s="2">
        <v>6579000000</v>
      </c>
      <c r="Y2302" s="6">
        <v>214200</v>
      </c>
      <c r="Z2302" s="38">
        <v>10010</v>
      </c>
      <c r="AA2302" s="4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x14ac:dyDescent="0.25">
      <c r="A2303" s="1">
        <v>46189</v>
      </c>
      <c r="B2303" s="1">
        <v>46189</v>
      </c>
      <c r="C2303" t="s">
        <v>169</v>
      </c>
      <c r="D2303" s="38">
        <v>6</v>
      </c>
      <c r="E2303" t="s">
        <v>169</v>
      </c>
      <c r="F2303">
        <v>1808156</v>
      </c>
      <c r="G2303" t="s">
        <v>277</v>
      </c>
      <c r="H2303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W2303">
        <v>6344</v>
      </c>
      <c r="X2303" s="2">
        <v>6579000000</v>
      </c>
      <c r="Y2303" s="6">
        <v>9580</v>
      </c>
      <c r="Z2303" s="38">
        <v>10010</v>
      </c>
      <c r="AA2303" s="4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x14ac:dyDescent="0.25">
      <c r="A2304" s="1">
        <v>46189</v>
      </c>
      <c r="B2304" s="1">
        <v>46189</v>
      </c>
      <c r="C2304" t="s">
        <v>169</v>
      </c>
      <c r="D2304" s="38">
        <v>6</v>
      </c>
      <c r="E2304" t="s">
        <v>169</v>
      </c>
      <c r="F2304">
        <v>1808006</v>
      </c>
      <c r="G2304" t="s">
        <v>194</v>
      </c>
      <c r="H2304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W2304">
        <v>6344</v>
      </c>
      <c r="X2304" s="2">
        <v>6579000000</v>
      </c>
      <c r="Y2304" s="6">
        <v>14533.35548</v>
      </c>
      <c r="Z2304" s="38">
        <v>10010</v>
      </c>
      <c r="AA2304" s="4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x14ac:dyDescent="0.25">
      <c r="A2305" s="1">
        <v>46189</v>
      </c>
      <c r="B2305" s="1">
        <v>46189</v>
      </c>
      <c r="C2305" t="s">
        <v>169</v>
      </c>
      <c r="D2305" s="38">
        <v>6</v>
      </c>
      <c r="E2305" t="s">
        <v>169</v>
      </c>
      <c r="F2305">
        <v>1808003</v>
      </c>
      <c r="G2305" t="s">
        <v>195</v>
      </c>
      <c r="H2305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W2305">
        <v>6344</v>
      </c>
      <c r="X2305" s="2">
        <v>6579000000</v>
      </c>
      <c r="Y2305" s="6">
        <v>1677.4485800000002</v>
      </c>
      <c r="Z2305" s="38">
        <v>10010</v>
      </c>
      <c r="AA2305" s="4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x14ac:dyDescent="0.25">
      <c r="A2306" s="1">
        <v>46189</v>
      </c>
      <c r="B2306" s="1">
        <v>46189</v>
      </c>
      <c r="C2306" t="s">
        <v>169</v>
      </c>
      <c r="D2306" s="38">
        <v>6</v>
      </c>
      <c r="E2306" t="s">
        <v>169</v>
      </c>
      <c r="F2306">
        <v>1801735</v>
      </c>
      <c r="G2306" t="s">
        <v>73</v>
      </c>
      <c r="H2306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W2306">
        <v>6344</v>
      </c>
      <c r="X2306" s="2">
        <v>6579000000</v>
      </c>
      <c r="Y2306" s="6">
        <v>69900</v>
      </c>
      <c r="Z2306" s="38">
        <v>10010</v>
      </c>
      <c r="AA2306" s="4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x14ac:dyDescent="0.25">
      <c r="A2307" s="1">
        <v>46189</v>
      </c>
      <c r="B2307" s="1">
        <v>46189</v>
      </c>
      <c r="C2307" t="s">
        <v>169</v>
      </c>
      <c r="D2307" s="38">
        <v>6</v>
      </c>
      <c r="E2307" t="s">
        <v>169</v>
      </c>
      <c r="F2307">
        <v>1802172</v>
      </c>
      <c r="G2307" t="s">
        <v>266</v>
      </c>
      <c r="H2307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W2307">
        <v>6344</v>
      </c>
      <c r="X2307" s="2">
        <v>6579000000</v>
      </c>
      <c r="Y2307" s="6">
        <v>15175</v>
      </c>
      <c r="Z2307" s="38">
        <v>10010</v>
      </c>
      <c r="AA2307" s="4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x14ac:dyDescent="0.25">
      <c r="A2308" s="1">
        <v>46189</v>
      </c>
      <c r="B2308" s="1">
        <v>46189</v>
      </c>
      <c r="C2308" t="s">
        <v>169</v>
      </c>
      <c r="D2308" s="38">
        <v>6</v>
      </c>
      <c r="E2308" t="s">
        <v>169</v>
      </c>
      <c r="F2308">
        <v>1802171</v>
      </c>
      <c r="G2308" t="s">
        <v>265</v>
      </c>
      <c r="H2308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W2308">
        <v>6344</v>
      </c>
      <c r="X2308" s="2">
        <v>6579000000</v>
      </c>
      <c r="Y2308" s="6">
        <v>18160</v>
      </c>
      <c r="Z2308" s="38">
        <v>10010</v>
      </c>
      <c r="AA2308" s="4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x14ac:dyDescent="0.25">
      <c r="A2309" s="1">
        <v>46189</v>
      </c>
      <c r="B2309" s="1">
        <v>46189</v>
      </c>
      <c r="C2309" t="s">
        <v>169</v>
      </c>
      <c r="D2309" s="38">
        <v>6</v>
      </c>
      <c r="E2309" t="s">
        <v>169</v>
      </c>
      <c r="F2309">
        <v>1206002</v>
      </c>
      <c r="G2309" t="s">
        <v>192</v>
      </c>
      <c r="H2309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W2309">
        <v>6344</v>
      </c>
      <c r="X2309" s="2">
        <v>6579000000</v>
      </c>
      <c r="Y2309" s="6">
        <v>47350.451612999997</v>
      </c>
      <c r="Z2309" s="38">
        <v>10010</v>
      </c>
      <c r="AA2309" s="4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x14ac:dyDescent="0.25">
      <c r="A2310" s="1">
        <v>46189</v>
      </c>
      <c r="B2310" s="1">
        <v>46189</v>
      </c>
      <c r="C2310" t="s">
        <v>169</v>
      </c>
      <c r="D2310" s="38">
        <v>6</v>
      </c>
      <c r="E2310" t="s">
        <v>169</v>
      </c>
      <c r="F2310" t="s">
        <v>784</v>
      </c>
      <c r="G2310" t="s">
        <v>95</v>
      </c>
      <c r="H2310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W2310">
        <v>6344</v>
      </c>
      <c r="X2310" s="2">
        <v>6579000000</v>
      </c>
      <c r="Y2310" s="6">
        <v>36255.394428000007</v>
      </c>
      <c r="Z2310" s="38">
        <v>10010</v>
      </c>
      <c r="AA2310" s="4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x14ac:dyDescent="0.25">
      <c r="A2311" s="1">
        <v>46189</v>
      </c>
      <c r="B2311" s="1">
        <v>46189</v>
      </c>
      <c r="C2311" t="s">
        <v>169</v>
      </c>
      <c r="D2311" s="38">
        <v>6</v>
      </c>
      <c r="E2311" t="s">
        <v>169</v>
      </c>
      <c r="F2311">
        <v>2505058</v>
      </c>
      <c r="G2311" t="s">
        <v>142</v>
      </c>
      <c r="H231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W2311">
        <v>6344</v>
      </c>
      <c r="X2311" s="2">
        <v>6579000000</v>
      </c>
      <c r="Y2311" s="6">
        <v>178701.44068</v>
      </c>
      <c r="Z2311" s="38">
        <v>10010</v>
      </c>
      <c r="AA2311" s="4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x14ac:dyDescent="0.25">
      <c r="A2312" s="1">
        <v>46189</v>
      </c>
      <c r="B2312" s="1">
        <v>46189</v>
      </c>
      <c r="C2312" t="s">
        <v>169</v>
      </c>
      <c r="D2312" s="38">
        <v>6</v>
      </c>
      <c r="E2312" t="s">
        <v>169</v>
      </c>
      <c r="F2312">
        <v>304002</v>
      </c>
      <c r="G2312" t="s">
        <v>37</v>
      </c>
      <c r="H2312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W2312">
        <v>6344</v>
      </c>
      <c r="X2312" s="2">
        <v>6579000000</v>
      </c>
      <c r="Y2312" s="6">
        <v>1529748.5150160005</v>
      </c>
      <c r="Z2312" s="38">
        <v>10010</v>
      </c>
      <c r="AA2312" s="4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x14ac:dyDescent="0.25">
      <c r="A2313" s="1">
        <v>46189</v>
      </c>
      <c r="B2313" s="1">
        <v>46189</v>
      </c>
      <c r="C2313" t="s">
        <v>169</v>
      </c>
      <c r="D2313" s="38">
        <v>6</v>
      </c>
      <c r="E2313" t="s">
        <v>169</v>
      </c>
      <c r="F2313">
        <v>2304002</v>
      </c>
      <c r="G2313" t="s">
        <v>212</v>
      </c>
      <c r="H2313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W2313">
        <v>6344</v>
      </c>
      <c r="X2313" s="2">
        <v>6579000000</v>
      </c>
      <c r="Y2313" s="6">
        <v>66070.642752</v>
      </c>
      <c r="Z2313" s="38">
        <v>10010</v>
      </c>
      <c r="AA2313" s="4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x14ac:dyDescent="0.25">
      <c r="A2314" s="1">
        <v>46189</v>
      </c>
      <c r="B2314" s="1">
        <v>46189</v>
      </c>
      <c r="C2314" t="s">
        <v>169</v>
      </c>
      <c r="D2314" s="38">
        <v>6</v>
      </c>
      <c r="E2314" t="s">
        <v>169</v>
      </c>
      <c r="F2314">
        <v>2304056</v>
      </c>
      <c r="G2314" t="s">
        <v>417</v>
      </c>
      <c r="H2314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W2314">
        <v>6344</v>
      </c>
      <c r="X2314" s="2">
        <v>6579000000</v>
      </c>
      <c r="Y2314" s="6">
        <v>107244</v>
      </c>
      <c r="Z2314" s="38">
        <v>10010</v>
      </c>
      <c r="AA2314" s="4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x14ac:dyDescent="0.25">
      <c r="A2315" s="1">
        <v>46189</v>
      </c>
      <c r="B2315" s="1">
        <v>46189</v>
      </c>
      <c r="C2315" t="s">
        <v>169</v>
      </c>
      <c r="D2315" s="38">
        <v>6</v>
      </c>
      <c r="E2315" t="s">
        <v>169</v>
      </c>
      <c r="F2315">
        <v>810007</v>
      </c>
      <c r="G2315" t="s">
        <v>235</v>
      </c>
      <c r="H2315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W2315">
        <v>6344</v>
      </c>
      <c r="X2315" s="2">
        <v>6579000000</v>
      </c>
      <c r="Y2315" s="6">
        <v>65494.492760000001</v>
      </c>
      <c r="Z2315" s="38">
        <v>10010</v>
      </c>
      <c r="AA2315" s="4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x14ac:dyDescent="0.25">
      <c r="A2316" s="1">
        <v>46189</v>
      </c>
      <c r="B2316" s="1">
        <v>46189</v>
      </c>
      <c r="C2316" t="s">
        <v>169</v>
      </c>
      <c r="D2316" s="38">
        <v>6</v>
      </c>
      <c r="E2316" t="s">
        <v>169</v>
      </c>
      <c r="F2316">
        <v>408034</v>
      </c>
      <c r="G2316" t="s">
        <v>250</v>
      </c>
      <c r="H2316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W2316">
        <v>6344</v>
      </c>
      <c r="X2316" s="2">
        <v>6579000000</v>
      </c>
      <c r="Y2316" s="6">
        <v>3733.9007100000017</v>
      </c>
      <c r="Z2316" s="38">
        <v>10010</v>
      </c>
      <c r="AA2316" s="4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x14ac:dyDescent="0.25">
      <c r="A2317" s="1">
        <v>46189</v>
      </c>
      <c r="B2317" s="1">
        <v>46189</v>
      </c>
      <c r="C2317" t="s">
        <v>169</v>
      </c>
      <c r="D2317" s="38">
        <v>6</v>
      </c>
      <c r="E2317" t="s">
        <v>169</v>
      </c>
      <c r="F2317" t="s">
        <v>559</v>
      </c>
      <c r="G2317" t="s">
        <v>705</v>
      </c>
      <c r="H2317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2011</v>
      </c>
      <c r="V2317" s="2">
        <v>3018799</v>
      </c>
      <c r="W2317">
        <v>6344</v>
      </c>
      <c r="X2317" s="2">
        <v>6579000000</v>
      </c>
      <c r="Y2317" s="6" t="s">
        <v>355</v>
      </c>
      <c r="Z2317" s="38">
        <v>10010</v>
      </c>
      <c r="AA2317" s="4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x14ac:dyDescent="0.25">
      <c r="A2318" s="1">
        <v>46189</v>
      </c>
      <c r="B2318" s="1">
        <v>46189</v>
      </c>
      <c r="C2318" t="s">
        <v>169</v>
      </c>
      <c r="D2318" s="38">
        <v>6</v>
      </c>
      <c r="E2318" t="s">
        <v>169</v>
      </c>
      <c r="F2318" t="s">
        <v>345</v>
      </c>
      <c r="G2318" t="s">
        <v>167</v>
      </c>
      <c r="H2318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W2318">
        <v>6344</v>
      </c>
      <c r="X2318" s="2">
        <v>6579000000</v>
      </c>
      <c r="Y2318" s="6">
        <v>950591.03336</v>
      </c>
      <c r="Z2318" s="38">
        <v>10010</v>
      </c>
      <c r="AA2318" s="4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x14ac:dyDescent="0.25">
      <c r="A2319" s="1">
        <v>46189</v>
      </c>
      <c r="B2319" s="1">
        <v>46189</v>
      </c>
      <c r="C2319" t="s">
        <v>169</v>
      </c>
      <c r="D2319" s="38">
        <v>6</v>
      </c>
      <c r="E2319" t="s">
        <v>169</v>
      </c>
      <c r="F2319">
        <v>1802659</v>
      </c>
      <c r="G2319" t="s">
        <v>161</v>
      </c>
      <c r="H2319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W2319">
        <v>6344</v>
      </c>
      <c r="X2319" s="2">
        <v>6579000000</v>
      </c>
      <c r="Y2319" s="6">
        <v>17576.778947999999</v>
      </c>
      <c r="Z2319" s="38">
        <v>10010</v>
      </c>
      <c r="AA2319" s="4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x14ac:dyDescent="0.25">
      <c r="A2320" s="1">
        <v>46189</v>
      </c>
      <c r="B2320" s="1">
        <v>46189</v>
      </c>
      <c r="C2320" t="s">
        <v>169</v>
      </c>
      <c r="D2320" s="38">
        <v>6</v>
      </c>
      <c r="E2320" t="s">
        <v>169</v>
      </c>
      <c r="F2320">
        <v>1103076</v>
      </c>
      <c r="G2320" t="s">
        <v>311</v>
      </c>
      <c r="H2320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W2320">
        <v>6344</v>
      </c>
      <c r="X2320" s="2">
        <v>6579000000</v>
      </c>
      <c r="Y2320" s="6">
        <v>63820</v>
      </c>
      <c r="Z2320" s="38">
        <v>10010</v>
      </c>
      <c r="AA2320" s="4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x14ac:dyDescent="0.25">
      <c r="A2321" s="1">
        <v>46189</v>
      </c>
      <c r="B2321" s="1">
        <v>46189</v>
      </c>
      <c r="C2321" t="s">
        <v>169</v>
      </c>
      <c r="D2321" s="38">
        <v>6</v>
      </c>
      <c r="E2321" t="s">
        <v>169</v>
      </c>
      <c r="F2321">
        <v>1103074</v>
      </c>
      <c r="G2321" t="s">
        <v>310</v>
      </c>
      <c r="H232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318618</v>
      </c>
      <c r="U2321" s="26"/>
      <c r="V2321" s="2"/>
      <c r="W2321">
        <v>6344</v>
      </c>
      <c r="X2321" s="2">
        <v>6579000000</v>
      </c>
      <c r="Y2321" s="6">
        <v>48540</v>
      </c>
      <c r="Z2321" s="38">
        <v>10010</v>
      </c>
      <c r="AA2321" s="4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x14ac:dyDescent="0.25">
      <c r="A2322" s="1">
        <v>46189</v>
      </c>
      <c r="B2322" s="1">
        <v>46189</v>
      </c>
      <c r="C2322" t="s">
        <v>169</v>
      </c>
      <c r="D2322" s="38">
        <v>6</v>
      </c>
      <c r="E2322" t="s">
        <v>169</v>
      </c>
      <c r="F2322">
        <v>2304053</v>
      </c>
      <c r="G2322" t="s">
        <v>213</v>
      </c>
      <c r="H2322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318618</v>
      </c>
      <c r="U2322" s="26"/>
      <c r="V2322" s="2"/>
      <c r="W2322">
        <v>6344</v>
      </c>
      <c r="X2322" s="2">
        <v>6579000000</v>
      </c>
      <c r="Y2322" s="6">
        <v>36204.000000000007</v>
      </c>
      <c r="Z2322" s="38">
        <v>10010</v>
      </c>
      <c r="AA2322" s="4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x14ac:dyDescent="0.25">
      <c r="A2323" s="1">
        <v>46189</v>
      </c>
      <c r="B2323" s="1">
        <v>46189</v>
      </c>
      <c r="C2323" t="s">
        <v>169</v>
      </c>
      <c r="D2323" s="38">
        <v>6</v>
      </c>
      <c r="E2323" t="s">
        <v>169</v>
      </c>
      <c r="F2323">
        <v>704079</v>
      </c>
      <c r="G2323" t="s">
        <v>209</v>
      </c>
      <c r="H2323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318618</v>
      </c>
      <c r="U2323" s="26"/>
      <c r="V2323" s="2"/>
      <c r="W2323">
        <v>6344</v>
      </c>
      <c r="X2323" s="2">
        <v>6579000000</v>
      </c>
      <c r="Y2323" s="6">
        <v>7557.04882</v>
      </c>
      <c r="Z2323" s="38">
        <v>10010</v>
      </c>
      <c r="AA2323" s="4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x14ac:dyDescent="0.25">
      <c r="A2324" s="1">
        <v>46189</v>
      </c>
      <c r="B2324" s="1">
        <v>46189</v>
      </c>
      <c r="C2324" t="s">
        <v>169</v>
      </c>
      <c r="D2324" s="38">
        <v>6</v>
      </c>
      <c r="E2324" t="s">
        <v>169</v>
      </c>
      <c r="F2324">
        <v>602255</v>
      </c>
      <c r="G2324" t="s">
        <v>203</v>
      </c>
      <c r="H2324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318618</v>
      </c>
      <c r="U2324" s="26"/>
      <c r="V2324" s="2"/>
      <c r="W2324">
        <v>6344</v>
      </c>
      <c r="X2324" s="2">
        <v>6579000000</v>
      </c>
      <c r="Y2324" s="6">
        <v>143668.5</v>
      </c>
      <c r="Z2324" s="38">
        <v>10010</v>
      </c>
      <c r="AA2324" s="4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x14ac:dyDescent="0.25">
      <c r="A2325" s="1">
        <v>46189</v>
      </c>
      <c r="B2325" s="1">
        <v>46189</v>
      </c>
      <c r="C2325" t="s">
        <v>169</v>
      </c>
      <c r="D2325" s="38">
        <v>6</v>
      </c>
      <c r="E2325" t="s">
        <v>169</v>
      </c>
      <c r="F2325">
        <v>602254</v>
      </c>
      <c r="G2325" t="s">
        <v>214</v>
      </c>
      <c r="H2325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318618</v>
      </c>
      <c r="U2325" s="26"/>
      <c r="V2325" s="2"/>
      <c r="W2325">
        <v>6344</v>
      </c>
      <c r="X2325" s="2">
        <v>6579000000</v>
      </c>
      <c r="Y2325" s="6">
        <v>138180</v>
      </c>
      <c r="Z2325" s="38">
        <v>10010</v>
      </c>
      <c r="AA2325" s="4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x14ac:dyDescent="0.25">
      <c r="A2326" s="1">
        <v>46189</v>
      </c>
      <c r="B2326" s="1">
        <v>46189</v>
      </c>
      <c r="C2326" t="s">
        <v>169</v>
      </c>
      <c r="D2326" s="38">
        <v>6</v>
      </c>
      <c r="E2326" t="s">
        <v>169</v>
      </c>
      <c r="F2326">
        <v>601047</v>
      </c>
      <c r="G2326" t="s">
        <v>129</v>
      </c>
      <c r="H2326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318618</v>
      </c>
      <c r="U2326" s="26"/>
      <c r="V2326" s="2"/>
      <c r="W2326">
        <v>6344</v>
      </c>
      <c r="X2326" s="2">
        <v>6579000000</v>
      </c>
      <c r="Y2326" s="6">
        <v>150860.58000000002</v>
      </c>
      <c r="Z2326" s="38">
        <v>10010</v>
      </c>
      <c r="AA2326" s="4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x14ac:dyDescent="0.25">
      <c r="A2327" s="1">
        <v>46189</v>
      </c>
      <c r="B2327" s="1">
        <v>46189</v>
      </c>
      <c r="C2327" t="s">
        <v>169</v>
      </c>
      <c r="D2327" s="38">
        <v>6</v>
      </c>
      <c r="E2327" t="s">
        <v>169</v>
      </c>
      <c r="F2327">
        <v>2304008</v>
      </c>
      <c r="G2327" t="s">
        <v>704</v>
      </c>
      <c r="H2327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318618</v>
      </c>
      <c r="U2327" s="26"/>
      <c r="V2327" s="2"/>
      <c r="W2327">
        <v>6344</v>
      </c>
      <c r="X2327" s="2">
        <v>6579000000</v>
      </c>
      <c r="Y2327" s="6" t="s">
        <v>355</v>
      </c>
      <c r="Z2327" s="38">
        <v>10010</v>
      </c>
      <c r="AA2327" s="4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x14ac:dyDescent="0.25">
      <c r="A2328" s="1">
        <v>46189</v>
      </c>
      <c r="B2328" s="1">
        <v>46189</v>
      </c>
      <c r="C2328" t="s">
        <v>169</v>
      </c>
      <c r="D2328" s="38">
        <v>6</v>
      </c>
      <c r="E2328" t="s">
        <v>169</v>
      </c>
      <c r="F2328">
        <v>1803044</v>
      </c>
      <c r="G2328" t="s">
        <v>336</v>
      </c>
      <c r="H2328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318618</v>
      </c>
      <c r="U2328" s="26"/>
      <c r="V2328" s="2"/>
      <c r="W2328">
        <v>6344</v>
      </c>
      <c r="X2328" s="2">
        <v>6579000000</v>
      </c>
      <c r="Y2328" s="6">
        <v>105840</v>
      </c>
      <c r="Z2328" s="38">
        <v>10010</v>
      </c>
      <c r="AA2328" s="4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x14ac:dyDescent="0.25">
      <c r="A2329" s="1">
        <v>46189</v>
      </c>
      <c r="B2329" s="1">
        <v>46189</v>
      </c>
      <c r="C2329" t="s">
        <v>169</v>
      </c>
      <c r="D2329" s="38">
        <v>6</v>
      </c>
      <c r="E2329" t="s">
        <v>169</v>
      </c>
      <c r="F2329">
        <v>307033</v>
      </c>
      <c r="G2329" t="s">
        <v>248</v>
      </c>
      <c r="H2329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318618</v>
      </c>
      <c r="U2329" s="26"/>
      <c r="V2329" s="2"/>
      <c r="W2329">
        <v>6344</v>
      </c>
      <c r="X2329" s="2">
        <v>6579000000</v>
      </c>
      <c r="Y2329" s="6">
        <v>56671.606319999999</v>
      </c>
      <c r="Z2329" s="38">
        <v>10010</v>
      </c>
      <c r="AA2329" s="4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x14ac:dyDescent="0.25">
      <c r="A2330" s="1">
        <v>46189</v>
      </c>
      <c r="B2330" s="1">
        <v>46189</v>
      </c>
      <c r="C2330" t="s">
        <v>169</v>
      </c>
      <c r="D2330" s="38">
        <v>6</v>
      </c>
      <c r="E2330" t="s">
        <v>169</v>
      </c>
      <c r="F2330">
        <v>1405040</v>
      </c>
      <c r="G2330" t="s">
        <v>449</v>
      </c>
      <c r="H2330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318618</v>
      </c>
      <c r="U2330" s="26"/>
      <c r="V2330" s="2"/>
      <c r="W2330">
        <v>6344</v>
      </c>
      <c r="X2330" s="2">
        <v>6579000000</v>
      </c>
      <c r="Y2330" s="6">
        <v>45408</v>
      </c>
      <c r="Z2330" s="38">
        <v>10010</v>
      </c>
      <c r="AA2330" s="4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x14ac:dyDescent="0.25">
      <c r="A2331" s="1">
        <v>46189</v>
      </c>
      <c r="B2331" s="1">
        <v>46189</v>
      </c>
      <c r="C2331" t="s">
        <v>169</v>
      </c>
      <c r="D2331" s="38">
        <v>6</v>
      </c>
      <c r="E2331" t="s">
        <v>169</v>
      </c>
      <c r="F2331">
        <v>705028</v>
      </c>
      <c r="G2331" t="s">
        <v>72</v>
      </c>
      <c r="H233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318618</v>
      </c>
      <c r="U2331" s="26"/>
      <c r="V2331" s="2"/>
      <c r="W2331">
        <v>6344</v>
      </c>
      <c r="X2331" s="2">
        <v>6579000000</v>
      </c>
      <c r="Y2331" s="6">
        <v>917083.44828000001</v>
      </c>
      <c r="Z2331" s="38">
        <v>10010</v>
      </c>
      <c r="AA2331" s="4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x14ac:dyDescent="0.25">
      <c r="A2332" s="1">
        <v>46189</v>
      </c>
      <c r="B2332" s="1">
        <v>46189</v>
      </c>
      <c r="C2332" t="s">
        <v>169</v>
      </c>
      <c r="D2332" s="38">
        <v>6</v>
      </c>
      <c r="E2332" t="s">
        <v>169</v>
      </c>
      <c r="F2332">
        <v>408042</v>
      </c>
      <c r="G2332" t="s">
        <v>144</v>
      </c>
      <c r="H2332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318618</v>
      </c>
      <c r="U2332" s="26"/>
      <c r="V2332" s="2"/>
      <c r="W2332">
        <v>6344</v>
      </c>
      <c r="X2332" s="2">
        <v>6579000000</v>
      </c>
      <c r="Y2332" s="6">
        <v>105000.00000000007</v>
      </c>
      <c r="Z2332" s="38">
        <v>10010</v>
      </c>
      <c r="AA2332" s="4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x14ac:dyDescent="0.25">
      <c r="A2333" s="1">
        <v>46189</v>
      </c>
      <c r="B2333" s="1">
        <v>46189</v>
      </c>
      <c r="C2333" t="s">
        <v>169</v>
      </c>
      <c r="D2333" s="38">
        <v>6</v>
      </c>
      <c r="E2333" t="s">
        <v>169</v>
      </c>
      <c r="F2333">
        <v>307032</v>
      </c>
      <c r="G2333" t="s">
        <v>186</v>
      </c>
      <c r="H2333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318618</v>
      </c>
      <c r="U2333" s="26"/>
      <c r="V2333" s="2"/>
      <c r="W2333">
        <v>6344</v>
      </c>
      <c r="X2333" s="2">
        <v>6579000000</v>
      </c>
      <c r="Y2333" s="6">
        <v>142702.50245999999</v>
      </c>
      <c r="Z2333" s="38">
        <v>10010</v>
      </c>
      <c r="AA2333" s="4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x14ac:dyDescent="0.25">
      <c r="A2334" s="1">
        <v>46189</v>
      </c>
      <c r="B2334" s="1">
        <v>46189</v>
      </c>
      <c r="C2334" t="s">
        <v>169</v>
      </c>
      <c r="D2334" s="38">
        <v>6</v>
      </c>
      <c r="E2334" t="s">
        <v>169</v>
      </c>
      <c r="F2334">
        <v>609008</v>
      </c>
      <c r="G2334" t="s">
        <v>57</v>
      </c>
      <c r="H2334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318618</v>
      </c>
      <c r="U2334" s="26"/>
      <c r="V2334" s="2"/>
      <c r="W2334">
        <v>6344</v>
      </c>
      <c r="X2334" s="2">
        <v>6579000000</v>
      </c>
      <c r="Y2334" s="6">
        <v>10653.786550000001</v>
      </c>
      <c r="Z2334" s="38">
        <v>10010</v>
      </c>
      <c r="AA2334" s="4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x14ac:dyDescent="0.25">
      <c r="A2335" s="1">
        <v>46190</v>
      </c>
      <c r="B2335" s="1">
        <v>46190</v>
      </c>
      <c r="C2335" t="s">
        <v>169</v>
      </c>
      <c r="D2335" s="38">
        <v>6</v>
      </c>
      <c r="E2335" t="s">
        <v>169</v>
      </c>
      <c r="F2335">
        <v>1805340</v>
      </c>
      <c r="G2335" t="s">
        <v>298</v>
      </c>
      <c r="H2335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2026</v>
      </c>
      <c r="V2335" s="2">
        <v>194000</v>
      </c>
      <c r="W2335">
        <v>6344</v>
      </c>
      <c r="X2335" s="2">
        <v>6579000000</v>
      </c>
      <c r="Y2335" s="6">
        <v>194000</v>
      </c>
      <c r="Z2335" s="38">
        <v>10010</v>
      </c>
      <c r="AA2335" s="4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x14ac:dyDescent="0.25">
      <c r="A2336" s="1">
        <v>46190</v>
      </c>
      <c r="B2336" s="1">
        <v>46190</v>
      </c>
      <c r="C2336" t="s">
        <v>169</v>
      </c>
      <c r="D2336" s="38">
        <v>6</v>
      </c>
      <c r="E2336" t="s">
        <v>169</v>
      </c>
      <c r="F2336">
        <v>2302017</v>
      </c>
      <c r="G2336" t="s">
        <v>156</v>
      </c>
      <c r="H2336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 t="s">
        <v>2011</v>
      </c>
      <c r="V2336" s="2">
        <v>341336</v>
      </c>
      <c r="W2336">
        <v>6344</v>
      </c>
      <c r="X2336" s="2">
        <v>6579000000</v>
      </c>
      <c r="Y2336" s="6">
        <v>324791.52631599992</v>
      </c>
      <c r="Z2336" s="38">
        <v>10010</v>
      </c>
      <c r="AA2336" s="4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x14ac:dyDescent="0.25">
      <c r="A2337" s="1">
        <v>46190</v>
      </c>
      <c r="B2337" s="1">
        <v>46190</v>
      </c>
      <c r="C2337" t="s">
        <v>169</v>
      </c>
      <c r="D2337" s="38">
        <v>6</v>
      </c>
      <c r="E2337" t="s">
        <v>169</v>
      </c>
      <c r="F2337">
        <v>304002</v>
      </c>
      <c r="G2337" t="s">
        <v>37</v>
      </c>
      <c r="H2337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 t="s">
        <v>2020</v>
      </c>
      <c r="V2337" s="2">
        <v>7793582</v>
      </c>
      <c r="W2337">
        <v>6344</v>
      </c>
      <c r="X2337" s="2">
        <v>6579000000</v>
      </c>
      <c r="Y2337" s="6">
        <v>7648742.5750799999</v>
      </c>
      <c r="Z2337" s="38">
        <v>10010</v>
      </c>
      <c r="AA2337" s="4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x14ac:dyDescent="0.25">
      <c r="A2338" s="1">
        <v>46190</v>
      </c>
      <c r="B2338" s="1">
        <v>46190</v>
      </c>
      <c r="C2338" t="s">
        <v>169</v>
      </c>
      <c r="D2338" s="38">
        <v>6</v>
      </c>
      <c r="E2338" t="s">
        <v>169</v>
      </c>
      <c r="F2338">
        <v>404792</v>
      </c>
      <c r="G2338" t="s">
        <v>2003</v>
      </c>
      <c r="H2338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 t="s">
        <v>2008</v>
      </c>
      <c r="V2338" s="2">
        <v>582839</v>
      </c>
      <c r="W2338">
        <v>6344</v>
      </c>
      <c r="X2338" s="2">
        <v>6579000000</v>
      </c>
      <c r="Y2338" s="6" t="s">
        <v>355</v>
      </c>
      <c r="Z2338" s="38">
        <v>10010</v>
      </c>
      <c r="AA2338" s="4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x14ac:dyDescent="0.25">
      <c r="A2339" s="1">
        <v>46190</v>
      </c>
      <c r="B2339" s="1">
        <v>46190</v>
      </c>
      <c r="C2339" t="s">
        <v>169</v>
      </c>
      <c r="D2339" s="38">
        <v>6</v>
      </c>
      <c r="E2339" t="s">
        <v>169</v>
      </c>
      <c r="F2339">
        <v>2302119</v>
      </c>
      <c r="G2339" t="s">
        <v>74</v>
      </c>
      <c r="H2339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W2339">
        <v>6344</v>
      </c>
      <c r="X2339" s="2">
        <v>6579000000</v>
      </c>
      <c r="Y2339" s="6">
        <v>88104</v>
      </c>
      <c r="Z2339" s="38">
        <v>10010</v>
      </c>
      <c r="AA2339" s="4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x14ac:dyDescent="0.25">
      <c r="A2340" s="1">
        <v>46190</v>
      </c>
      <c r="B2340" s="1">
        <v>46190</v>
      </c>
      <c r="C2340" t="s">
        <v>169</v>
      </c>
      <c r="D2340" s="38">
        <v>6</v>
      </c>
      <c r="E2340" t="s">
        <v>169</v>
      </c>
      <c r="F2340">
        <v>1405039</v>
      </c>
      <c r="G2340" t="s">
        <v>314</v>
      </c>
      <c r="H2340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W2340">
        <v>6344</v>
      </c>
      <c r="X2340" s="2">
        <v>6579000000</v>
      </c>
      <c r="Y2340" s="6">
        <v>37980</v>
      </c>
      <c r="Z2340" s="38">
        <v>10010</v>
      </c>
      <c r="AA2340" s="4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x14ac:dyDescent="0.25">
      <c r="A2341" s="1">
        <v>46190</v>
      </c>
      <c r="B2341" s="1">
        <v>46190</v>
      </c>
      <c r="C2341" t="s">
        <v>169</v>
      </c>
      <c r="D2341" s="38">
        <v>6</v>
      </c>
      <c r="E2341" t="s">
        <v>169</v>
      </c>
      <c r="F2341">
        <v>1405040</v>
      </c>
      <c r="G2341" t="s">
        <v>449</v>
      </c>
      <c r="H234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W2341">
        <v>6344</v>
      </c>
      <c r="X2341" s="2">
        <v>6579000000</v>
      </c>
      <c r="Y2341" s="6">
        <v>75680</v>
      </c>
      <c r="Z2341" s="38">
        <v>10010</v>
      </c>
      <c r="AA2341" s="4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x14ac:dyDescent="0.25">
      <c r="A2342" s="1">
        <v>46190</v>
      </c>
      <c r="B2342" s="1">
        <v>46190</v>
      </c>
      <c r="C2342" t="s">
        <v>169</v>
      </c>
      <c r="D2342" s="38">
        <v>6</v>
      </c>
      <c r="E2342" t="s">
        <v>169</v>
      </c>
      <c r="F2342">
        <v>307096</v>
      </c>
      <c r="G2342" t="s">
        <v>249</v>
      </c>
      <c r="H2342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W2342">
        <v>6344</v>
      </c>
      <c r="X2342" s="2">
        <v>6579000000</v>
      </c>
      <c r="Y2342" s="6">
        <v>104767.50644999991</v>
      </c>
      <c r="Z2342" s="38">
        <v>10010</v>
      </c>
      <c r="AA2342" s="4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x14ac:dyDescent="0.25">
      <c r="A2343" s="1">
        <v>46190</v>
      </c>
      <c r="B2343" s="1">
        <v>46190</v>
      </c>
      <c r="C2343" t="s">
        <v>169</v>
      </c>
      <c r="D2343" s="38">
        <v>6</v>
      </c>
      <c r="E2343" t="s">
        <v>169</v>
      </c>
      <c r="F2343">
        <v>307033</v>
      </c>
      <c r="G2343" t="s">
        <v>248</v>
      </c>
      <c r="H2343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W2343">
        <v>6344</v>
      </c>
      <c r="X2343" s="2">
        <v>6579000000</v>
      </c>
      <c r="Y2343" s="6">
        <v>94452.677199999991</v>
      </c>
      <c r="Z2343" s="38">
        <v>10010</v>
      </c>
      <c r="AA2343" s="4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x14ac:dyDescent="0.25">
      <c r="A2344" s="1">
        <v>46190</v>
      </c>
      <c r="B2344" s="1">
        <v>46190</v>
      </c>
      <c r="C2344" t="s">
        <v>169</v>
      </c>
      <c r="D2344" s="38">
        <v>6</v>
      </c>
      <c r="E2344" t="s">
        <v>169</v>
      </c>
      <c r="F2344">
        <v>1610023</v>
      </c>
      <c r="G2344" t="s">
        <v>351</v>
      </c>
      <c r="H2344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W2344">
        <v>6344</v>
      </c>
      <c r="X2344" s="2">
        <v>6579000000</v>
      </c>
      <c r="Y2344" s="6">
        <v>10545.292710000002</v>
      </c>
      <c r="Z2344" s="38">
        <v>10010</v>
      </c>
      <c r="AA2344" s="4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x14ac:dyDescent="0.25">
      <c r="A2345" s="1">
        <v>46190</v>
      </c>
      <c r="B2345" s="1">
        <v>46190</v>
      </c>
      <c r="C2345" t="s">
        <v>169</v>
      </c>
      <c r="D2345" s="38">
        <v>6</v>
      </c>
      <c r="E2345" t="s">
        <v>169</v>
      </c>
      <c r="F2345">
        <v>1701154</v>
      </c>
      <c r="G2345" t="s">
        <v>710</v>
      </c>
      <c r="H2345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 t="s">
        <v>2012</v>
      </c>
      <c r="V2345" s="2">
        <v>278236</v>
      </c>
      <c r="W2345">
        <v>6344</v>
      </c>
      <c r="X2345" s="2">
        <v>6579000000</v>
      </c>
      <c r="Y2345" s="6">
        <v>4920</v>
      </c>
      <c r="Z2345" s="38">
        <v>10010</v>
      </c>
      <c r="AA2345" s="4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x14ac:dyDescent="0.25">
      <c r="A2346" s="1">
        <v>46190</v>
      </c>
      <c r="B2346" s="1">
        <v>46190</v>
      </c>
      <c r="C2346" t="s">
        <v>169</v>
      </c>
      <c r="D2346" s="38">
        <v>6</v>
      </c>
      <c r="E2346" t="s">
        <v>169</v>
      </c>
      <c r="F2346">
        <v>1802175</v>
      </c>
      <c r="G2346" t="s">
        <v>269</v>
      </c>
      <c r="H2346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W2346">
        <v>6344</v>
      </c>
      <c r="X2346" s="2">
        <v>6579000000</v>
      </c>
      <c r="Y2346" s="6">
        <v>4316</v>
      </c>
      <c r="Z2346" s="38">
        <v>10010</v>
      </c>
      <c r="AA2346" s="4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x14ac:dyDescent="0.25">
      <c r="A2347" s="1">
        <v>46190</v>
      </c>
      <c r="B2347" s="1">
        <v>46190</v>
      </c>
      <c r="C2347" t="s">
        <v>169</v>
      </c>
      <c r="D2347" s="38">
        <v>6</v>
      </c>
      <c r="E2347" t="s">
        <v>169</v>
      </c>
      <c r="F2347">
        <v>1802174</v>
      </c>
      <c r="G2347" t="s">
        <v>268</v>
      </c>
      <c r="H2347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W2347">
        <v>6344</v>
      </c>
      <c r="X2347" s="2">
        <v>6579000000</v>
      </c>
      <c r="Y2347" s="6">
        <v>30836</v>
      </c>
      <c r="Z2347" s="38">
        <v>10010</v>
      </c>
      <c r="AA2347" s="4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x14ac:dyDescent="0.25">
      <c r="A2348" s="1">
        <v>46190</v>
      </c>
      <c r="B2348" s="1">
        <v>46190</v>
      </c>
      <c r="C2348" t="s">
        <v>169</v>
      </c>
      <c r="D2348" s="38">
        <v>6</v>
      </c>
      <c r="E2348" t="s">
        <v>169</v>
      </c>
      <c r="F2348">
        <v>1802173</v>
      </c>
      <c r="G2348" t="s">
        <v>267</v>
      </c>
      <c r="H2348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W2348">
        <v>6344</v>
      </c>
      <c r="X2348" s="2">
        <v>6579000000</v>
      </c>
      <c r="Y2348" s="6">
        <v>47984</v>
      </c>
      <c r="Z2348" s="38">
        <v>10010</v>
      </c>
      <c r="AA2348" s="4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x14ac:dyDescent="0.25">
      <c r="A2349" s="1">
        <v>46190</v>
      </c>
      <c r="B2349" s="1">
        <v>46190</v>
      </c>
      <c r="C2349" t="s">
        <v>169</v>
      </c>
      <c r="D2349" s="38">
        <v>6</v>
      </c>
      <c r="E2349" t="s">
        <v>169</v>
      </c>
      <c r="F2349">
        <v>5316484</v>
      </c>
      <c r="G2349" t="s">
        <v>96</v>
      </c>
      <c r="H2349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W2349">
        <v>6344</v>
      </c>
      <c r="X2349" s="2">
        <v>6579000000</v>
      </c>
      <c r="Y2349" s="6">
        <v>34981.818184000003</v>
      </c>
      <c r="Z2349" s="38">
        <v>10010</v>
      </c>
      <c r="AA2349" s="4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x14ac:dyDescent="0.25">
      <c r="A2350" s="1">
        <v>46190</v>
      </c>
      <c r="B2350" s="1">
        <v>46190</v>
      </c>
      <c r="C2350" t="s">
        <v>169</v>
      </c>
      <c r="D2350" s="38">
        <v>6</v>
      </c>
      <c r="E2350" t="s">
        <v>169</v>
      </c>
      <c r="F2350">
        <v>5316483</v>
      </c>
      <c r="G2350" t="s">
        <v>97</v>
      </c>
      <c r="H2350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W2350">
        <v>6344</v>
      </c>
      <c r="X2350" s="2">
        <v>6579000000</v>
      </c>
      <c r="Y2350" s="6">
        <v>25900.857144000001</v>
      </c>
      <c r="Z2350" s="38">
        <v>10010</v>
      </c>
      <c r="AA2350" s="4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x14ac:dyDescent="0.25">
      <c r="A2351" s="1">
        <v>46190</v>
      </c>
      <c r="B2351" s="1">
        <v>46190</v>
      </c>
      <c r="C2351" t="s">
        <v>169</v>
      </c>
      <c r="D2351" s="38">
        <v>6</v>
      </c>
      <c r="E2351" t="s">
        <v>169</v>
      </c>
      <c r="F2351">
        <v>1802170</v>
      </c>
      <c r="G2351" t="s">
        <v>264</v>
      </c>
      <c r="H235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W2351">
        <v>6344</v>
      </c>
      <c r="X2351" s="2">
        <v>6579000000</v>
      </c>
      <c r="Y2351" s="6">
        <v>8172</v>
      </c>
      <c r="Z2351" s="38">
        <v>10010</v>
      </c>
      <c r="AA2351" s="4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x14ac:dyDescent="0.25">
      <c r="A2352" s="1">
        <v>46190</v>
      </c>
      <c r="B2352" s="1">
        <v>46190</v>
      </c>
      <c r="C2352" t="s">
        <v>169</v>
      </c>
      <c r="D2352" s="38">
        <v>6</v>
      </c>
      <c r="E2352" t="s">
        <v>169</v>
      </c>
      <c r="F2352">
        <v>1802169</v>
      </c>
      <c r="G2352" t="s">
        <v>263</v>
      </c>
      <c r="H2352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W2352">
        <v>6344</v>
      </c>
      <c r="X2352" s="2">
        <v>6579000000</v>
      </c>
      <c r="Y2352" s="6">
        <v>42964</v>
      </c>
      <c r="Z2352" s="38">
        <v>10010</v>
      </c>
      <c r="AA2352" s="4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x14ac:dyDescent="0.25">
      <c r="A2353" s="1">
        <v>46190</v>
      </c>
      <c r="B2353" s="1">
        <v>46190</v>
      </c>
      <c r="C2353" t="s">
        <v>169</v>
      </c>
      <c r="D2353" s="38">
        <v>6</v>
      </c>
      <c r="E2353" t="s">
        <v>169</v>
      </c>
      <c r="F2353">
        <v>1802167</v>
      </c>
      <c r="G2353" t="s">
        <v>262</v>
      </c>
      <c r="H2353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W2353">
        <v>6344</v>
      </c>
      <c r="X2353" s="2">
        <v>6579000000</v>
      </c>
      <c r="Y2353" s="6">
        <v>59888</v>
      </c>
      <c r="Z2353" s="38">
        <v>10010</v>
      </c>
      <c r="AA2353" s="4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x14ac:dyDescent="0.25">
      <c r="A2354" s="1">
        <v>46190</v>
      </c>
      <c r="B2354" s="1">
        <v>46190</v>
      </c>
      <c r="C2354" t="s">
        <v>169</v>
      </c>
      <c r="D2354" s="38">
        <v>6</v>
      </c>
      <c r="E2354" t="s">
        <v>169</v>
      </c>
      <c r="F2354">
        <v>1801229</v>
      </c>
      <c r="G2354" t="s">
        <v>259</v>
      </c>
      <c r="H2354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W2354">
        <v>6344</v>
      </c>
      <c r="X2354" s="2">
        <v>6579000000</v>
      </c>
      <c r="Y2354" s="6">
        <v>18702.074076000001</v>
      </c>
      <c r="Z2354" s="38">
        <v>10010</v>
      </c>
      <c r="AA2354" s="4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x14ac:dyDescent="0.25">
      <c r="A2355" s="1">
        <v>46190</v>
      </c>
      <c r="B2355" s="1">
        <v>46190</v>
      </c>
      <c r="C2355" t="s">
        <v>169</v>
      </c>
      <c r="D2355" s="38">
        <v>6</v>
      </c>
      <c r="E2355" t="s">
        <v>169</v>
      </c>
      <c r="F2355">
        <v>1808145</v>
      </c>
      <c r="G2355" t="s">
        <v>273</v>
      </c>
      <c r="H2355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 t="s">
        <v>2012</v>
      </c>
      <c r="V2355" s="2">
        <v>506263</v>
      </c>
      <c r="W2355">
        <v>6344</v>
      </c>
      <c r="X2355" s="2">
        <v>6579000000</v>
      </c>
      <c r="Y2355" s="6">
        <v>68580</v>
      </c>
      <c r="Z2355" s="38">
        <v>10010</v>
      </c>
      <c r="AA2355" s="4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x14ac:dyDescent="0.25">
      <c r="A2356" s="1">
        <v>46190</v>
      </c>
      <c r="B2356" s="1">
        <v>46190</v>
      </c>
      <c r="C2356" t="s">
        <v>169</v>
      </c>
      <c r="D2356" s="38">
        <v>6</v>
      </c>
      <c r="E2356" t="s">
        <v>169</v>
      </c>
      <c r="F2356">
        <v>1808144</v>
      </c>
      <c r="G2356" t="s">
        <v>272</v>
      </c>
      <c r="H2356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W2356">
        <v>6344</v>
      </c>
      <c r="X2356" s="2">
        <v>6579000000</v>
      </c>
      <c r="Y2356" s="6">
        <v>92912</v>
      </c>
      <c r="Z2356" s="38">
        <v>10010</v>
      </c>
      <c r="AA2356" s="4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x14ac:dyDescent="0.25">
      <c r="A2357" s="1">
        <v>46190</v>
      </c>
      <c r="B2357" s="1">
        <v>46190</v>
      </c>
      <c r="C2357" t="s">
        <v>169</v>
      </c>
      <c r="D2357" s="38">
        <v>6</v>
      </c>
      <c r="E2357" t="s">
        <v>169</v>
      </c>
      <c r="F2357">
        <v>407795</v>
      </c>
      <c r="G2357" t="s">
        <v>325</v>
      </c>
      <c r="H2357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W2357">
        <v>6344</v>
      </c>
      <c r="X2357" s="2">
        <v>6579000000</v>
      </c>
      <c r="Y2357" s="6">
        <v>6443.7344400000002</v>
      </c>
      <c r="Z2357" s="38">
        <v>10010</v>
      </c>
      <c r="AA2357" s="4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x14ac:dyDescent="0.25">
      <c r="A2358" s="1">
        <v>46190</v>
      </c>
      <c r="B2358" s="1">
        <v>46190</v>
      </c>
      <c r="C2358" t="s">
        <v>169</v>
      </c>
      <c r="D2358" s="38">
        <v>6</v>
      </c>
      <c r="E2358" t="s">
        <v>169</v>
      </c>
      <c r="F2358">
        <v>2304003</v>
      </c>
      <c r="G2358" t="s">
        <v>132</v>
      </c>
      <c r="H2358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W2358">
        <v>6344</v>
      </c>
      <c r="X2358" s="2">
        <v>6579000000</v>
      </c>
      <c r="Y2358" s="6">
        <v>3891.4057859999998</v>
      </c>
      <c r="Z2358" s="38">
        <v>10010</v>
      </c>
      <c r="AA2358" s="4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x14ac:dyDescent="0.25">
      <c r="A2359" s="1">
        <v>46190</v>
      </c>
      <c r="B2359" s="1">
        <v>46190</v>
      </c>
      <c r="C2359" t="s">
        <v>169</v>
      </c>
      <c r="D2359" s="38">
        <v>6</v>
      </c>
      <c r="E2359" t="s">
        <v>169</v>
      </c>
      <c r="F2359">
        <v>1802166</v>
      </c>
      <c r="G2359" t="s">
        <v>283</v>
      </c>
      <c r="H2359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W2359">
        <v>6344</v>
      </c>
      <c r="X2359" s="2">
        <v>6579000000</v>
      </c>
      <c r="Y2359" s="6">
        <v>55476</v>
      </c>
      <c r="Z2359" s="38">
        <v>10010</v>
      </c>
      <c r="AA2359" s="4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x14ac:dyDescent="0.25">
      <c r="A2360" s="1">
        <v>46190</v>
      </c>
      <c r="B2360" s="1">
        <v>46190</v>
      </c>
      <c r="C2360" t="s">
        <v>169</v>
      </c>
      <c r="D2360" s="38">
        <v>6</v>
      </c>
      <c r="E2360" t="s">
        <v>169</v>
      </c>
      <c r="F2360">
        <v>1703006</v>
      </c>
      <c r="G2360" t="s">
        <v>48</v>
      </c>
      <c r="H2360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W2360">
        <v>6344</v>
      </c>
      <c r="X2360" s="2">
        <v>6579000000</v>
      </c>
      <c r="Y2360" s="6">
        <v>6648</v>
      </c>
      <c r="Z2360" s="38">
        <v>10010</v>
      </c>
      <c r="AA2360" s="4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x14ac:dyDescent="0.25">
      <c r="A2361" s="1">
        <v>46190</v>
      </c>
      <c r="B2361" s="1">
        <v>46190</v>
      </c>
      <c r="C2361" t="s">
        <v>169</v>
      </c>
      <c r="D2361" s="38">
        <v>6</v>
      </c>
      <c r="E2361" t="s">
        <v>169</v>
      </c>
      <c r="F2361">
        <v>5316509</v>
      </c>
      <c r="G2361" t="s">
        <v>56</v>
      </c>
      <c r="H236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W2361">
        <v>6344</v>
      </c>
      <c r="X2361" s="2">
        <v>6579000000</v>
      </c>
      <c r="Y2361" s="6">
        <v>15433.333333</v>
      </c>
      <c r="Z2361" s="38">
        <v>10010</v>
      </c>
      <c r="AA2361" s="4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x14ac:dyDescent="0.25">
      <c r="A2362" s="1">
        <v>46190</v>
      </c>
      <c r="B2362" s="1">
        <v>46190</v>
      </c>
      <c r="C2362" t="s">
        <v>169</v>
      </c>
      <c r="D2362" s="38">
        <v>6</v>
      </c>
      <c r="E2362" t="s">
        <v>169</v>
      </c>
      <c r="F2362">
        <v>5316508</v>
      </c>
      <c r="G2362" t="s">
        <v>468</v>
      </c>
      <c r="H2362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W2362">
        <v>6344</v>
      </c>
      <c r="X2362" s="2">
        <v>6579000000</v>
      </c>
      <c r="Y2362" s="6" t="s">
        <v>355</v>
      </c>
      <c r="Z2362" s="38">
        <v>10010</v>
      </c>
      <c r="AA2362" s="4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x14ac:dyDescent="0.25">
      <c r="A2363" s="1">
        <v>46190</v>
      </c>
      <c r="B2363" s="1">
        <v>46190</v>
      </c>
      <c r="C2363" t="s">
        <v>169</v>
      </c>
      <c r="D2363" s="38">
        <v>6</v>
      </c>
      <c r="E2363" t="s">
        <v>169</v>
      </c>
      <c r="F2363">
        <v>5316507</v>
      </c>
      <c r="G2363" t="s">
        <v>55</v>
      </c>
      <c r="H2363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W2363">
        <v>6344</v>
      </c>
      <c r="X2363" s="2">
        <v>6579000000</v>
      </c>
      <c r="Y2363" s="6">
        <v>165678.66666799999</v>
      </c>
      <c r="Z2363" s="38">
        <v>10010</v>
      </c>
      <c r="AA2363" s="4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x14ac:dyDescent="0.25">
      <c r="A2364" s="1">
        <v>46190</v>
      </c>
      <c r="B2364" s="1">
        <v>46190</v>
      </c>
      <c r="C2364" t="s">
        <v>169</v>
      </c>
      <c r="D2364" s="38">
        <v>6</v>
      </c>
      <c r="E2364" t="s">
        <v>169</v>
      </c>
      <c r="F2364">
        <v>2505426</v>
      </c>
      <c r="G2364" t="s">
        <v>708</v>
      </c>
      <c r="H2364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W2364">
        <v>6344</v>
      </c>
      <c r="X2364" s="2">
        <v>6579000000</v>
      </c>
      <c r="Y2364" s="6">
        <v>6736</v>
      </c>
      <c r="Z2364" s="38">
        <v>10010</v>
      </c>
      <c r="AA2364" s="4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x14ac:dyDescent="0.25">
      <c r="A2365" s="1">
        <v>46190</v>
      </c>
      <c r="B2365" s="1">
        <v>46190</v>
      </c>
      <c r="C2365" t="s">
        <v>169</v>
      </c>
      <c r="D2365" s="38">
        <v>6</v>
      </c>
      <c r="E2365" t="s">
        <v>169</v>
      </c>
      <c r="F2365">
        <v>1802176</v>
      </c>
      <c r="G2365" t="s">
        <v>196</v>
      </c>
      <c r="H2365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W2365">
        <v>6344</v>
      </c>
      <c r="X2365" s="2">
        <v>6579000000</v>
      </c>
      <c r="Y2365" s="6">
        <v>8796</v>
      </c>
      <c r="Z2365" s="38">
        <v>10010</v>
      </c>
      <c r="AA2365" s="4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x14ac:dyDescent="0.25">
      <c r="A2366" s="1">
        <v>46190</v>
      </c>
      <c r="B2366" s="1">
        <v>46190</v>
      </c>
      <c r="C2366" t="s">
        <v>169</v>
      </c>
      <c r="D2366" s="38">
        <v>6</v>
      </c>
      <c r="E2366" t="s">
        <v>169</v>
      </c>
      <c r="F2366">
        <v>1802165</v>
      </c>
      <c r="G2366" t="s">
        <v>261</v>
      </c>
      <c r="H2366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W2366">
        <v>6344</v>
      </c>
      <c r="X2366" s="2">
        <v>6579000000</v>
      </c>
      <c r="Y2366" s="6">
        <v>36488</v>
      </c>
      <c r="Z2366" s="38">
        <v>10010</v>
      </c>
      <c r="AA2366" s="4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x14ac:dyDescent="0.25">
      <c r="A2367" s="1">
        <v>46190</v>
      </c>
      <c r="B2367" s="1">
        <v>46190</v>
      </c>
      <c r="C2367" t="s">
        <v>169</v>
      </c>
      <c r="D2367" s="38">
        <v>6</v>
      </c>
      <c r="E2367" t="s">
        <v>169</v>
      </c>
      <c r="F2367">
        <v>1808147</v>
      </c>
      <c r="G2367" t="s">
        <v>275</v>
      </c>
      <c r="H2367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 t="s">
        <v>2012</v>
      </c>
      <c r="V2367" s="2">
        <v>13246</v>
      </c>
      <c r="W2367">
        <v>6344</v>
      </c>
      <c r="X2367" s="2">
        <v>6579000000</v>
      </c>
      <c r="Y2367" s="6">
        <v>9172</v>
      </c>
      <c r="Z2367" s="38">
        <v>10010</v>
      </c>
      <c r="AA2367" s="4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x14ac:dyDescent="0.25">
      <c r="A2368" s="1">
        <v>46190</v>
      </c>
      <c r="B2368" s="1">
        <v>46190</v>
      </c>
      <c r="C2368" t="s">
        <v>169</v>
      </c>
      <c r="D2368" s="38">
        <v>6</v>
      </c>
      <c r="E2368" t="s">
        <v>169</v>
      </c>
      <c r="F2368">
        <v>1808148</v>
      </c>
      <c r="G2368" t="s">
        <v>276</v>
      </c>
      <c r="H2368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W2368">
        <v>6344</v>
      </c>
      <c r="X2368" s="2">
        <v>6579000000</v>
      </c>
      <c r="Y2368" s="6">
        <v>4356</v>
      </c>
      <c r="Z2368" s="38">
        <v>10010</v>
      </c>
      <c r="AA2368" s="4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x14ac:dyDescent="0.25">
      <c r="A2369" s="1">
        <v>46191</v>
      </c>
      <c r="B2369" s="1">
        <v>46191</v>
      </c>
      <c r="C2369" t="s">
        <v>169</v>
      </c>
      <c r="D2369" s="38">
        <v>6</v>
      </c>
      <c r="E2369" t="s">
        <v>169</v>
      </c>
      <c r="F2369">
        <v>2505058</v>
      </c>
      <c r="G2369" t="s">
        <v>142</v>
      </c>
      <c r="H2369" t="s">
        <v>31</v>
      </c>
      <c r="I2369" s="3">
        <v>25</v>
      </c>
      <c r="J2369" s="3"/>
      <c r="K2369" s="26">
        <v>25</v>
      </c>
      <c r="L2369" s="2">
        <v>16469.68</v>
      </c>
      <c r="M2369" s="2">
        <v>411742</v>
      </c>
      <c r="N2369" s="2">
        <v>411742</v>
      </c>
      <c r="O2369" s="2">
        <v>17870.144100000001</v>
      </c>
      <c r="P2369" s="2">
        <v>1400.4640999999999</v>
      </c>
      <c r="Q2369" s="2">
        <v>35011.601699999999</v>
      </c>
      <c r="R2369" s="4">
        <v>7.8368929912983012E-2</v>
      </c>
      <c r="T2369">
        <v>318776</v>
      </c>
      <c r="U2369" s="26" t="s">
        <v>2008</v>
      </c>
      <c r="V2369" s="2">
        <v>443946</v>
      </c>
      <c r="W2369">
        <v>6344</v>
      </c>
      <c r="X2369" s="2">
        <v>6579000000</v>
      </c>
      <c r="Y2369" s="6">
        <v>446753.60170000006</v>
      </c>
      <c r="Z2369" s="38">
        <v>10010</v>
      </c>
      <c r="AA2369" s="4">
        <f>+((DETALLE_GD_1[[#This Row],[VALOR X UN (GD)]]-DETALLE_GD_1[[#This Row],[VALOR PPTO]])/DETALLE_GD_1[[#This Row],[VALOR PPTO]])</f>
        <v>-7.8368931563344305E-2</v>
      </c>
      <c r="AB2369" s="2">
        <f>+DETALLE_GD_1[[#This Row],[VALOR PPTO]]*DETALLE_GD_1[[#This Row],[CANTIDAD RECIBIDA]]</f>
        <v>446753.60250000004</v>
      </c>
      <c r="AC2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9" s="3">
        <f>+DETALLE_GD_1[[#This Row],[CANTIDAD SOLICITADA]]-DETALLE_GD_1[[#This Row],[DEVOLUCIÓN]]</f>
        <v>25</v>
      </c>
      <c r="AE2369" s="38" t="str">
        <f>+_xlfn.XLOOKUP(DETALLE_GD_1[[#This Row],[CODIGO]],PRODUCTOS[CODIGO],PRODUCTOS[DESC CORTA],"",0)</f>
        <v>VENTILACIÓN PASIVA</v>
      </c>
    </row>
    <row r="2370" spans="1:31" x14ac:dyDescent="0.25">
      <c r="A2370" s="1">
        <v>46191</v>
      </c>
      <c r="B2370" s="1">
        <v>46191</v>
      </c>
      <c r="C2370" t="s">
        <v>169</v>
      </c>
      <c r="D2370" s="38">
        <v>6</v>
      </c>
      <c r="E2370" t="s">
        <v>169</v>
      </c>
      <c r="F2370" t="s">
        <v>784</v>
      </c>
      <c r="G2370" t="s">
        <v>95</v>
      </c>
      <c r="H2370" t="s">
        <v>31</v>
      </c>
      <c r="I2370" s="3">
        <v>10</v>
      </c>
      <c r="J2370" s="3"/>
      <c r="K2370" s="26">
        <v>10</v>
      </c>
      <c r="L2370" s="2">
        <v>3021.3</v>
      </c>
      <c r="M2370" s="2">
        <v>30213</v>
      </c>
      <c r="N2370" s="2">
        <v>30213</v>
      </c>
      <c r="O2370" s="2">
        <v>3021.2829000000002</v>
      </c>
      <c r="P2370" s="2">
        <v>-1.7100000000000001E-2</v>
      </c>
      <c r="Q2370" s="2">
        <v>-0.17130000000000001</v>
      </c>
      <c r="R2370" s="4">
        <v>-5.6701079449996769E-6</v>
      </c>
      <c r="T2370">
        <v>318776</v>
      </c>
      <c r="U2370" s="26"/>
      <c r="V2370" s="2"/>
      <c r="W2370">
        <v>6344</v>
      </c>
      <c r="X2370" s="2">
        <v>6579000000</v>
      </c>
      <c r="Y2370" s="6">
        <v>30212.828690000009</v>
      </c>
      <c r="Z2370" s="38">
        <v>10010</v>
      </c>
      <c r="AA2370" s="4">
        <f>+((DETALLE_GD_1[[#This Row],[VALOR X UN (GD)]]-DETALLE_GD_1[[#This Row],[VALOR PPTO]])/DETALLE_GD_1[[#This Row],[VALOR PPTO]])</f>
        <v>5.6598473449896557E-6</v>
      </c>
      <c r="AB2370" s="2">
        <f>+DETALLE_GD_1[[#This Row],[VALOR PPTO]]*DETALLE_GD_1[[#This Row],[CANTIDAD RECIBIDA]]</f>
        <v>30212.829000000002</v>
      </c>
      <c r="AC2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0" s="3">
        <f>+DETALLE_GD_1[[#This Row],[CANTIDAD SOLICITADA]]-DETALLE_GD_1[[#This Row],[DEVOLUCIÓN]]</f>
        <v>10</v>
      </c>
      <c r="AE2370" s="38" t="str">
        <f>+_xlfn.XLOOKUP(DETALLE_GD_1[[#This Row],[CODIGO]],PRODUCTOS[CODIGO],PRODUCTOS[DESC CORTA],"",0)</f>
        <v>TOPE DE PUERTA</v>
      </c>
    </row>
    <row r="2371" spans="1:31" x14ac:dyDescent="0.25">
      <c r="A2371" s="1">
        <v>46191</v>
      </c>
      <c r="B2371" s="1">
        <v>46191</v>
      </c>
      <c r="C2371" t="s">
        <v>169</v>
      </c>
      <c r="D2371" s="38">
        <v>6</v>
      </c>
      <c r="E2371" t="s">
        <v>169</v>
      </c>
      <c r="F2371">
        <v>610019</v>
      </c>
      <c r="G2371" t="s">
        <v>355</v>
      </c>
      <c r="H2371" t="s">
        <v>355</v>
      </c>
      <c r="I2371" s="3">
        <v>2</v>
      </c>
      <c r="J2371" s="3"/>
      <c r="K2371" s="26">
        <v>2</v>
      </c>
      <c r="L2371" s="2">
        <v>995.5</v>
      </c>
      <c r="M2371" s="2">
        <v>1991</v>
      </c>
      <c r="N2371" s="2">
        <v>1991</v>
      </c>
      <c r="O2371" s="2"/>
      <c r="P2371" s="2"/>
      <c r="Q2371" s="2">
        <v>-1991</v>
      </c>
      <c r="R2371" s="4"/>
      <c r="T2371">
        <v>318776</v>
      </c>
      <c r="U2371" s="26"/>
      <c r="V2371" s="2"/>
      <c r="W2371">
        <v>6344</v>
      </c>
      <c r="X2371" s="2">
        <v>6579000000</v>
      </c>
      <c r="Y2371" s="6" t="s">
        <v>355</v>
      </c>
      <c r="Z2371" s="38">
        <v>10010</v>
      </c>
      <c r="AA2371" s="4" t="e">
        <f>+((DETALLE_GD_1[[#This Row],[VALOR X UN (GD)]]-DETALLE_GD_1[[#This Row],[VALOR PPTO]])/DETALLE_GD_1[[#This Row],[VALOR PPTO]])</f>
        <v>#DIV/0!</v>
      </c>
      <c r="AB2371" s="2">
        <f>+DETALLE_GD_1[[#This Row],[VALOR PPTO]]*DETALLE_GD_1[[#This Row],[CANTIDAD RECIBIDA]]</f>
        <v>0</v>
      </c>
      <c r="AC2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1" s="3">
        <f>+DETALLE_GD_1[[#This Row],[CANTIDAD SOLICITADA]]-DETALLE_GD_1[[#This Row],[DEVOLUCIÓN]]</f>
        <v>2</v>
      </c>
      <c r="AE2371" s="38" t="str">
        <f>+_xlfn.XLOOKUP(DETALLE_GD_1[[#This Row],[CODIGO]],PRODUCTOS[CODIGO],PRODUCTOS[DESC CORTA],"",0)</f>
        <v/>
      </c>
    </row>
    <row r="2372" spans="1:31" x14ac:dyDescent="0.25">
      <c r="A2372" s="1">
        <v>46191</v>
      </c>
      <c r="B2372" s="1">
        <v>46191</v>
      </c>
      <c r="C2372" t="s">
        <v>169</v>
      </c>
      <c r="D2372" s="38">
        <v>6</v>
      </c>
      <c r="E2372" t="s">
        <v>169</v>
      </c>
      <c r="F2372">
        <v>617055</v>
      </c>
      <c r="G2372" t="s">
        <v>182</v>
      </c>
      <c r="H2372" t="s">
        <v>31</v>
      </c>
      <c r="I2372" s="3">
        <v>12</v>
      </c>
      <c r="J2372" s="3"/>
      <c r="K2372" s="26">
        <v>12</v>
      </c>
      <c r="L2372" s="2">
        <v>694.75</v>
      </c>
      <c r="M2372" s="2">
        <v>8337</v>
      </c>
      <c r="N2372" s="2">
        <v>8337</v>
      </c>
      <c r="O2372" s="2">
        <v>920.35379999999998</v>
      </c>
      <c r="P2372" s="2">
        <v>225.60380000000001</v>
      </c>
      <c r="Q2372" s="2">
        <v>2707.2453999999998</v>
      </c>
      <c r="R2372" s="4">
        <v>0.2451272387395125</v>
      </c>
      <c r="T2372">
        <v>318779</v>
      </c>
      <c r="U2372" s="26" t="s">
        <v>2017</v>
      </c>
      <c r="V2372" s="2">
        <v>13686510</v>
      </c>
      <c r="W2372">
        <v>6344</v>
      </c>
      <c r="X2372" s="2">
        <v>6579000000</v>
      </c>
      <c r="Y2372" s="6">
        <v>11044.245371999999</v>
      </c>
      <c r="Z2372" s="38">
        <v>10010</v>
      </c>
      <c r="AA2372" s="4">
        <f>+((DETALLE_GD_1[[#This Row],[VALOR X UN (GD)]]-DETALLE_GD_1[[#This Row],[VALOR PPTO]])/DETALLE_GD_1[[#This Row],[VALOR PPTO]])</f>
        <v>-0.24512725432328306</v>
      </c>
      <c r="AB2372" s="2">
        <f>+DETALLE_GD_1[[#This Row],[VALOR PPTO]]*DETALLE_GD_1[[#This Row],[CANTIDAD RECIBIDA]]</f>
        <v>11044.2456</v>
      </c>
      <c r="AC2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2" s="3">
        <f>+DETALLE_GD_1[[#This Row],[CANTIDAD SOLICITADA]]-DETALLE_GD_1[[#This Row],[DEVOLUCIÓN]]</f>
        <v>12</v>
      </c>
      <c r="AE2372" s="38">
        <f>+_xlfn.XLOOKUP(DETALLE_GD_1[[#This Row],[CODIGO]],PRODUCTOS[CODIGO],PRODUCTOS[DESC CORTA],"",0)</f>
        <v>0</v>
      </c>
    </row>
    <row r="2373" spans="1:31" x14ac:dyDescent="0.25">
      <c r="A2373" s="1">
        <v>46191</v>
      </c>
      <c r="B2373" s="1">
        <v>46191</v>
      </c>
      <c r="C2373" t="s">
        <v>169</v>
      </c>
      <c r="D2373" s="38">
        <v>6</v>
      </c>
      <c r="E2373" t="s">
        <v>169</v>
      </c>
      <c r="F2373">
        <v>617057</v>
      </c>
      <c r="G2373" t="s">
        <v>134</v>
      </c>
      <c r="H2373" t="s">
        <v>31</v>
      </c>
      <c r="I2373" s="3">
        <v>12</v>
      </c>
      <c r="J2373" s="3"/>
      <c r="K2373" s="26">
        <v>12</v>
      </c>
      <c r="L2373" s="2">
        <v>1698.3333</v>
      </c>
      <c r="M2373" s="2">
        <v>20380</v>
      </c>
      <c r="N2373" s="2">
        <v>20380</v>
      </c>
      <c r="O2373" s="2">
        <v>2042.1197</v>
      </c>
      <c r="P2373" s="2">
        <v>343.78640000000001</v>
      </c>
      <c r="Q2373" s="2">
        <v>4125.4364999999998</v>
      </c>
      <c r="R2373" s="4">
        <v>0.16834780628019985</v>
      </c>
      <c r="T2373">
        <v>318779</v>
      </c>
      <c r="U2373" s="26"/>
      <c r="V2373" s="2"/>
      <c r="W2373">
        <v>6344</v>
      </c>
      <c r="X2373" s="2">
        <v>6579000000</v>
      </c>
      <c r="Y2373" s="6">
        <v>24505.436472000001</v>
      </c>
      <c r="Z2373" s="38">
        <v>10010</v>
      </c>
      <c r="AA2373" s="4">
        <f>+((DETALLE_GD_1[[#This Row],[VALOR X UN (GD)]]-DETALLE_GD_1[[#This Row],[VALOR PPTO]])/DETALLE_GD_1[[#This Row],[VALOR PPTO]])</f>
        <v>-0.16834782015961158</v>
      </c>
      <c r="AB2373" s="2">
        <f>+DETALLE_GD_1[[#This Row],[VALOR PPTO]]*DETALLE_GD_1[[#This Row],[CANTIDAD RECIBIDA]]</f>
        <v>24505.436399999999</v>
      </c>
      <c r="AC2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3" s="3">
        <f>+DETALLE_GD_1[[#This Row],[CANTIDAD SOLICITADA]]-DETALLE_GD_1[[#This Row],[DEVOLUCIÓN]]</f>
        <v>12</v>
      </c>
      <c r="AE2373" s="38" t="str">
        <f>+_xlfn.XLOOKUP(DETALLE_GD_1[[#This Row],[CODIGO]],PRODUCTOS[CODIGO],PRODUCTOS[DESC CORTA],"",0)</f>
        <v>BROCHA 5/8 X4</v>
      </c>
    </row>
    <row r="2374" spans="1:31" x14ac:dyDescent="0.25">
      <c r="A2374" s="1">
        <v>46191</v>
      </c>
      <c r="B2374" s="1">
        <v>46191</v>
      </c>
      <c r="C2374" t="s">
        <v>169</v>
      </c>
      <c r="D2374" s="38">
        <v>6</v>
      </c>
      <c r="E2374" t="s">
        <v>169</v>
      </c>
      <c r="F2374">
        <v>408034</v>
      </c>
      <c r="G2374" t="s">
        <v>250</v>
      </c>
      <c r="H2374" t="s">
        <v>36</v>
      </c>
      <c r="I2374" s="3">
        <v>4</v>
      </c>
      <c r="J2374" s="3"/>
      <c r="K2374" s="26">
        <v>4</v>
      </c>
      <c r="L2374" s="2">
        <v>1867</v>
      </c>
      <c r="M2374" s="2">
        <v>7468</v>
      </c>
      <c r="N2374" s="2">
        <v>7468</v>
      </c>
      <c r="O2374" s="2">
        <v>1866.9503999999999</v>
      </c>
      <c r="P2374" s="2">
        <v>-4.9599999999999998E-2</v>
      </c>
      <c r="Q2374" s="2">
        <v>-0.1986</v>
      </c>
      <c r="R2374" s="4">
        <v>-2.6591494447838636E-5</v>
      </c>
      <c r="T2374">
        <v>318779</v>
      </c>
      <c r="U2374" s="26"/>
      <c r="V2374" s="2"/>
      <c r="W2374">
        <v>6344</v>
      </c>
      <c r="X2374" s="2">
        <v>6579000000</v>
      </c>
      <c r="Y2374" s="6">
        <v>7467.8014200000034</v>
      </c>
      <c r="Z2374" s="38">
        <v>10010</v>
      </c>
      <c r="AA2374" s="4">
        <f>+((DETALLE_GD_1[[#This Row],[VALOR X UN (GD)]]-DETALLE_GD_1[[#This Row],[VALOR PPTO]])/DETALLE_GD_1[[#This Row],[VALOR PPTO]])</f>
        <v>2.6567390328128124E-5</v>
      </c>
      <c r="AB2374" s="2">
        <f>+DETALLE_GD_1[[#This Row],[VALOR PPTO]]*DETALLE_GD_1[[#This Row],[CANTIDAD RECIBIDA]]</f>
        <v>7467.8015999999998</v>
      </c>
      <c r="AC2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4" s="3">
        <f>+DETALLE_GD_1[[#This Row],[CANTIDAD SOLICITADA]]-DETALLE_GD_1[[#This Row],[DEVOLUCIÓN]]</f>
        <v>4</v>
      </c>
      <c r="AE2374" s="38">
        <f>+_xlfn.XLOOKUP(DETALLE_GD_1[[#This Row],[CODIGO]],PRODUCTOS[CODIGO],PRODUCTOS[DESC CORTA],"",0)</f>
        <v>0</v>
      </c>
    </row>
    <row r="2375" spans="1:31" x14ac:dyDescent="0.25">
      <c r="A2375" s="1">
        <v>46191</v>
      </c>
      <c r="B2375" s="1">
        <v>46191</v>
      </c>
      <c r="C2375" t="s">
        <v>169</v>
      </c>
      <c r="D2375" s="38">
        <v>6</v>
      </c>
      <c r="E2375" t="s">
        <v>169</v>
      </c>
      <c r="F2375">
        <v>302046</v>
      </c>
      <c r="G2375" t="s">
        <v>115</v>
      </c>
      <c r="H2375" t="s">
        <v>20</v>
      </c>
      <c r="I2375" s="3">
        <v>288</v>
      </c>
      <c r="J2375" s="3"/>
      <c r="K2375" s="26">
        <v>288</v>
      </c>
      <c r="L2375" s="2">
        <v>10234.663200000001</v>
      </c>
      <c r="M2375" s="2">
        <v>2947583</v>
      </c>
      <c r="N2375" s="2">
        <v>2947583</v>
      </c>
      <c r="O2375" s="2">
        <v>10156.5985</v>
      </c>
      <c r="P2375" s="2">
        <v>-78.064700000000002</v>
      </c>
      <c r="Q2375" s="2">
        <v>-22482.641500000002</v>
      </c>
      <c r="R2375" s="4">
        <v>-7.6861094487574002E-3</v>
      </c>
      <c r="T2375">
        <v>318779</v>
      </c>
      <c r="U2375" s="26"/>
      <c r="V2375" s="2"/>
      <c r="W2375">
        <v>6344</v>
      </c>
      <c r="X2375" s="2">
        <v>6579000000</v>
      </c>
      <c r="Y2375" s="6">
        <v>2925100.3584960005</v>
      </c>
      <c r="Z2375" s="38">
        <v>10010</v>
      </c>
      <c r="AA2375" s="4">
        <f>+((DETALLE_GD_1[[#This Row],[VALOR X UN (GD)]]-DETALLE_GD_1[[#This Row],[VALOR PPTO]])/DETALLE_GD_1[[#This Row],[VALOR PPTO]])</f>
        <v>7.6861067216549726E-3</v>
      </c>
      <c r="AB2375" s="2">
        <f>+DETALLE_GD_1[[#This Row],[VALOR PPTO]]*DETALLE_GD_1[[#This Row],[CANTIDAD RECIBIDA]]</f>
        <v>2925100.3679999998</v>
      </c>
      <c r="AC2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5" s="3">
        <f>+DETALLE_GD_1[[#This Row],[CANTIDAD SOLICITADA]]-DETALLE_GD_1[[#This Row],[DEVOLUCIÓN]]</f>
        <v>288</v>
      </c>
      <c r="AE2375" s="38" t="str">
        <f>+_xlfn.XLOOKUP(DETALLE_GD_1[[#This Row],[CODIGO]],PRODUCTOS[CODIGO],PRODUCTOS[DESC CORTA],"",0)</f>
        <v>PINO 2X6X400</v>
      </c>
    </row>
    <row r="2376" spans="1:31" x14ac:dyDescent="0.25">
      <c r="A2376" s="1">
        <v>46191</v>
      </c>
      <c r="B2376" s="1">
        <v>46191</v>
      </c>
      <c r="C2376" t="s">
        <v>169</v>
      </c>
      <c r="D2376" s="38">
        <v>6</v>
      </c>
      <c r="E2376" t="s">
        <v>169</v>
      </c>
      <c r="F2376">
        <v>302249</v>
      </c>
      <c r="G2376" t="s">
        <v>178</v>
      </c>
      <c r="H2376" t="s">
        <v>20</v>
      </c>
      <c r="I2376" s="3">
        <v>240</v>
      </c>
      <c r="J2376" s="3"/>
      <c r="K2376" s="26">
        <v>240</v>
      </c>
      <c r="L2376" s="2">
        <v>2226.3083000000001</v>
      </c>
      <c r="M2376" s="2">
        <v>534314</v>
      </c>
      <c r="N2376" s="2">
        <v>534314</v>
      </c>
      <c r="O2376" s="2">
        <v>2226.3090999999999</v>
      </c>
      <c r="P2376" s="2">
        <v>8.0000000000000004E-4</v>
      </c>
      <c r="Q2376" s="2">
        <v>0.19550000000000001</v>
      </c>
      <c r="R2376" s="4">
        <v>3.659270174408054E-7</v>
      </c>
      <c r="T2376">
        <v>318779</v>
      </c>
      <c r="U2376" s="26"/>
      <c r="V2376" s="2"/>
      <c r="W2376">
        <v>6344</v>
      </c>
      <c r="X2376" s="2">
        <v>6579000000</v>
      </c>
      <c r="Y2376" s="6">
        <v>534314.19551999995</v>
      </c>
      <c r="Z2376" s="38">
        <v>10010</v>
      </c>
      <c r="AA2376" s="4">
        <f>+((DETALLE_GD_1[[#This Row],[VALOR X UN (GD)]]-DETALLE_GD_1[[#This Row],[VALOR PPTO]])/DETALLE_GD_1[[#This Row],[VALOR PPTO]])</f>
        <v>-3.5933914109194611E-7</v>
      </c>
      <c r="AB2376" s="2">
        <f>+DETALLE_GD_1[[#This Row],[VALOR PPTO]]*DETALLE_GD_1[[#This Row],[CANTIDAD RECIBIDA]]</f>
        <v>534314.18400000001</v>
      </c>
      <c r="AC2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6" s="3">
        <f>+DETALLE_GD_1[[#This Row],[CANTIDAD SOLICITADA]]-DETALLE_GD_1[[#This Row],[DEVOLUCIÓN]]</f>
        <v>240</v>
      </c>
      <c r="AE2376" s="38">
        <f>+_xlfn.XLOOKUP(DETALLE_GD_1[[#This Row],[CODIGO]],PRODUCTOS[CODIGO],PRODUCTOS[DESC CORTA],"",0)</f>
        <v>0</v>
      </c>
    </row>
    <row r="2377" spans="1:31" x14ac:dyDescent="0.25">
      <c r="A2377" s="1">
        <v>46191</v>
      </c>
      <c r="B2377" s="1">
        <v>46191</v>
      </c>
      <c r="C2377" t="s">
        <v>169</v>
      </c>
      <c r="D2377" s="38">
        <v>6</v>
      </c>
      <c r="E2377" t="s">
        <v>169</v>
      </c>
      <c r="F2377">
        <v>302048</v>
      </c>
      <c r="G2377" t="s">
        <v>126</v>
      </c>
      <c r="H2377" t="s">
        <v>20</v>
      </c>
      <c r="I2377" s="3">
        <v>216</v>
      </c>
      <c r="J2377" s="3"/>
      <c r="K2377" s="26">
        <v>216</v>
      </c>
      <c r="L2377" s="2">
        <v>14163.5324</v>
      </c>
      <c r="M2377" s="2">
        <v>3059323</v>
      </c>
      <c r="N2377" s="2">
        <v>3059323</v>
      </c>
      <c r="O2377" s="2">
        <v>13710.695</v>
      </c>
      <c r="P2377" s="2">
        <v>-452.8374</v>
      </c>
      <c r="Q2377" s="2">
        <v>-97812.888399999996</v>
      </c>
      <c r="R2377" s="4">
        <v>-3.3028044726799148E-2</v>
      </c>
      <c r="T2377">
        <v>318779</v>
      </c>
      <c r="U2377" s="26"/>
      <c r="V2377" s="2"/>
      <c r="W2377">
        <v>6344</v>
      </c>
      <c r="X2377" s="2">
        <v>6579000000</v>
      </c>
      <c r="Y2377" s="6">
        <v>2961510.1115760002</v>
      </c>
      <c r="Z2377" s="38">
        <v>10010</v>
      </c>
      <c r="AA2377" s="4">
        <f>+((DETALLE_GD_1[[#This Row],[VALOR X UN (GD)]]-DETALLE_GD_1[[#This Row],[VALOR PPTO]])/DETALLE_GD_1[[#This Row],[VALOR PPTO]])</f>
        <v>3.3028041248091389E-2</v>
      </c>
      <c r="AB2377" s="2">
        <f>+DETALLE_GD_1[[#This Row],[VALOR PPTO]]*DETALLE_GD_1[[#This Row],[CANTIDAD RECIBIDA]]</f>
        <v>2961510.12</v>
      </c>
      <c r="AC2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7" s="3">
        <f>+DETALLE_GD_1[[#This Row],[CANTIDAD SOLICITADA]]-DETALLE_GD_1[[#This Row],[DEVOLUCIÓN]]</f>
        <v>216</v>
      </c>
      <c r="AE2377" s="38" t="str">
        <f>+_xlfn.XLOOKUP(DETALLE_GD_1[[#This Row],[CODIGO]],PRODUCTOS[CODIGO],PRODUCTOS[DESC CORTA],"",0)</f>
        <v>PINO 2X8X4</v>
      </c>
    </row>
    <row r="2378" spans="1:31" x14ac:dyDescent="0.25">
      <c r="A2378" s="1">
        <v>46191</v>
      </c>
      <c r="B2378" s="1">
        <v>46191</v>
      </c>
      <c r="C2378" t="s">
        <v>169</v>
      </c>
      <c r="D2378" s="38">
        <v>6</v>
      </c>
      <c r="E2378" t="s">
        <v>169</v>
      </c>
      <c r="F2378">
        <v>302010</v>
      </c>
      <c r="G2378" t="s">
        <v>323</v>
      </c>
      <c r="H2378" t="s">
        <v>20</v>
      </c>
      <c r="I2378" s="3">
        <v>168</v>
      </c>
      <c r="J2378" s="3"/>
      <c r="K2378" s="26">
        <v>168</v>
      </c>
      <c r="L2378" s="2">
        <v>6754.2975999999999</v>
      </c>
      <c r="M2378" s="2">
        <v>1134722</v>
      </c>
      <c r="N2378" s="2">
        <v>1134722</v>
      </c>
      <c r="O2378" s="2">
        <v>6585.1337000000003</v>
      </c>
      <c r="P2378" s="2">
        <v>-169.16390000000001</v>
      </c>
      <c r="Q2378" s="2">
        <v>-28419.5308</v>
      </c>
      <c r="R2378" s="4">
        <v>-2.5688752969682861E-2</v>
      </c>
      <c r="T2378">
        <v>318779</v>
      </c>
      <c r="U2378" s="26"/>
      <c r="V2378" s="2"/>
      <c r="W2378">
        <v>6344</v>
      </c>
      <c r="X2378" s="2">
        <v>6579000000</v>
      </c>
      <c r="Y2378" s="6">
        <v>1106302.4691599987</v>
      </c>
      <c r="Z2378" s="38">
        <v>10010</v>
      </c>
      <c r="AA2378" s="4">
        <f>+((DETALLE_GD_1[[#This Row],[VALOR X UN (GD)]]-DETALLE_GD_1[[#This Row],[VALOR PPTO]])/DETALLE_GD_1[[#This Row],[VALOR PPTO]])</f>
        <v>2.5688757086283539E-2</v>
      </c>
      <c r="AB2378" s="2">
        <f>+DETALLE_GD_1[[#This Row],[VALOR PPTO]]*DETALLE_GD_1[[#This Row],[CANTIDAD RECIBIDA]]</f>
        <v>1106302.4616</v>
      </c>
      <c r="AC2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8" s="3">
        <f>+DETALLE_GD_1[[#This Row],[CANTIDAD SOLICITADA]]-DETALLE_GD_1[[#This Row],[DEVOLUCIÓN]]</f>
        <v>168</v>
      </c>
      <c r="AE2378" s="38" t="str">
        <f>+_xlfn.XLOOKUP(DETALLE_GD_1[[#This Row],[CODIGO]],PRODUCTOS[CODIGO],PRODUCTOS[DESC CORTA],"",0)</f>
        <v>PINO 2X6X320</v>
      </c>
    </row>
    <row r="2379" spans="1:31" x14ac:dyDescent="0.25">
      <c r="A2379" s="1">
        <v>46191</v>
      </c>
      <c r="B2379" s="1">
        <v>46191</v>
      </c>
      <c r="C2379" t="s">
        <v>169</v>
      </c>
      <c r="D2379" s="38">
        <v>6</v>
      </c>
      <c r="E2379" t="s">
        <v>169</v>
      </c>
      <c r="F2379">
        <v>408017</v>
      </c>
      <c r="G2379" t="s">
        <v>443</v>
      </c>
      <c r="H2379" t="s">
        <v>36</v>
      </c>
      <c r="I2379" s="3">
        <v>2</v>
      </c>
      <c r="J2379" s="3"/>
      <c r="K2379" s="26">
        <v>2</v>
      </c>
      <c r="L2379" s="2">
        <v>17300</v>
      </c>
      <c r="M2379" s="2">
        <v>34600</v>
      </c>
      <c r="N2379" s="2">
        <v>34600</v>
      </c>
      <c r="O2379" s="2"/>
      <c r="P2379" s="2"/>
      <c r="Q2379" s="2">
        <v>-34600</v>
      </c>
      <c r="R2379" s="4"/>
      <c r="T2379">
        <v>318779</v>
      </c>
      <c r="U2379" s="26"/>
      <c r="V2379" s="2"/>
      <c r="W2379">
        <v>6344</v>
      </c>
      <c r="X2379" s="2">
        <v>6579000000</v>
      </c>
      <c r="Y2379" s="6" t="s">
        <v>355</v>
      </c>
      <c r="Z2379" s="38">
        <v>10010</v>
      </c>
      <c r="AA2379" s="4" t="e">
        <f>+((DETALLE_GD_1[[#This Row],[VALOR X UN (GD)]]-DETALLE_GD_1[[#This Row],[VALOR PPTO]])/DETALLE_GD_1[[#This Row],[VALOR PPTO]])</f>
        <v>#DIV/0!</v>
      </c>
      <c r="AB2379" s="2">
        <f>+DETALLE_GD_1[[#This Row],[VALOR PPTO]]*DETALLE_GD_1[[#This Row],[CANTIDAD RECIBIDA]]</f>
        <v>0</v>
      </c>
      <c r="AC2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9" s="3">
        <f>+DETALLE_GD_1[[#This Row],[CANTIDAD SOLICITADA]]-DETALLE_GD_1[[#This Row],[DEVOLUCIÓN]]</f>
        <v>2</v>
      </c>
      <c r="AE2379" s="38" t="str">
        <f>+_xlfn.XLOOKUP(DETALLE_GD_1[[#This Row],[CODIGO]],PRODUCTOS[CODIGO],PRODUCTOS[DESC CORTA],"",0)</f>
        <v/>
      </c>
    </row>
    <row r="2380" spans="1:31" x14ac:dyDescent="0.25">
      <c r="A2380" s="1">
        <v>46191</v>
      </c>
      <c r="B2380" s="1">
        <v>46191</v>
      </c>
      <c r="C2380" t="s">
        <v>169</v>
      </c>
      <c r="D2380" s="38">
        <v>6</v>
      </c>
      <c r="E2380" t="s">
        <v>169</v>
      </c>
      <c r="F2380" t="s">
        <v>82</v>
      </c>
      <c r="G2380" t="s">
        <v>83</v>
      </c>
      <c r="H2380" t="s">
        <v>36</v>
      </c>
      <c r="I2380" s="3">
        <v>5</v>
      </c>
      <c r="J2380" s="3"/>
      <c r="K2380" s="26">
        <v>5</v>
      </c>
      <c r="L2380" s="2">
        <v>36939.800000000003</v>
      </c>
      <c r="M2380" s="2">
        <v>184699</v>
      </c>
      <c r="N2380" s="2">
        <v>184699</v>
      </c>
      <c r="O2380" s="2">
        <v>36939.818200000002</v>
      </c>
      <c r="P2380" s="2">
        <v>1.8200000000000001E-2</v>
      </c>
      <c r="Q2380" s="2">
        <v>9.0899999999999995E-2</v>
      </c>
      <c r="R2380" s="4">
        <v>4.9220599559162897E-7</v>
      </c>
      <c r="T2380">
        <v>318779</v>
      </c>
      <c r="U2380" s="26"/>
      <c r="V2380" s="2"/>
      <c r="W2380">
        <v>6344</v>
      </c>
      <c r="X2380" s="2">
        <v>6579000000</v>
      </c>
      <c r="Y2380" s="6">
        <v>184699.09090999991</v>
      </c>
      <c r="Z2380" s="38">
        <v>10010</v>
      </c>
      <c r="AA2380" s="4">
        <f>+((DETALLE_GD_1[[#This Row],[VALOR X UN (GD)]]-DETALLE_GD_1[[#This Row],[VALOR PPTO]])/DETALLE_GD_1[[#This Row],[VALOR PPTO]])</f>
        <v>-4.9269327477671928E-7</v>
      </c>
      <c r="AB2380" s="2">
        <f>+DETALLE_GD_1[[#This Row],[VALOR PPTO]]*DETALLE_GD_1[[#This Row],[CANTIDAD RECIBIDA]]</f>
        <v>184699.09100000001</v>
      </c>
      <c r="AC23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0" s="3">
        <f>+DETALLE_GD_1[[#This Row],[CANTIDAD SOLICITADA]]-DETALLE_GD_1[[#This Row],[DEVOLUCIÓN]]</f>
        <v>5</v>
      </c>
      <c r="AE2380" s="38" t="str">
        <f>+_xlfn.XLOOKUP(DETALLE_GD_1[[#This Row],[CODIGO]],PRODUCTOS[CODIGO],PRODUCTOS[DESC CORTA],"",0)</f>
        <v>CLAVO R20</v>
      </c>
    </row>
    <row r="2381" spans="1:31" x14ac:dyDescent="0.25">
      <c r="A2381" s="1">
        <v>46191</v>
      </c>
      <c r="B2381" s="1">
        <v>46191</v>
      </c>
      <c r="C2381" t="s">
        <v>169</v>
      </c>
      <c r="D2381" s="38">
        <v>6</v>
      </c>
      <c r="E2381" t="s">
        <v>169</v>
      </c>
      <c r="F2381">
        <v>410126</v>
      </c>
      <c r="G2381" t="s">
        <v>159</v>
      </c>
      <c r="H2381" t="s">
        <v>31</v>
      </c>
      <c r="I2381" s="3">
        <v>88</v>
      </c>
      <c r="J2381" s="3"/>
      <c r="K2381" s="26">
        <v>88</v>
      </c>
      <c r="L2381" s="2">
        <v>983.875</v>
      </c>
      <c r="M2381" s="2">
        <v>86581</v>
      </c>
      <c r="N2381" s="2">
        <v>86581</v>
      </c>
      <c r="O2381" s="2">
        <v>983.61890000000005</v>
      </c>
      <c r="P2381" s="2">
        <v>-0.25609999999999999</v>
      </c>
      <c r="Q2381" s="2">
        <v>-22.538499999999999</v>
      </c>
      <c r="R2381" s="4">
        <v>-2.6038438763956455E-4</v>
      </c>
      <c r="T2381">
        <v>318779</v>
      </c>
      <c r="U2381" s="26"/>
      <c r="V2381" s="2"/>
      <c r="W2381">
        <v>6344</v>
      </c>
      <c r="X2381" s="2">
        <v>6579000000</v>
      </c>
      <c r="Y2381" s="6">
        <v>86558.461528000014</v>
      </c>
      <c r="Z2381" s="38">
        <v>10010</v>
      </c>
      <c r="AA2381" s="4">
        <f>+((DETALLE_GD_1[[#This Row],[VALOR X UN (GD)]]-DETALLE_GD_1[[#This Row],[VALOR PPTO]])/DETALLE_GD_1[[#This Row],[VALOR PPTO]])</f>
        <v>2.6036506618564028E-4</v>
      </c>
      <c r="AB2381" s="2">
        <f>+DETALLE_GD_1[[#This Row],[VALOR PPTO]]*DETALLE_GD_1[[#This Row],[CANTIDAD RECIBIDA]]</f>
        <v>86558.463199999998</v>
      </c>
      <c r="AC2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1" s="3">
        <f>+DETALLE_GD_1[[#This Row],[CANTIDAD SOLICITADA]]-DETALLE_GD_1[[#This Row],[DEVOLUCIÓN]]</f>
        <v>88</v>
      </c>
      <c r="AE2381" s="38">
        <f>+_xlfn.XLOOKUP(DETALLE_GD_1[[#This Row],[CODIGO]],PRODUCTOS[CODIGO],PRODUCTOS[DESC CORTA],"",0)</f>
        <v>0</v>
      </c>
    </row>
    <row r="2382" spans="1:31" x14ac:dyDescent="0.25">
      <c r="A2382" s="1">
        <v>46191</v>
      </c>
      <c r="B2382" s="1">
        <v>46191</v>
      </c>
      <c r="C2382" t="s">
        <v>169</v>
      </c>
      <c r="D2382" s="38">
        <v>6</v>
      </c>
      <c r="E2382" t="s">
        <v>169</v>
      </c>
      <c r="F2382">
        <v>410045</v>
      </c>
      <c r="G2382" t="s">
        <v>110</v>
      </c>
      <c r="H2382" t="s">
        <v>31</v>
      </c>
      <c r="I2382" s="3">
        <v>232</v>
      </c>
      <c r="J2382" s="3"/>
      <c r="K2382" s="26">
        <v>232</v>
      </c>
      <c r="L2382" s="2">
        <v>335.9828</v>
      </c>
      <c r="M2382" s="2">
        <v>77948</v>
      </c>
      <c r="N2382" s="2">
        <v>77948</v>
      </c>
      <c r="O2382" s="2">
        <v>368.00139999999999</v>
      </c>
      <c r="P2382" s="2">
        <v>32.018599999999999</v>
      </c>
      <c r="Q2382" s="2">
        <v>7428.3158000000003</v>
      </c>
      <c r="R2382" s="4">
        <v>8.7006749899792554E-2</v>
      </c>
      <c r="T2382">
        <v>318779</v>
      </c>
      <c r="U2382" s="26"/>
      <c r="V2382" s="2"/>
      <c r="W2382">
        <v>6344</v>
      </c>
      <c r="X2382" s="2">
        <v>6579000000</v>
      </c>
      <c r="Y2382" s="6">
        <v>85376.31575199998</v>
      </c>
      <c r="Z2382" s="38">
        <v>10010</v>
      </c>
      <c r="AA2382" s="4">
        <f>+((DETALLE_GD_1[[#This Row],[VALOR X UN (GD)]]-DETALLE_GD_1[[#This Row],[VALOR PPTO]])/DETALLE_GD_1[[#This Row],[VALOR PPTO]])</f>
        <v>-8.7006734213511128E-2</v>
      </c>
      <c r="AB2382" s="2">
        <f>+DETALLE_GD_1[[#This Row],[VALOR PPTO]]*DETALLE_GD_1[[#This Row],[CANTIDAD RECIBIDA]]</f>
        <v>85376.324800000002</v>
      </c>
      <c r="AC2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2" s="3">
        <f>+DETALLE_GD_1[[#This Row],[CANTIDAD SOLICITADA]]-DETALLE_GD_1[[#This Row],[DEVOLUCIÓN]]</f>
        <v>232</v>
      </c>
      <c r="AE2382" s="38" t="str">
        <f>+_xlfn.XLOOKUP(DETALLE_GD_1[[#This Row],[CODIGO]],PRODUCTOS[CODIGO],PRODUCTOS[DESC CORTA],"",0)</f>
        <v>CONECTOR DENTADO</v>
      </c>
    </row>
    <row r="2383" spans="1:31" x14ac:dyDescent="0.25">
      <c r="A2383" s="1">
        <v>46191</v>
      </c>
      <c r="B2383" s="1">
        <v>46191</v>
      </c>
      <c r="C2383" t="s">
        <v>169</v>
      </c>
      <c r="D2383" s="38">
        <v>6</v>
      </c>
      <c r="E2383" t="s">
        <v>169</v>
      </c>
      <c r="F2383">
        <v>410046</v>
      </c>
      <c r="G2383" t="s">
        <v>361</v>
      </c>
      <c r="H2383" t="s">
        <v>31</v>
      </c>
      <c r="I2383" s="3">
        <v>129</v>
      </c>
      <c r="J2383" s="3"/>
      <c r="K2383" s="26">
        <v>129</v>
      </c>
      <c r="L2383" s="2">
        <v>746</v>
      </c>
      <c r="M2383" s="2">
        <v>96234</v>
      </c>
      <c r="N2383" s="2">
        <v>96234</v>
      </c>
      <c r="O2383" s="2">
        <v>746</v>
      </c>
      <c r="P2383" s="2">
        <v>0</v>
      </c>
      <c r="Q2383" s="2">
        <v>0</v>
      </c>
      <c r="R2383" s="4">
        <v>0</v>
      </c>
      <c r="T2383">
        <v>318779</v>
      </c>
      <c r="U2383" s="26"/>
      <c r="V2383" s="2"/>
      <c r="W2383">
        <v>6344</v>
      </c>
      <c r="X2383" s="2">
        <v>6579000000</v>
      </c>
      <c r="Y2383" s="6">
        <v>96234</v>
      </c>
      <c r="Z2383" s="38">
        <v>10010</v>
      </c>
      <c r="AA2383" s="4">
        <f>+((DETALLE_GD_1[[#This Row],[VALOR X UN (GD)]]-DETALLE_GD_1[[#This Row],[VALOR PPTO]])/DETALLE_GD_1[[#This Row],[VALOR PPTO]])</f>
        <v>0</v>
      </c>
      <c r="AB2383" s="2">
        <f>+DETALLE_GD_1[[#This Row],[VALOR PPTO]]*DETALLE_GD_1[[#This Row],[CANTIDAD RECIBIDA]]</f>
        <v>96234</v>
      </c>
      <c r="AC23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3" s="3">
        <f>+DETALLE_GD_1[[#This Row],[CANTIDAD SOLICITADA]]-DETALLE_GD_1[[#This Row],[DEVOLUCIÓN]]</f>
        <v>129</v>
      </c>
      <c r="AE2383" s="38">
        <f>+_xlfn.XLOOKUP(DETALLE_GD_1[[#This Row],[CODIGO]],PRODUCTOS[CODIGO],PRODUCTOS[DESC CORTA],"",0)</f>
        <v>0</v>
      </c>
    </row>
    <row r="2384" spans="1:31" x14ac:dyDescent="0.25">
      <c r="A2384" s="1">
        <v>46191</v>
      </c>
      <c r="B2384" s="1">
        <v>46191</v>
      </c>
      <c r="C2384" t="s">
        <v>169</v>
      </c>
      <c r="D2384" s="38">
        <v>6</v>
      </c>
      <c r="E2384" t="s">
        <v>169</v>
      </c>
      <c r="F2384">
        <v>701096</v>
      </c>
      <c r="G2384" t="s">
        <v>204</v>
      </c>
      <c r="H2384" t="s">
        <v>18</v>
      </c>
      <c r="I2384" s="3">
        <v>210</v>
      </c>
      <c r="J2384" s="3"/>
      <c r="K2384" s="26">
        <v>210</v>
      </c>
      <c r="L2384" s="2">
        <v>16248.880999999999</v>
      </c>
      <c r="M2384" s="2">
        <v>3412265</v>
      </c>
      <c r="N2384" s="2">
        <v>3412265</v>
      </c>
      <c r="O2384" s="2">
        <v>16019.885700000001</v>
      </c>
      <c r="P2384" s="2">
        <v>-228.99529999999999</v>
      </c>
      <c r="Q2384" s="2">
        <v>-48089.006099999999</v>
      </c>
      <c r="R2384" s="4">
        <v>-1.4294438292738E-2</v>
      </c>
      <c r="T2384">
        <v>318779</v>
      </c>
      <c r="U2384" s="26"/>
      <c r="V2384" s="2"/>
      <c r="W2384">
        <v>6344</v>
      </c>
      <c r="X2384" s="2">
        <v>6579000000</v>
      </c>
      <c r="Y2384" s="6">
        <v>3364175.9938500007</v>
      </c>
      <c r="Z2384" s="38">
        <v>10010</v>
      </c>
      <c r="AA2384" s="4">
        <f>+((DETALLE_GD_1[[#This Row],[VALOR X UN (GD)]]-DETALLE_GD_1[[#This Row],[VALOR PPTO]])/DETALLE_GD_1[[#This Row],[VALOR PPTO]])</f>
        <v>1.4294440315513529E-2</v>
      </c>
      <c r="AB2384" s="2">
        <f>+DETALLE_GD_1[[#This Row],[VALOR PPTO]]*DETALLE_GD_1[[#This Row],[CANTIDAD RECIBIDA]]</f>
        <v>3364175.997</v>
      </c>
      <c r="AC23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4" s="3">
        <f>+DETALLE_GD_1[[#This Row],[CANTIDAD SOLICITADA]]-DETALLE_GD_1[[#This Row],[DEVOLUCIÓN]]</f>
        <v>210</v>
      </c>
      <c r="AE2384" s="38" t="str">
        <f>+_xlfn.XLOOKUP(DETALLE_GD_1[[#This Row],[CODIGO]],PRODUCTOS[CODIGO],PRODUCTOS[DESC CORTA],"",0)</f>
        <v>VOCANITA EMPAPELADA MURO</v>
      </c>
    </row>
    <row r="2385" spans="1:31" x14ac:dyDescent="0.25">
      <c r="A2385" s="1">
        <v>46191</v>
      </c>
      <c r="B2385" s="1">
        <v>46191</v>
      </c>
      <c r="C2385" t="s">
        <v>169</v>
      </c>
      <c r="D2385" s="38">
        <v>6</v>
      </c>
      <c r="E2385" t="s">
        <v>169</v>
      </c>
      <c r="F2385">
        <v>4212234</v>
      </c>
      <c r="G2385" t="s">
        <v>54</v>
      </c>
      <c r="H2385" t="s">
        <v>31</v>
      </c>
      <c r="I2385" s="3">
        <v>6</v>
      </c>
      <c r="J2385" s="3"/>
      <c r="K2385" s="26">
        <v>6</v>
      </c>
      <c r="L2385" s="2">
        <v>124909</v>
      </c>
      <c r="M2385" s="2">
        <v>749454</v>
      </c>
      <c r="N2385" s="2">
        <v>749454</v>
      </c>
      <c r="O2385" s="2">
        <v>124909</v>
      </c>
      <c r="P2385" s="2">
        <v>0</v>
      </c>
      <c r="Q2385" s="2">
        <v>0</v>
      </c>
      <c r="R2385" s="4">
        <v>0</v>
      </c>
      <c r="T2385">
        <v>318779</v>
      </c>
      <c r="U2385" s="26"/>
      <c r="V2385" s="2"/>
      <c r="W2385">
        <v>6344</v>
      </c>
      <c r="X2385" s="2">
        <v>6579000000</v>
      </c>
      <c r="Y2385" s="6">
        <v>749454</v>
      </c>
      <c r="Z2385" s="38">
        <v>10010</v>
      </c>
      <c r="AA2385" s="4">
        <f>+((DETALLE_GD_1[[#This Row],[VALOR X UN (GD)]]-DETALLE_GD_1[[#This Row],[VALOR PPTO]])/DETALLE_GD_1[[#This Row],[VALOR PPTO]])</f>
        <v>0</v>
      </c>
      <c r="AB2385" s="2">
        <f>+DETALLE_GD_1[[#This Row],[VALOR PPTO]]*DETALLE_GD_1[[#This Row],[CANTIDAD RECIBIDA]]</f>
        <v>749454</v>
      </c>
      <c r="AC2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5" s="3">
        <f>+DETALLE_GD_1[[#This Row],[CANTIDAD SOLICITADA]]-DETALLE_GD_1[[#This Row],[DEVOLUCIÓN]]</f>
        <v>6</v>
      </c>
      <c r="AE2385" s="38" t="str">
        <f>+_xlfn.XLOOKUP(DETALLE_GD_1[[#This Row],[CODIGO]],PRODUCTOS[CODIGO],PRODUCTOS[DESC CORTA],"",0)</f>
        <v>BARANDA BALCON</v>
      </c>
    </row>
    <row r="2386" spans="1:31" x14ac:dyDescent="0.25">
      <c r="A2386" s="1">
        <v>46191</v>
      </c>
      <c r="B2386" s="1">
        <v>46191</v>
      </c>
      <c r="C2386" t="s">
        <v>169</v>
      </c>
      <c r="D2386" s="38">
        <v>6</v>
      </c>
      <c r="E2386" t="s">
        <v>169</v>
      </c>
      <c r="F2386">
        <v>5309018</v>
      </c>
      <c r="G2386" t="s">
        <v>112</v>
      </c>
      <c r="H2386" t="s">
        <v>113</v>
      </c>
      <c r="I2386" s="3">
        <v>500</v>
      </c>
      <c r="J2386" s="3"/>
      <c r="K2386" s="26">
        <v>500</v>
      </c>
      <c r="L2386" s="2">
        <v>717.12599999999998</v>
      </c>
      <c r="M2386" s="2">
        <v>358563</v>
      </c>
      <c r="N2386" s="2">
        <v>358563</v>
      </c>
      <c r="O2386" s="2">
        <v>699.99919999999997</v>
      </c>
      <c r="P2386" s="2">
        <v>-17.126799999999999</v>
      </c>
      <c r="Q2386" s="2">
        <v>-8563.384</v>
      </c>
      <c r="R2386" s="4">
        <v>-2.4466838272187569E-2</v>
      </c>
      <c r="T2386">
        <v>318779</v>
      </c>
      <c r="U2386" s="26"/>
      <c r="V2386" s="2"/>
      <c r="W2386">
        <v>6344</v>
      </c>
      <c r="X2386" s="2">
        <v>6579000000</v>
      </c>
      <c r="Y2386" s="6">
        <v>349999.61600000021</v>
      </c>
      <c r="Z2386" s="38">
        <v>10010</v>
      </c>
      <c r="AA2386" s="4">
        <f>+((DETALLE_GD_1[[#This Row],[VALOR X UN (GD)]]-DETALLE_GD_1[[#This Row],[VALOR PPTO]])/DETALLE_GD_1[[#This Row],[VALOR PPTO]])</f>
        <v>2.4466885105011552E-2</v>
      </c>
      <c r="AB2386" s="2">
        <f>+DETALLE_GD_1[[#This Row],[VALOR PPTO]]*DETALLE_GD_1[[#This Row],[CANTIDAD RECIBIDA]]</f>
        <v>349999.6</v>
      </c>
      <c r="AC23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6" s="3">
        <f>+DETALLE_GD_1[[#This Row],[CANTIDAD SOLICITADA]]-DETALLE_GD_1[[#This Row],[DEVOLUCIÓN]]</f>
        <v>500</v>
      </c>
      <c r="AE2386" s="38">
        <f>+_xlfn.XLOOKUP(DETALLE_GD_1[[#This Row],[CODIGO]],PRODUCTOS[CODIGO],PRODUCTOS[DESC CORTA],"",0)</f>
        <v>0</v>
      </c>
    </row>
    <row r="2387" spans="1:31" x14ac:dyDescent="0.25">
      <c r="A2387" s="1">
        <v>46191</v>
      </c>
      <c r="B2387" s="1">
        <v>46191</v>
      </c>
      <c r="C2387" t="s">
        <v>169</v>
      </c>
      <c r="D2387" s="38">
        <v>6</v>
      </c>
      <c r="E2387" t="s">
        <v>169</v>
      </c>
      <c r="F2387">
        <v>701084</v>
      </c>
      <c r="G2387" t="s">
        <v>38</v>
      </c>
      <c r="H2387" t="s">
        <v>18</v>
      </c>
      <c r="I2387" s="3">
        <v>20</v>
      </c>
      <c r="J2387" s="3"/>
      <c r="K2387" s="26">
        <v>20</v>
      </c>
      <c r="L2387" s="2">
        <v>39944.699999999997</v>
      </c>
      <c r="M2387" s="2">
        <v>798894</v>
      </c>
      <c r="N2387" s="2">
        <v>798894</v>
      </c>
      <c r="O2387" s="2">
        <v>38182.916700000002</v>
      </c>
      <c r="P2387" s="2">
        <v>-1761.7833000000001</v>
      </c>
      <c r="Q2387" s="2">
        <v>-35235.666700000002</v>
      </c>
      <c r="R2387" s="4">
        <v>-4.6140616977084936E-2</v>
      </c>
      <c r="T2387">
        <v>318779</v>
      </c>
      <c r="U2387" s="26"/>
      <c r="V2387" s="2"/>
      <c r="W2387">
        <v>6344</v>
      </c>
      <c r="X2387" s="2">
        <v>6579000000</v>
      </c>
      <c r="Y2387" s="6">
        <v>763658.3333399999</v>
      </c>
      <c r="Z2387" s="38">
        <v>10010</v>
      </c>
      <c r="AA2387" s="4">
        <f>+((DETALLE_GD_1[[#This Row],[VALOR X UN (GD)]]-DETALLE_GD_1[[#This Row],[VALOR PPTO]])/DETALLE_GD_1[[#This Row],[VALOR PPTO]])</f>
        <v>4.614061607294645E-2</v>
      </c>
      <c r="AB2387" s="2">
        <f>+DETALLE_GD_1[[#This Row],[VALOR PPTO]]*DETALLE_GD_1[[#This Row],[CANTIDAD RECIBIDA]]</f>
        <v>763658.33400000003</v>
      </c>
      <c r="AC2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7" s="3">
        <f>+DETALLE_GD_1[[#This Row],[CANTIDAD SOLICITADA]]-DETALLE_GD_1[[#This Row],[DEVOLUCIÓN]]</f>
        <v>20</v>
      </c>
      <c r="AE2387" s="38" t="str">
        <f>+_xlfn.XLOOKUP(DETALLE_GD_1[[#This Row],[CODIGO]],PRODUCTOS[CODIGO],PRODUCTOS[DESC CORTA],"",0)</f>
        <v>FIBROCEMENTO BALCON</v>
      </c>
    </row>
    <row r="2388" spans="1:31" x14ac:dyDescent="0.25">
      <c r="A2388" s="1">
        <v>46191</v>
      </c>
      <c r="B2388" s="1">
        <v>46191</v>
      </c>
      <c r="C2388" t="s">
        <v>169</v>
      </c>
      <c r="D2388" s="38">
        <v>6</v>
      </c>
      <c r="E2388" t="s">
        <v>169</v>
      </c>
      <c r="F2388">
        <v>2304008</v>
      </c>
      <c r="G2388" t="s">
        <v>704</v>
      </c>
      <c r="H2388" t="s">
        <v>31</v>
      </c>
      <c r="I2388" s="3">
        <v>12</v>
      </c>
      <c r="J2388" s="3"/>
      <c r="K2388" s="26">
        <v>12</v>
      </c>
      <c r="L2388" s="2">
        <v>2550</v>
      </c>
      <c r="M2388" s="2">
        <v>30600</v>
      </c>
      <c r="N2388" s="2">
        <v>30600</v>
      </c>
      <c r="O2388" s="2"/>
      <c r="P2388" s="2"/>
      <c r="Q2388" s="2">
        <v>-30600</v>
      </c>
      <c r="R2388" s="4"/>
      <c r="T2388">
        <v>318779</v>
      </c>
      <c r="U2388" s="26"/>
      <c r="V2388" s="2"/>
      <c r="W2388">
        <v>6344</v>
      </c>
      <c r="X2388" s="2">
        <v>6579000000</v>
      </c>
      <c r="Y2388" s="6" t="s">
        <v>355</v>
      </c>
      <c r="Z2388" s="38">
        <v>10010</v>
      </c>
      <c r="AA2388" s="4" t="e">
        <f>+((DETALLE_GD_1[[#This Row],[VALOR X UN (GD)]]-DETALLE_GD_1[[#This Row],[VALOR PPTO]])/DETALLE_GD_1[[#This Row],[VALOR PPTO]])</f>
        <v>#DIV/0!</v>
      </c>
      <c r="AB2388" s="2">
        <f>+DETALLE_GD_1[[#This Row],[VALOR PPTO]]*DETALLE_GD_1[[#This Row],[CANTIDAD RECIBIDA]]</f>
        <v>0</v>
      </c>
      <c r="AC2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8" s="3">
        <f>+DETALLE_GD_1[[#This Row],[CANTIDAD SOLICITADA]]-DETALLE_GD_1[[#This Row],[DEVOLUCIÓN]]</f>
        <v>12</v>
      </c>
      <c r="AE2388" s="38" t="str">
        <f>+_xlfn.XLOOKUP(DETALLE_GD_1[[#This Row],[CODIGO]],PRODUCTOS[CODIGO],PRODUCTOS[DESC CORTA],"",0)</f>
        <v/>
      </c>
    </row>
    <row r="2389" spans="1:31" x14ac:dyDescent="0.25">
      <c r="A2389" s="1">
        <v>46191</v>
      </c>
      <c r="B2389" s="1">
        <v>46191</v>
      </c>
      <c r="C2389" t="s">
        <v>169</v>
      </c>
      <c r="D2389" s="38">
        <v>6</v>
      </c>
      <c r="E2389" t="s">
        <v>169</v>
      </c>
      <c r="F2389">
        <v>704046</v>
      </c>
      <c r="G2389" t="s">
        <v>255</v>
      </c>
      <c r="H2389" t="s">
        <v>47</v>
      </c>
      <c r="I2389" s="3">
        <v>16</v>
      </c>
      <c r="J2389" s="3"/>
      <c r="K2389" s="26">
        <v>16</v>
      </c>
      <c r="L2389" s="2">
        <v>9034.0625</v>
      </c>
      <c r="M2389" s="2">
        <v>144545</v>
      </c>
      <c r="N2389" s="2">
        <v>144545</v>
      </c>
      <c r="O2389" s="2">
        <v>9076.0622000000003</v>
      </c>
      <c r="P2389" s="2">
        <v>41.999699999999997</v>
      </c>
      <c r="Q2389" s="2">
        <v>671.99519999999995</v>
      </c>
      <c r="R2389" s="4">
        <v>4.6275241496123365E-3</v>
      </c>
      <c r="T2389">
        <v>318779</v>
      </c>
      <c r="U2389" s="26"/>
      <c r="V2389" s="2"/>
      <c r="W2389">
        <v>6344</v>
      </c>
      <c r="X2389" s="2">
        <v>6579000000</v>
      </c>
      <c r="Y2389" s="6">
        <v>145216.99515200002</v>
      </c>
      <c r="Z2389" s="38">
        <v>10010</v>
      </c>
      <c r="AA2389" s="4">
        <f>+((DETALLE_GD_1[[#This Row],[VALOR X UN (GD)]]-DETALLE_GD_1[[#This Row],[VALOR PPTO]])/DETALLE_GD_1[[#This Row],[VALOR PPTO]])</f>
        <v>-4.6275244786224915E-3</v>
      </c>
      <c r="AB2389" s="2">
        <f>+DETALLE_GD_1[[#This Row],[VALOR PPTO]]*DETALLE_GD_1[[#This Row],[CANTIDAD RECIBIDA]]</f>
        <v>145216.9952</v>
      </c>
      <c r="AC2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9" s="3">
        <f>+DETALLE_GD_1[[#This Row],[CANTIDAD SOLICITADA]]-DETALLE_GD_1[[#This Row],[DEVOLUCIÓN]]</f>
        <v>16</v>
      </c>
      <c r="AE2389" s="38">
        <f>+_xlfn.XLOOKUP(DETALLE_GD_1[[#This Row],[CODIGO]],PRODUCTOS[CODIGO],PRODUCTOS[DESC CORTA],"",0)</f>
        <v>0</v>
      </c>
    </row>
    <row r="2390" spans="1:31" x14ac:dyDescent="0.25">
      <c r="A2390" s="1">
        <v>46191</v>
      </c>
      <c r="B2390" s="1">
        <v>46191</v>
      </c>
      <c r="C2390" t="s">
        <v>169</v>
      </c>
      <c r="D2390" s="38">
        <v>6</v>
      </c>
      <c r="E2390" t="s">
        <v>169</v>
      </c>
      <c r="F2390">
        <v>408014</v>
      </c>
      <c r="G2390" t="s">
        <v>108</v>
      </c>
      <c r="H2390" t="s">
        <v>36</v>
      </c>
      <c r="I2390" s="3">
        <v>2</v>
      </c>
      <c r="J2390" s="3"/>
      <c r="K2390" s="26">
        <v>2</v>
      </c>
      <c r="L2390" s="2">
        <v>16182</v>
      </c>
      <c r="M2390" s="2">
        <v>32364</v>
      </c>
      <c r="N2390" s="2">
        <v>32364</v>
      </c>
      <c r="O2390" s="2">
        <v>16182.1068</v>
      </c>
      <c r="P2390" s="2">
        <v>0.10680000000000001</v>
      </c>
      <c r="Q2390" s="2">
        <v>0.2135</v>
      </c>
      <c r="R2390" s="4">
        <v>6.5975340279806539E-6</v>
      </c>
      <c r="T2390">
        <v>318798</v>
      </c>
      <c r="U2390" s="26" t="s">
        <v>2011</v>
      </c>
      <c r="V2390" s="2">
        <v>107722</v>
      </c>
      <c r="W2390">
        <v>6344</v>
      </c>
      <c r="X2390" s="2">
        <v>6579000000</v>
      </c>
      <c r="Y2390" s="6">
        <v>32364.213524000013</v>
      </c>
      <c r="Z2390" s="38">
        <v>10010</v>
      </c>
      <c r="AA2390" s="4">
        <f>+((DETALLE_GD_1[[#This Row],[VALOR X UN (GD)]]-DETALLE_GD_1[[#This Row],[VALOR PPTO]])/DETALLE_GD_1[[#This Row],[VALOR PPTO]])</f>
        <v>-6.5998822847693946E-6</v>
      </c>
      <c r="AB2390" s="2">
        <f>+DETALLE_GD_1[[#This Row],[VALOR PPTO]]*DETALLE_GD_1[[#This Row],[CANTIDAD RECIBIDA]]</f>
        <v>32364.213599999999</v>
      </c>
      <c r="AC2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0" s="3">
        <f>+DETALLE_GD_1[[#This Row],[CANTIDAD SOLICITADA]]-DETALLE_GD_1[[#This Row],[DEVOLUCIÓN]]</f>
        <v>2</v>
      </c>
      <c r="AE2390" s="38" t="str">
        <f>+_xlfn.XLOOKUP(DETALLE_GD_1[[#This Row],[CODIGO]],PRODUCTOS[CODIGO],PRODUCTOS[DESC CORTA],"",0)</f>
        <v>GRAPA T40</v>
      </c>
    </row>
    <row r="2391" spans="1:31" x14ac:dyDescent="0.25">
      <c r="A2391" s="1">
        <v>46191</v>
      </c>
      <c r="B2391" s="1">
        <v>46191</v>
      </c>
      <c r="C2391" t="s">
        <v>169</v>
      </c>
      <c r="D2391" s="38">
        <v>6</v>
      </c>
      <c r="E2391" t="s">
        <v>169</v>
      </c>
      <c r="F2391">
        <v>1610023</v>
      </c>
      <c r="G2391" t="s">
        <v>351</v>
      </c>
      <c r="H2391" t="s">
        <v>28</v>
      </c>
      <c r="I2391" s="3">
        <v>10</v>
      </c>
      <c r="J2391" s="3"/>
      <c r="K2391" s="26">
        <v>10</v>
      </c>
      <c r="L2391" s="2">
        <v>2278.1999999999998</v>
      </c>
      <c r="M2391" s="2">
        <v>22782</v>
      </c>
      <c r="N2391" s="2">
        <v>22782</v>
      </c>
      <c r="O2391" s="2">
        <v>2109.0585000000001</v>
      </c>
      <c r="P2391" s="2">
        <v>-169.14150000000001</v>
      </c>
      <c r="Q2391" s="2">
        <v>-1691.4146000000001</v>
      </c>
      <c r="R2391" s="4">
        <v>-8.0197611698158158E-2</v>
      </c>
      <c r="T2391">
        <v>318798</v>
      </c>
      <c r="U2391" s="26"/>
      <c r="V2391" s="2"/>
      <c r="W2391">
        <v>6344</v>
      </c>
      <c r="X2391" s="2">
        <v>6579000000</v>
      </c>
      <c r="Y2391" s="6">
        <v>21090.585420000003</v>
      </c>
      <c r="Z2391" s="38">
        <v>10010</v>
      </c>
      <c r="AA2391" s="4">
        <f>+((DETALLE_GD_1[[#This Row],[VALOR X UN (GD)]]-DETALLE_GD_1[[#This Row],[VALOR PPTO]])/DETALLE_GD_1[[#This Row],[VALOR PPTO]])</f>
        <v>8.0197633209320524E-2</v>
      </c>
      <c r="AB2391" s="2">
        <f>+DETALLE_GD_1[[#This Row],[VALOR PPTO]]*DETALLE_GD_1[[#This Row],[CANTIDAD RECIBIDA]]</f>
        <v>21090.584999999999</v>
      </c>
      <c r="AC2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1" s="3">
        <f>+DETALLE_GD_1[[#This Row],[CANTIDAD SOLICITADA]]-DETALLE_GD_1[[#This Row],[DEVOLUCIÓN]]</f>
        <v>10</v>
      </c>
      <c r="AE2391" s="38" t="str">
        <f>+_xlfn.XLOOKUP(DETALLE_GD_1[[#This Row],[CODIGO]],PRODUCTOS[CODIGO],PRODUCTOS[DESC CORTA],"",0)</f>
        <v>TRAPOS DE ASEO</v>
      </c>
    </row>
    <row r="2392" spans="1:31" x14ac:dyDescent="0.25">
      <c r="A2392" s="1">
        <v>46191</v>
      </c>
      <c r="B2392" s="1">
        <v>46191</v>
      </c>
      <c r="C2392" t="s">
        <v>169</v>
      </c>
      <c r="D2392" s="38">
        <v>6</v>
      </c>
      <c r="E2392" t="s">
        <v>169</v>
      </c>
      <c r="F2392">
        <v>617057</v>
      </c>
      <c r="G2392" t="s">
        <v>134</v>
      </c>
      <c r="H2392" t="s">
        <v>31</v>
      </c>
      <c r="I2392" s="3">
        <v>10</v>
      </c>
      <c r="J2392" s="3"/>
      <c r="K2392" s="26">
        <v>10</v>
      </c>
      <c r="L2392" s="2">
        <v>1698.6</v>
      </c>
      <c r="M2392" s="2">
        <v>16986</v>
      </c>
      <c r="N2392" s="2">
        <v>16986</v>
      </c>
      <c r="O2392" s="2">
        <v>2042.1197</v>
      </c>
      <c r="P2392" s="2">
        <v>343.5197</v>
      </c>
      <c r="Q2392" s="2">
        <v>3435.1970999999999</v>
      </c>
      <c r="R2392" s="4">
        <v>0.16821722301131353</v>
      </c>
      <c r="T2392">
        <v>318798</v>
      </c>
      <c r="U2392" s="26"/>
      <c r="V2392" s="2"/>
      <c r="W2392">
        <v>6344</v>
      </c>
      <c r="X2392" s="2">
        <v>6579000000</v>
      </c>
      <c r="Y2392" s="6">
        <v>20421.197059999999</v>
      </c>
      <c r="Z2392" s="38">
        <v>10010</v>
      </c>
      <c r="AA2392" s="4">
        <f>+((DETALLE_GD_1[[#This Row],[VALOR X UN (GD)]]-DETALLE_GD_1[[#This Row],[VALOR PPTO]])/DETALLE_GD_1[[#This Row],[VALOR PPTO]])</f>
        <v>-0.16821722056743299</v>
      </c>
      <c r="AB2392" s="2">
        <f>+DETALLE_GD_1[[#This Row],[VALOR PPTO]]*DETALLE_GD_1[[#This Row],[CANTIDAD RECIBIDA]]</f>
        <v>20421.197</v>
      </c>
      <c r="AC2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2" s="3">
        <f>+DETALLE_GD_1[[#This Row],[CANTIDAD SOLICITADA]]-DETALLE_GD_1[[#This Row],[DEVOLUCIÓN]]</f>
        <v>10</v>
      </c>
      <c r="AE2392" s="38" t="str">
        <f>+_xlfn.XLOOKUP(DETALLE_GD_1[[#This Row],[CODIGO]],PRODUCTOS[CODIGO],PRODUCTOS[DESC CORTA],"",0)</f>
        <v>BROCHA 5/8 X4</v>
      </c>
    </row>
    <row r="2393" spans="1:31" x14ac:dyDescent="0.25">
      <c r="A2393" s="1">
        <v>46191</v>
      </c>
      <c r="B2393" s="1">
        <v>46191</v>
      </c>
      <c r="C2393" t="s">
        <v>169</v>
      </c>
      <c r="D2393" s="38">
        <v>6</v>
      </c>
      <c r="E2393" t="s">
        <v>169</v>
      </c>
      <c r="F2393">
        <v>617016</v>
      </c>
      <c r="G2393" t="s">
        <v>133</v>
      </c>
      <c r="H2393" t="s">
        <v>31</v>
      </c>
      <c r="I2393" s="3">
        <v>10</v>
      </c>
      <c r="J2393" s="3"/>
      <c r="K2393" s="26">
        <v>10</v>
      </c>
      <c r="L2393" s="2">
        <v>2864.3</v>
      </c>
      <c r="M2393" s="2">
        <v>28643</v>
      </c>
      <c r="N2393" s="2">
        <v>28643</v>
      </c>
      <c r="O2393" s="2">
        <v>2857.5133000000001</v>
      </c>
      <c r="P2393" s="2">
        <v>-6.7866999999999997</v>
      </c>
      <c r="Q2393" s="2">
        <v>-67.8673</v>
      </c>
      <c r="R2393" s="4">
        <v>-2.3750461849998991E-3</v>
      </c>
      <c r="T2393">
        <v>318798</v>
      </c>
      <c r="U2393" s="26"/>
      <c r="V2393" s="2"/>
      <c r="W2393">
        <v>6344</v>
      </c>
      <c r="X2393" s="2">
        <v>6579000000</v>
      </c>
      <c r="Y2393" s="6">
        <v>28575.132740000001</v>
      </c>
      <c r="Z2393" s="38">
        <v>10010</v>
      </c>
      <c r="AA2393" s="4">
        <f>+((DETALLE_GD_1[[#This Row],[VALOR X UN (GD)]]-DETALLE_GD_1[[#This Row],[VALOR PPTO]])/DETALLE_GD_1[[#This Row],[VALOR PPTO]])</f>
        <v>2.3750370645694318E-3</v>
      </c>
      <c r="AB2393" s="2">
        <f>+DETALLE_GD_1[[#This Row],[VALOR PPTO]]*DETALLE_GD_1[[#This Row],[CANTIDAD RECIBIDA]]</f>
        <v>28575.133000000002</v>
      </c>
      <c r="AC2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3" s="3">
        <f>+DETALLE_GD_1[[#This Row],[CANTIDAD SOLICITADA]]-DETALLE_GD_1[[#This Row],[DEVOLUCIÓN]]</f>
        <v>10</v>
      </c>
      <c r="AE2393" s="38" t="str">
        <f>+_xlfn.XLOOKUP(DETALLE_GD_1[[#This Row],[CODIGO]],PRODUCTOS[CODIGO],PRODUCTOS[DESC CORTA],"",0)</f>
        <v>RODILLO CHIPORRO</v>
      </c>
    </row>
    <row r="2394" spans="1:31" x14ac:dyDescent="0.25">
      <c r="A2394" s="1">
        <v>46191</v>
      </c>
      <c r="B2394" s="1">
        <v>46191</v>
      </c>
      <c r="C2394" t="s">
        <v>169</v>
      </c>
      <c r="D2394" s="38">
        <v>6</v>
      </c>
      <c r="E2394" t="s">
        <v>169</v>
      </c>
      <c r="F2394">
        <v>617055</v>
      </c>
      <c r="G2394" t="s">
        <v>182</v>
      </c>
      <c r="H2394" t="s">
        <v>31</v>
      </c>
      <c r="I2394" s="3">
        <v>10</v>
      </c>
      <c r="J2394" s="3"/>
      <c r="K2394" s="26">
        <v>10</v>
      </c>
      <c r="L2394" s="2">
        <v>694.7</v>
      </c>
      <c r="M2394" s="2">
        <v>6947</v>
      </c>
      <c r="N2394" s="2">
        <v>6947</v>
      </c>
      <c r="O2394" s="2">
        <v>920.35379999999998</v>
      </c>
      <c r="P2394" s="2">
        <v>225.65379999999999</v>
      </c>
      <c r="Q2394" s="2">
        <v>2256.5378000000001</v>
      </c>
      <c r="R2394" s="4">
        <v>0.24518156567447183</v>
      </c>
      <c r="T2394">
        <v>318798</v>
      </c>
      <c r="U2394" s="26"/>
      <c r="V2394" s="2"/>
      <c r="W2394">
        <v>6344</v>
      </c>
      <c r="X2394" s="2">
        <v>6579000000</v>
      </c>
      <c r="Y2394" s="6">
        <v>9203.5378099999998</v>
      </c>
      <c r="Z2394" s="38">
        <v>10010</v>
      </c>
      <c r="AA2394" s="4">
        <f>+((DETALLE_GD_1[[#This Row],[VALOR X UN (GD)]]-DETALLE_GD_1[[#This Row],[VALOR PPTO]])/DETALLE_GD_1[[#This Row],[VALOR PPTO]])</f>
        <v>-0.24518158125712083</v>
      </c>
      <c r="AB2394" s="2">
        <f>+DETALLE_GD_1[[#This Row],[VALOR PPTO]]*DETALLE_GD_1[[#This Row],[CANTIDAD RECIBIDA]]</f>
        <v>9203.5380000000005</v>
      </c>
      <c r="AC2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4" s="3">
        <f>+DETALLE_GD_1[[#This Row],[CANTIDAD SOLICITADA]]-DETALLE_GD_1[[#This Row],[DEVOLUCIÓN]]</f>
        <v>10</v>
      </c>
      <c r="AE2394" s="38">
        <f>+_xlfn.XLOOKUP(DETALLE_GD_1[[#This Row],[CODIGO]],PRODUCTOS[CODIGO],PRODUCTOS[DESC CORTA],"",0)</f>
        <v>0</v>
      </c>
    </row>
    <row r="2395" spans="1:31" x14ac:dyDescent="0.25">
      <c r="A2395" s="1">
        <v>46192</v>
      </c>
      <c r="B2395" s="1">
        <v>46192</v>
      </c>
      <c r="C2395" t="s">
        <v>169</v>
      </c>
      <c r="D2395" s="38">
        <v>6</v>
      </c>
      <c r="E2395" t="s">
        <v>169</v>
      </c>
      <c r="F2395">
        <v>601250</v>
      </c>
      <c r="G2395" t="s">
        <v>2023</v>
      </c>
      <c r="H2395" t="s">
        <v>68</v>
      </c>
      <c r="I2395" s="3">
        <v>1</v>
      </c>
      <c r="J2395" s="3"/>
      <c r="K2395" s="26">
        <v>1</v>
      </c>
      <c r="L2395" s="2">
        <v>17178</v>
      </c>
      <c r="M2395" s="2">
        <v>17178</v>
      </c>
      <c r="N2395" s="2">
        <v>17178</v>
      </c>
      <c r="O2395" s="2"/>
      <c r="P2395" s="2"/>
      <c r="Q2395" s="2">
        <v>-17178</v>
      </c>
      <c r="R2395" s="4"/>
      <c r="T2395">
        <v>318935</v>
      </c>
      <c r="U2395" s="26" t="s">
        <v>2015</v>
      </c>
      <c r="V2395" s="2">
        <v>95165</v>
      </c>
      <c r="W2395">
        <v>6344</v>
      </c>
      <c r="X2395" s="2">
        <v>6579000000</v>
      </c>
      <c r="Y2395" s="6" t="s">
        <v>355</v>
      </c>
      <c r="Z2395" s="38">
        <v>10010</v>
      </c>
      <c r="AA2395" s="4" t="e">
        <f>+((DETALLE_GD_1[[#This Row],[VALOR X UN (GD)]]-DETALLE_GD_1[[#This Row],[VALOR PPTO]])/DETALLE_GD_1[[#This Row],[VALOR PPTO]])</f>
        <v>#DIV/0!</v>
      </c>
      <c r="AB2395" s="2">
        <f>+DETALLE_GD_1[[#This Row],[VALOR PPTO]]*DETALLE_GD_1[[#This Row],[CANTIDAD RECIBIDA]]</f>
        <v>0</v>
      </c>
      <c r="AC2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5" s="3">
        <f>+DETALLE_GD_1[[#This Row],[CANTIDAD SOLICITADA]]-DETALLE_GD_1[[#This Row],[DEVOLUCIÓN]]</f>
        <v>1</v>
      </c>
      <c r="AE2395" s="38" t="str">
        <f>+_xlfn.XLOOKUP(DETALLE_GD_1[[#This Row],[CODIGO]],PRODUCTOS[CODIGO],PRODUCTOS[DESC CORTA],"",0)</f>
        <v/>
      </c>
    </row>
    <row r="2396" spans="1:31" x14ac:dyDescent="0.25">
      <c r="A2396" s="1">
        <v>46192</v>
      </c>
      <c r="B2396" s="1">
        <v>46192</v>
      </c>
      <c r="C2396" t="s">
        <v>169</v>
      </c>
      <c r="D2396" s="38">
        <v>6</v>
      </c>
      <c r="E2396" t="s">
        <v>169</v>
      </c>
      <c r="F2396">
        <v>604019</v>
      </c>
      <c r="G2396" t="s">
        <v>2024</v>
      </c>
      <c r="H2396" t="s">
        <v>68</v>
      </c>
      <c r="I2396" s="3">
        <v>1</v>
      </c>
      <c r="J2396" s="3"/>
      <c r="K2396" s="26">
        <v>1</v>
      </c>
      <c r="L2396" s="2">
        <v>15918</v>
      </c>
      <c r="M2396" s="2">
        <v>15918</v>
      </c>
      <c r="N2396" s="2">
        <v>15918</v>
      </c>
      <c r="O2396" s="2"/>
      <c r="P2396" s="2"/>
      <c r="Q2396" s="2">
        <v>-15918</v>
      </c>
      <c r="R2396" s="4"/>
      <c r="T2396">
        <v>318935</v>
      </c>
      <c r="U2396" s="26"/>
      <c r="V2396" s="2"/>
      <c r="W2396">
        <v>6344</v>
      </c>
      <c r="X2396" s="2">
        <v>6579000000</v>
      </c>
      <c r="Y2396" s="6" t="s">
        <v>355</v>
      </c>
      <c r="Z2396" s="38">
        <v>10010</v>
      </c>
      <c r="AA2396" s="4" t="e">
        <f>+((DETALLE_GD_1[[#This Row],[VALOR X UN (GD)]]-DETALLE_GD_1[[#This Row],[VALOR PPTO]])/DETALLE_GD_1[[#This Row],[VALOR PPTO]])</f>
        <v>#DIV/0!</v>
      </c>
      <c r="AB2396" s="2">
        <f>+DETALLE_GD_1[[#This Row],[VALOR PPTO]]*DETALLE_GD_1[[#This Row],[CANTIDAD RECIBIDA]]</f>
        <v>0</v>
      </c>
      <c r="AC2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6" s="3">
        <f>+DETALLE_GD_1[[#This Row],[CANTIDAD SOLICITADA]]-DETALLE_GD_1[[#This Row],[DEVOLUCIÓN]]</f>
        <v>1</v>
      </c>
      <c r="AE2396" s="38" t="str">
        <f>+_xlfn.XLOOKUP(DETALLE_GD_1[[#This Row],[CODIGO]],PRODUCTOS[CODIGO],PRODUCTOS[DESC CORTA],"",0)</f>
        <v/>
      </c>
    </row>
    <row r="2397" spans="1:31" x14ac:dyDescent="0.25">
      <c r="A2397" s="1">
        <v>46192</v>
      </c>
      <c r="B2397" s="1">
        <v>46192</v>
      </c>
      <c r="C2397" t="s">
        <v>169</v>
      </c>
      <c r="D2397" s="38">
        <v>6</v>
      </c>
      <c r="E2397" t="s">
        <v>169</v>
      </c>
      <c r="F2397">
        <v>602012</v>
      </c>
      <c r="G2397" t="s">
        <v>2025</v>
      </c>
      <c r="H2397" t="s">
        <v>68</v>
      </c>
      <c r="I2397" s="3">
        <v>1</v>
      </c>
      <c r="J2397" s="3"/>
      <c r="K2397" s="26">
        <v>1</v>
      </c>
      <c r="L2397" s="2">
        <v>62069</v>
      </c>
      <c r="M2397" s="2">
        <v>62069</v>
      </c>
      <c r="N2397" s="2">
        <v>62069</v>
      </c>
      <c r="O2397" s="2"/>
      <c r="P2397" s="2"/>
      <c r="Q2397" s="2">
        <v>-62069</v>
      </c>
      <c r="R2397" s="4"/>
      <c r="T2397">
        <v>318935</v>
      </c>
      <c r="U2397" s="26"/>
      <c r="V2397" s="2"/>
      <c r="W2397">
        <v>6344</v>
      </c>
      <c r="X2397" s="2">
        <v>6579000000</v>
      </c>
      <c r="Y2397" s="6" t="s">
        <v>355</v>
      </c>
      <c r="Z2397" s="38">
        <v>10010</v>
      </c>
      <c r="AA2397" s="4" t="e">
        <f>+((DETALLE_GD_1[[#This Row],[VALOR X UN (GD)]]-DETALLE_GD_1[[#This Row],[VALOR PPTO]])/DETALLE_GD_1[[#This Row],[VALOR PPTO]])</f>
        <v>#DIV/0!</v>
      </c>
      <c r="AB2397" s="2">
        <f>+DETALLE_GD_1[[#This Row],[VALOR PPTO]]*DETALLE_GD_1[[#This Row],[CANTIDAD RECIBIDA]]</f>
        <v>0</v>
      </c>
      <c r="AC2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7" s="3">
        <f>+DETALLE_GD_1[[#This Row],[CANTIDAD SOLICITADA]]-DETALLE_GD_1[[#This Row],[DEVOLUCIÓN]]</f>
        <v>1</v>
      </c>
      <c r="AE2397" s="38" t="str">
        <f>+_xlfn.XLOOKUP(DETALLE_GD_1[[#This Row],[CODIGO]],PRODUCTOS[CODIGO],PRODUCTOS[DESC CORTA],"",0)</f>
        <v/>
      </c>
    </row>
    <row r="2398" spans="1:31" x14ac:dyDescent="0.25">
      <c r="A2398" s="1">
        <v>46192</v>
      </c>
      <c r="B2398" s="1">
        <v>46192</v>
      </c>
      <c r="C2398" t="s">
        <v>169</v>
      </c>
      <c r="D2398" s="38">
        <v>6</v>
      </c>
      <c r="E2398" t="s">
        <v>169</v>
      </c>
      <c r="F2398">
        <v>2304053</v>
      </c>
      <c r="G2398" t="s">
        <v>213</v>
      </c>
      <c r="H2398" t="s">
        <v>31</v>
      </c>
      <c r="I2398" s="3">
        <v>48</v>
      </c>
      <c r="J2398" s="3"/>
      <c r="K2398" s="26">
        <v>48</v>
      </c>
      <c r="L2398" s="2">
        <v>1016.25</v>
      </c>
      <c r="M2398" s="2">
        <v>48780</v>
      </c>
      <c r="N2398" s="2">
        <v>48780</v>
      </c>
      <c r="O2398" s="2">
        <v>862</v>
      </c>
      <c r="P2398" s="2">
        <v>-154.25</v>
      </c>
      <c r="Q2398" s="2">
        <v>-7404</v>
      </c>
      <c r="R2398" s="4">
        <v>-0.17894431554524343</v>
      </c>
      <c r="T2398">
        <v>318917</v>
      </c>
      <c r="U2398" s="26" t="s">
        <v>2008</v>
      </c>
      <c r="V2398" s="2">
        <v>571005</v>
      </c>
      <c r="W2398">
        <v>6344</v>
      </c>
      <c r="X2398" s="2">
        <v>6579000000</v>
      </c>
      <c r="Y2398" s="6">
        <v>41376.000000000007</v>
      </c>
      <c r="Z2398" s="38">
        <v>10010</v>
      </c>
      <c r="AA2398" s="4">
        <f>+((DETALLE_GD_1[[#This Row],[VALOR X UN (GD)]]-DETALLE_GD_1[[#This Row],[VALOR PPTO]])/DETALLE_GD_1[[#This Row],[VALOR PPTO]])</f>
        <v>0.17894431554524362</v>
      </c>
      <c r="AB2398" s="2">
        <f>+DETALLE_GD_1[[#This Row],[VALOR PPTO]]*DETALLE_GD_1[[#This Row],[CANTIDAD RECIBIDA]]</f>
        <v>41376</v>
      </c>
      <c r="AC2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8" s="3">
        <f>+DETALLE_GD_1[[#This Row],[CANTIDAD SOLICITADA]]-DETALLE_GD_1[[#This Row],[DEVOLUCIÓN]]</f>
        <v>48</v>
      </c>
      <c r="AE2398" s="38">
        <f>+_xlfn.XLOOKUP(DETALLE_GD_1[[#This Row],[CODIGO]],PRODUCTOS[CODIGO],PRODUCTOS[DESC CORTA],"",0)</f>
        <v>0</v>
      </c>
    </row>
    <row r="2399" spans="1:31" x14ac:dyDescent="0.25">
      <c r="A2399" s="1">
        <v>46192</v>
      </c>
      <c r="B2399" s="1">
        <v>46192</v>
      </c>
      <c r="C2399" t="s">
        <v>169</v>
      </c>
      <c r="D2399" s="38">
        <v>6</v>
      </c>
      <c r="E2399" t="s">
        <v>169</v>
      </c>
      <c r="F2399">
        <v>106022</v>
      </c>
      <c r="G2399" t="s">
        <v>245</v>
      </c>
      <c r="H2399" t="s">
        <v>31</v>
      </c>
      <c r="I2399" s="3">
        <v>10</v>
      </c>
      <c r="J2399" s="3"/>
      <c r="K2399" s="26">
        <v>10</v>
      </c>
      <c r="L2399" s="2">
        <v>3800.1</v>
      </c>
      <c r="M2399" s="2">
        <v>38001</v>
      </c>
      <c r="N2399" s="2">
        <v>38001</v>
      </c>
      <c r="O2399" s="2">
        <v>3800.6911</v>
      </c>
      <c r="P2399" s="2">
        <v>0.59109999999999996</v>
      </c>
      <c r="Q2399" s="2">
        <v>5.9109999999999996</v>
      </c>
      <c r="R2399" s="4">
        <v>1.5552408354264617E-4</v>
      </c>
      <c r="T2399">
        <v>318917</v>
      </c>
      <c r="U2399" s="26"/>
      <c r="V2399" s="2"/>
      <c r="W2399">
        <v>6344</v>
      </c>
      <c r="X2399" s="2">
        <v>6579000000</v>
      </c>
      <c r="Y2399" s="6">
        <v>38006.910989999997</v>
      </c>
      <c r="Z2399" s="38">
        <v>10010</v>
      </c>
      <c r="AA2399" s="4">
        <f>+((DETALLE_GD_1[[#This Row],[VALOR X UN (GD)]]-DETALLE_GD_1[[#This Row],[VALOR PPTO]])/DETALLE_GD_1[[#This Row],[VALOR PPTO]])</f>
        <v>-1.5552434661161933E-4</v>
      </c>
      <c r="AB2399" s="2">
        <f>+DETALLE_GD_1[[#This Row],[VALOR PPTO]]*DETALLE_GD_1[[#This Row],[CANTIDAD RECIBIDA]]</f>
        <v>38006.911</v>
      </c>
      <c r="AC2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9" s="3">
        <f>+DETALLE_GD_1[[#This Row],[CANTIDAD SOLICITADA]]-DETALLE_GD_1[[#This Row],[DEVOLUCIÓN]]</f>
        <v>10</v>
      </c>
      <c r="AE2399" s="38">
        <f>+_xlfn.XLOOKUP(DETALLE_GD_1[[#This Row],[CODIGO]],PRODUCTOS[CODIGO],PRODUCTOS[DESC CORTA],"",0)</f>
        <v>0</v>
      </c>
    </row>
    <row r="2400" spans="1:31" x14ac:dyDescent="0.25">
      <c r="A2400" s="1">
        <v>46192</v>
      </c>
      <c r="B2400" s="1">
        <v>46192</v>
      </c>
      <c r="C2400" t="s">
        <v>169</v>
      </c>
      <c r="D2400" s="38">
        <v>6</v>
      </c>
      <c r="E2400" t="s">
        <v>169</v>
      </c>
      <c r="F2400">
        <v>1802162</v>
      </c>
      <c r="G2400" t="s">
        <v>260</v>
      </c>
      <c r="H2400" t="s">
        <v>31</v>
      </c>
      <c r="I2400" s="3">
        <v>3</v>
      </c>
      <c r="J2400" s="3"/>
      <c r="K2400" s="26">
        <v>3</v>
      </c>
      <c r="L2400" s="2">
        <v>42840</v>
      </c>
      <c r="M2400" s="2">
        <v>128520</v>
      </c>
      <c r="N2400" s="2">
        <v>128520</v>
      </c>
      <c r="O2400" s="2">
        <v>42840</v>
      </c>
      <c r="P2400" s="2">
        <v>0</v>
      </c>
      <c r="Q2400" s="2">
        <v>0</v>
      </c>
      <c r="R2400" s="4">
        <v>0</v>
      </c>
      <c r="T2400">
        <v>318917</v>
      </c>
      <c r="U2400" s="26"/>
      <c r="V2400" s="2"/>
      <c r="W2400">
        <v>6344</v>
      </c>
      <c r="X2400" s="2">
        <v>6579000000</v>
      </c>
      <c r="Y2400" s="6">
        <v>128520</v>
      </c>
      <c r="Z2400" s="38">
        <v>10010</v>
      </c>
      <c r="AA2400" s="4">
        <f>+((DETALLE_GD_1[[#This Row],[VALOR X UN (GD)]]-DETALLE_GD_1[[#This Row],[VALOR PPTO]])/DETALLE_GD_1[[#This Row],[VALOR PPTO]])</f>
        <v>0</v>
      </c>
      <c r="AB2400" s="2">
        <f>+DETALLE_GD_1[[#This Row],[VALOR PPTO]]*DETALLE_GD_1[[#This Row],[CANTIDAD RECIBIDA]]</f>
        <v>128520</v>
      </c>
      <c r="AC2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0" s="3">
        <f>+DETALLE_GD_1[[#This Row],[CANTIDAD SOLICITADA]]-DETALLE_GD_1[[#This Row],[DEVOLUCIÓN]]</f>
        <v>3</v>
      </c>
      <c r="AE2400" s="38" t="str">
        <f>+_xlfn.XLOOKUP(DETALLE_GD_1[[#This Row],[CODIGO]],PRODUCTOS[CODIGO],PRODUCTOS[DESC CORTA],"",0)</f>
        <v>TINA DE ACERO</v>
      </c>
    </row>
    <row r="2401" spans="1:31" x14ac:dyDescent="0.25">
      <c r="A2401" s="1">
        <v>46192</v>
      </c>
      <c r="B2401" s="1">
        <v>46192</v>
      </c>
      <c r="C2401" t="s">
        <v>169</v>
      </c>
      <c r="D2401" s="38">
        <v>6</v>
      </c>
      <c r="E2401" t="s">
        <v>169</v>
      </c>
      <c r="F2401">
        <v>2302119</v>
      </c>
      <c r="G2401" t="s">
        <v>74</v>
      </c>
      <c r="H2401" t="s">
        <v>31</v>
      </c>
      <c r="I2401" s="3">
        <v>36</v>
      </c>
      <c r="J2401" s="3"/>
      <c r="K2401" s="26">
        <v>36</v>
      </c>
      <c r="L2401" s="2">
        <v>3679.8611000000001</v>
      </c>
      <c r="M2401" s="2">
        <v>132475</v>
      </c>
      <c r="N2401" s="2">
        <v>132475</v>
      </c>
      <c r="O2401" s="2">
        <v>3671</v>
      </c>
      <c r="P2401" s="2">
        <v>-8.8611000000000004</v>
      </c>
      <c r="Q2401" s="2">
        <v>-319</v>
      </c>
      <c r="R2401" s="4">
        <v>-2.413813977420679E-3</v>
      </c>
      <c r="T2401">
        <v>318917</v>
      </c>
      <c r="U2401" s="26"/>
      <c r="V2401" s="2"/>
      <c r="W2401">
        <v>6344</v>
      </c>
      <c r="X2401" s="2">
        <v>6579000000</v>
      </c>
      <c r="Y2401" s="6">
        <v>132156</v>
      </c>
      <c r="Z2401" s="38">
        <v>10010</v>
      </c>
      <c r="AA2401" s="4">
        <f>+((DETALLE_GD_1[[#This Row],[VALOR X UN (GD)]]-DETALLE_GD_1[[#This Row],[VALOR PPTO]])/DETALLE_GD_1[[#This Row],[VALOR PPTO]])</f>
        <v>2.4138109506946551E-3</v>
      </c>
      <c r="AB2401" s="2">
        <f>+DETALLE_GD_1[[#This Row],[VALOR PPTO]]*DETALLE_GD_1[[#This Row],[CANTIDAD RECIBIDA]]</f>
        <v>132156</v>
      </c>
      <c r="AC2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1" s="3">
        <f>+DETALLE_GD_1[[#This Row],[CANTIDAD SOLICITADA]]-DETALLE_GD_1[[#This Row],[DEVOLUCIÓN]]</f>
        <v>36</v>
      </c>
      <c r="AE2401" s="38" t="str">
        <f>+_xlfn.XLOOKUP(DETALLE_GD_1[[#This Row],[CODIGO]],PRODUCTOS[CODIGO],PRODUCTOS[DESC CORTA],"",0)</f>
        <v>SELLO</v>
      </c>
    </row>
    <row r="2402" spans="1:31" x14ac:dyDescent="0.25">
      <c r="A2402" s="1">
        <v>46192</v>
      </c>
      <c r="B2402" s="1">
        <v>46192</v>
      </c>
      <c r="C2402" t="s">
        <v>169</v>
      </c>
      <c r="D2402" s="38">
        <v>6</v>
      </c>
      <c r="E2402" t="s">
        <v>169</v>
      </c>
      <c r="F2402">
        <v>609008</v>
      </c>
      <c r="G2402" t="s">
        <v>57</v>
      </c>
      <c r="H2402" t="s">
        <v>58</v>
      </c>
      <c r="I2402" s="3">
        <v>5</v>
      </c>
      <c r="J2402" s="3"/>
      <c r="K2402" s="26">
        <v>5</v>
      </c>
      <c r="L2402" s="2">
        <v>2381.8000000000002</v>
      </c>
      <c r="M2402" s="2">
        <v>11909</v>
      </c>
      <c r="N2402" s="2">
        <v>11909</v>
      </c>
      <c r="O2402" s="2">
        <v>2130.7573000000002</v>
      </c>
      <c r="P2402" s="2">
        <v>-251.0427</v>
      </c>
      <c r="Q2402" s="2">
        <v>-1255.2135000000001</v>
      </c>
      <c r="R2402" s="4">
        <v>-0.11781852809881958</v>
      </c>
      <c r="T2402">
        <v>318917</v>
      </c>
      <c r="U2402" s="26"/>
      <c r="V2402" s="2"/>
      <c r="W2402">
        <v>6344</v>
      </c>
      <c r="X2402" s="2">
        <v>6579000000</v>
      </c>
      <c r="Y2402" s="6">
        <v>10653.786550000001</v>
      </c>
      <c r="Z2402" s="38">
        <v>10010</v>
      </c>
      <c r="AA2402" s="4">
        <f>+((DETALLE_GD_1[[#This Row],[VALOR X UN (GD)]]-DETALLE_GD_1[[#This Row],[VALOR PPTO]])/DETALLE_GD_1[[#This Row],[VALOR PPTO]])</f>
        <v>0.11781853334492856</v>
      </c>
      <c r="AB2402" s="2">
        <f>+DETALLE_GD_1[[#This Row],[VALOR PPTO]]*DETALLE_GD_1[[#This Row],[CANTIDAD RECIBIDA]]</f>
        <v>10653.786500000002</v>
      </c>
      <c r="AC2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2" s="3">
        <f>+DETALLE_GD_1[[#This Row],[CANTIDAD SOLICITADA]]-DETALLE_GD_1[[#This Row],[DEVOLUCIÓN]]</f>
        <v>5</v>
      </c>
      <c r="AE2402" s="38" t="str">
        <f>+_xlfn.XLOOKUP(DETALLE_GD_1[[#This Row],[CODIGO]],PRODUCTOS[CODIGO],PRODUCTOS[DESC CORTA],"",0)</f>
        <v>DUCO</v>
      </c>
    </row>
    <row r="2403" spans="1:31" x14ac:dyDescent="0.25">
      <c r="A2403" s="1">
        <v>46192</v>
      </c>
      <c r="B2403" s="1">
        <v>46192</v>
      </c>
      <c r="C2403" t="s">
        <v>169</v>
      </c>
      <c r="D2403" s="38">
        <v>6</v>
      </c>
      <c r="E2403" t="s">
        <v>169</v>
      </c>
      <c r="F2403">
        <v>1405039</v>
      </c>
      <c r="G2403" t="s">
        <v>314</v>
      </c>
      <c r="H2403" t="s">
        <v>31</v>
      </c>
      <c r="I2403" s="3">
        <v>5</v>
      </c>
      <c r="J2403" s="3"/>
      <c r="K2403" s="26">
        <v>5</v>
      </c>
      <c r="L2403" s="2">
        <v>7636.6</v>
      </c>
      <c r="M2403" s="2">
        <v>38183</v>
      </c>
      <c r="N2403" s="2">
        <v>38183</v>
      </c>
      <c r="O2403" s="2">
        <v>7596</v>
      </c>
      <c r="P2403" s="2">
        <v>-40.6</v>
      </c>
      <c r="Q2403" s="2">
        <v>-203</v>
      </c>
      <c r="R2403" s="4">
        <v>-5.3449183780937817E-3</v>
      </c>
      <c r="T2403">
        <v>318917</v>
      </c>
      <c r="U2403" s="26"/>
      <c r="V2403" s="2"/>
      <c r="W2403">
        <v>6344</v>
      </c>
      <c r="X2403" s="2">
        <v>6579000000</v>
      </c>
      <c r="Y2403" s="6">
        <v>37980</v>
      </c>
      <c r="Z2403" s="38">
        <v>10010</v>
      </c>
      <c r="AA2403" s="4">
        <f>+((DETALLE_GD_1[[#This Row],[VALOR X UN (GD)]]-DETALLE_GD_1[[#This Row],[VALOR PPTO]])/DETALLE_GD_1[[#This Row],[VALOR PPTO]])</f>
        <v>5.3449183780937817E-3</v>
      </c>
      <c r="AB2403" s="2">
        <f>+DETALLE_GD_1[[#This Row],[VALOR PPTO]]*DETALLE_GD_1[[#This Row],[CANTIDAD RECIBIDA]]</f>
        <v>37980</v>
      </c>
      <c r="AC2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3" s="3">
        <f>+DETALLE_GD_1[[#This Row],[CANTIDAD SOLICITADA]]-DETALLE_GD_1[[#This Row],[DEVOLUCIÓN]]</f>
        <v>5</v>
      </c>
      <c r="AE2403" s="38" t="str">
        <f>+_xlfn.XLOOKUP(DETALLE_GD_1[[#This Row],[CODIGO]],PRODUCTOS[CODIGO],PRODUCTOS[DESC CORTA],"",0)</f>
        <v>CERRADURA INOX 304</v>
      </c>
    </row>
    <row r="2404" spans="1:31" x14ac:dyDescent="0.25">
      <c r="A2404" s="1">
        <v>46192</v>
      </c>
      <c r="B2404" s="1">
        <v>46192</v>
      </c>
      <c r="C2404" t="s">
        <v>169</v>
      </c>
      <c r="D2404" s="38">
        <v>6</v>
      </c>
      <c r="E2404" t="s">
        <v>169</v>
      </c>
      <c r="F2404">
        <v>1405040</v>
      </c>
      <c r="G2404" t="s">
        <v>449</v>
      </c>
      <c r="H2404" t="s">
        <v>31</v>
      </c>
      <c r="I2404" s="3">
        <v>10</v>
      </c>
      <c r="J2404" s="3"/>
      <c r="K2404" s="26">
        <v>10</v>
      </c>
      <c r="L2404" s="2">
        <v>7573.7</v>
      </c>
      <c r="M2404" s="2">
        <v>75737</v>
      </c>
      <c r="N2404" s="2">
        <v>75737</v>
      </c>
      <c r="O2404" s="2">
        <v>7568</v>
      </c>
      <c r="P2404" s="2">
        <v>-5.7</v>
      </c>
      <c r="Q2404" s="2">
        <v>-57</v>
      </c>
      <c r="R2404" s="4">
        <v>-7.5317124735726972E-4</v>
      </c>
      <c r="T2404">
        <v>318917</v>
      </c>
      <c r="U2404" s="26"/>
      <c r="V2404" s="2"/>
      <c r="W2404">
        <v>6344</v>
      </c>
      <c r="X2404" s="2">
        <v>6579000000</v>
      </c>
      <c r="Y2404" s="6">
        <v>75680</v>
      </c>
      <c r="Z2404" s="38">
        <v>10010</v>
      </c>
      <c r="AA2404" s="4">
        <f>+((DETALLE_GD_1[[#This Row],[VALOR X UN (GD)]]-DETALLE_GD_1[[#This Row],[VALOR PPTO]])/DETALLE_GD_1[[#This Row],[VALOR PPTO]])</f>
        <v>7.5317124735726983E-4</v>
      </c>
      <c r="AB2404" s="2">
        <f>+DETALLE_GD_1[[#This Row],[VALOR PPTO]]*DETALLE_GD_1[[#This Row],[CANTIDAD RECIBIDA]]</f>
        <v>75680</v>
      </c>
      <c r="AC2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4" s="3">
        <f>+DETALLE_GD_1[[#This Row],[CANTIDAD SOLICITADA]]-DETALLE_GD_1[[#This Row],[DEVOLUCIÓN]]</f>
        <v>10</v>
      </c>
      <c r="AE2404" s="38" t="str">
        <f>+_xlfn.XLOOKUP(DETALLE_GD_1[[#This Row],[CODIGO]],PRODUCTOS[CODIGO],PRODUCTOS[DESC CORTA],"",0)</f>
        <v>CEERRADURA BAÑO 815 TUBULAR</v>
      </c>
    </row>
    <row r="2405" spans="1:31" x14ac:dyDescent="0.25">
      <c r="A2405" s="1">
        <v>46192</v>
      </c>
      <c r="B2405" s="1">
        <v>46192</v>
      </c>
      <c r="C2405" t="s">
        <v>169</v>
      </c>
      <c r="D2405" s="38">
        <v>6</v>
      </c>
      <c r="E2405" t="s">
        <v>169</v>
      </c>
      <c r="F2405">
        <v>704021</v>
      </c>
      <c r="G2405" t="s">
        <v>329</v>
      </c>
      <c r="H2405" t="s">
        <v>31</v>
      </c>
      <c r="I2405" s="3">
        <v>200</v>
      </c>
      <c r="J2405" s="3"/>
      <c r="K2405" s="26">
        <v>200</v>
      </c>
      <c r="L2405" s="2">
        <v>487</v>
      </c>
      <c r="M2405" s="2">
        <v>97400</v>
      </c>
      <c r="N2405" s="2">
        <v>97400</v>
      </c>
      <c r="O2405" s="2">
        <v>487</v>
      </c>
      <c r="P2405" s="2">
        <v>0</v>
      </c>
      <c r="Q2405" s="2">
        <v>0</v>
      </c>
      <c r="R2405" s="4">
        <v>0</v>
      </c>
      <c r="T2405">
        <v>318917</v>
      </c>
      <c r="U2405" s="26"/>
      <c r="V2405" s="2"/>
      <c r="W2405">
        <v>6344</v>
      </c>
      <c r="X2405" s="2">
        <v>6579000000</v>
      </c>
      <c r="Y2405" s="6">
        <v>97400</v>
      </c>
      <c r="Z2405" s="38">
        <v>10010</v>
      </c>
      <c r="AA2405" s="4">
        <f>+((DETALLE_GD_1[[#This Row],[VALOR X UN (GD)]]-DETALLE_GD_1[[#This Row],[VALOR PPTO]])/DETALLE_GD_1[[#This Row],[VALOR PPTO]])</f>
        <v>0</v>
      </c>
      <c r="AB2405" s="2">
        <f>+DETALLE_GD_1[[#This Row],[VALOR PPTO]]*DETALLE_GD_1[[#This Row],[CANTIDAD RECIBIDA]]</f>
        <v>97400</v>
      </c>
      <c r="AC2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5" s="3">
        <f>+DETALLE_GD_1[[#This Row],[CANTIDAD SOLICITADA]]-DETALLE_GD_1[[#This Row],[DEVOLUCIÓN]]</f>
        <v>200</v>
      </c>
      <c r="AE2405" s="38" t="str">
        <f>+_xlfn.XLOOKUP(DETALLE_GD_1[[#This Row],[CODIGO]],PRODUCTOS[CODIGO],PRODUCTOS[DESC CORTA],"",0)</f>
        <v>ESQUINERO PILASTRA PVC</v>
      </c>
    </row>
    <row r="2406" spans="1:31" x14ac:dyDescent="0.25">
      <c r="A2406" s="1">
        <v>46192</v>
      </c>
      <c r="B2406" s="1">
        <v>46192</v>
      </c>
      <c r="C2406" t="s">
        <v>169</v>
      </c>
      <c r="D2406" s="38">
        <v>6</v>
      </c>
      <c r="E2406" t="s">
        <v>169</v>
      </c>
      <c r="F2406">
        <v>1402016</v>
      </c>
      <c r="G2406" t="s">
        <v>795</v>
      </c>
      <c r="H2406" t="s">
        <v>31</v>
      </c>
      <c r="I2406" s="3">
        <v>18</v>
      </c>
      <c r="J2406" s="3"/>
      <c r="K2406" s="26">
        <v>18</v>
      </c>
      <c r="L2406" s="2">
        <v>754.22220000000004</v>
      </c>
      <c r="M2406" s="2">
        <v>13576</v>
      </c>
      <c r="N2406" s="2">
        <v>13576</v>
      </c>
      <c r="O2406" s="2"/>
      <c r="P2406" s="2"/>
      <c r="Q2406" s="2">
        <v>-13576</v>
      </c>
      <c r="R2406" s="4"/>
      <c r="T2406">
        <v>318934</v>
      </c>
      <c r="U2406" s="26" t="s">
        <v>2015</v>
      </c>
      <c r="V2406" s="2">
        <v>10370124</v>
      </c>
      <c r="W2406">
        <v>6344</v>
      </c>
      <c r="X2406" s="2">
        <v>6579000000</v>
      </c>
      <c r="Y2406" s="6" t="s">
        <v>355</v>
      </c>
      <c r="Z2406" s="38">
        <v>10010</v>
      </c>
      <c r="AA2406" s="4" t="e">
        <f>+((DETALLE_GD_1[[#This Row],[VALOR X UN (GD)]]-DETALLE_GD_1[[#This Row],[VALOR PPTO]])/DETALLE_GD_1[[#This Row],[VALOR PPTO]])</f>
        <v>#DIV/0!</v>
      </c>
      <c r="AB2406" s="2">
        <f>+DETALLE_GD_1[[#This Row],[VALOR PPTO]]*DETALLE_GD_1[[#This Row],[CANTIDAD RECIBIDA]]</f>
        <v>0</v>
      </c>
      <c r="AC2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6" s="3">
        <f>+DETALLE_GD_1[[#This Row],[CANTIDAD SOLICITADA]]-DETALLE_GD_1[[#This Row],[DEVOLUCIÓN]]</f>
        <v>18</v>
      </c>
      <c r="AE2406" s="38" t="str">
        <f>+_xlfn.XLOOKUP(DETALLE_GD_1[[#This Row],[CODIGO]],PRODUCTOS[CODIGO],PRODUCTOS[DESC CORTA],"",0)</f>
        <v/>
      </c>
    </row>
    <row r="2407" spans="1:31" x14ac:dyDescent="0.25">
      <c r="A2407" s="1">
        <v>46192</v>
      </c>
      <c r="B2407" s="1">
        <v>46192</v>
      </c>
      <c r="C2407" t="s">
        <v>169</v>
      </c>
      <c r="D2407" s="38">
        <v>6</v>
      </c>
      <c r="E2407" t="s">
        <v>169</v>
      </c>
      <c r="F2407">
        <v>1101298</v>
      </c>
      <c r="G2407" t="s">
        <v>796</v>
      </c>
      <c r="H2407" t="s">
        <v>31</v>
      </c>
      <c r="I2407" s="3">
        <v>6</v>
      </c>
      <c r="J2407" s="3"/>
      <c r="K2407" s="26">
        <v>6</v>
      </c>
      <c r="L2407" s="2">
        <v>73070</v>
      </c>
      <c r="M2407" s="2">
        <v>438420</v>
      </c>
      <c r="N2407" s="2">
        <v>438420</v>
      </c>
      <c r="O2407" s="2"/>
      <c r="P2407" s="2"/>
      <c r="Q2407" s="2">
        <v>-438420</v>
      </c>
      <c r="R2407" s="4"/>
      <c r="T2407">
        <v>318934</v>
      </c>
      <c r="U2407" s="26"/>
      <c r="V2407" s="2"/>
      <c r="W2407">
        <v>6344</v>
      </c>
      <c r="X2407" s="2">
        <v>6579000000</v>
      </c>
      <c r="Y2407" s="6" t="s">
        <v>355</v>
      </c>
      <c r="Z2407" s="38">
        <v>10010</v>
      </c>
      <c r="AA2407" s="4" t="e">
        <f>+((DETALLE_GD_1[[#This Row],[VALOR X UN (GD)]]-DETALLE_GD_1[[#This Row],[VALOR PPTO]])/DETALLE_GD_1[[#This Row],[VALOR PPTO]])</f>
        <v>#DIV/0!</v>
      </c>
      <c r="AB2407" s="2">
        <f>+DETALLE_GD_1[[#This Row],[VALOR PPTO]]*DETALLE_GD_1[[#This Row],[CANTIDAD RECIBIDA]]</f>
        <v>0</v>
      </c>
      <c r="AC2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7" s="3">
        <f>+DETALLE_GD_1[[#This Row],[CANTIDAD SOLICITADA]]-DETALLE_GD_1[[#This Row],[DEVOLUCIÓN]]</f>
        <v>6</v>
      </c>
      <c r="AE2407" s="38" t="str">
        <f>+_xlfn.XLOOKUP(DETALLE_GD_1[[#This Row],[CODIGO]],PRODUCTOS[CODIGO],PRODUCTOS[DESC CORTA],"",0)</f>
        <v/>
      </c>
    </row>
    <row r="2408" spans="1:31" x14ac:dyDescent="0.25">
      <c r="A2408" s="1">
        <v>46192</v>
      </c>
      <c r="B2408" s="1">
        <v>46192</v>
      </c>
      <c r="C2408" t="s">
        <v>169</v>
      </c>
      <c r="D2408" s="38">
        <v>6</v>
      </c>
      <c r="E2408" t="s">
        <v>169</v>
      </c>
      <c r="F2408">
        <v>2302098</v>
      </c>
      <c r="G2408" t="s">
        <v>24</v>
      </c>
      <c r="H2408" t="s">
        <v>25</v>
      </c>
      <c r="I2408" s="3">
        <v>6</v>
      </c>
      <c r="J2408" s="3"/>
      <c r="K2408" s="26">
        <v>6</v>
      </c>
      <c r="L2408" s="2">
        <v>21213</v>
      </c>
      <c r="M2408" s="2">
        <v>127278</v>
      </c>
      <c r="N2408" s="2">
        <v>127278</v>
      </c>
      <c r="O2408" s="2">
        <v>21213</v>
      </c>
      <c r="P2408" s="2">
        <v>0</v>
      </c>
      <c r="Q2408" s="2">
        <v>0</v>
      </c>
      <c r="R2408" s="4">
        <v>-1.7149761029050001E-16</v>
      </c>
      <c r="T2408">
        <v>318934</v>
      </c>
      <c r="U2408" s="26"/>
      <c r="V2408" s="2"/>
      <c r="W2408">
        <v>6344</v>
      </c>
      <c r="X2408" s="2">
        <v>6579000000</v>
      </c>
      <c r="Y2408" s="6">
        <v>127277.99999999996</v>
      </c>
      <c r="Z2408" s="38">
        <v>10010</v>
      </c>
      <c r="AA2408" s="4">
        <f>+((DETALLE_GD_1[[#This Row],[VALOR X UN (GD)]]-DETALLE_GD_1[[#This Row],[VALOR PPTO]])/DETALLE_GD_1[[#This Row],[VALOR PPTO]])</f>
        <v>0</v>
      </c>
      <c r="AB2408" s="2">
        <f>+DETALLE_GD_1[[#This Row],[VALOR PPTO]]*DETALLE_GD_1[[#This Row],[CANTIDAD RECIBIDA]]</f>
        <v>127278</v>
      </c>
      <c r="AC2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8" s="3">
        <f>+DETALLE_GD_1[[#This Row],[CANTIDAD SOLICITADA]]-DETALLE_GD_1[[#This Row],[DEVOLUCIÓN]]</f>
        <v>6</v>
      </c>
      <c r="AE2408" s="38" t="str">
        <f>+_xlfn.XLOOKUP(DETALLE_GD_1[[#This Row],[CODIGO]],PRODUCTOS[CODIGO],PRODUCTOS[DESC CORTA],"",0)</f>
        <v>COLA FRIA</v>
      </c>
    </row>
    <row r="2409" spans="1:31" x14ac:dyDescent="0.25">
      <c r="A2409" s="1">
        <v>46192</v>
      </c>
      <c r="B2409" s="1">
        <v>46192</v>
      </c>
      <c r="C2409" t="s">
        <v>169</v>
      </c>
      <c r="D2409" s="38">
        <v>6</v>
      </c>
      <c r="E2409" t="s">
        <v>169</v>
      </c>
      <c r="F2409">
        <v>412630</v>
      </c>
      <c r="G2409" t="s">
        <v>284</v>
      </c>
      <c r="H2409" t="s">
        <v>31</v>
      </c>
      <c r="I2409" s="3">
        <v>10</v>
      </c>
      <c r="J2409" s="3"/>
      <c r="K2409" s="26">
        <v>10</v>
      </c>
      <c r="L2409" s="2">
        <v>150300</v>
      </c>
      <c r="M2409" s="2">
        <v>1503000</v>
      </c>
      <c r="N2409" s="2">
        <v>1503000</v>
      </c>
      <c r="O2409" s="2">
        <v>148200</v>
      </c>
      <c r="P2409" s="2">
        <v>-2100</v>
      </c>
      <c r="Q2409" s="2">
        <v>-21000</v>
      </c>
      <c r="R2409" s="4">
        <v>-1.417004048582996E-2</v>
      </c>
      <c r="T2409">
        <v>318934</v>
      </c>
      <c r="U2409" s="26"/>
      <c r="V2409" s="2"/>
      <c r="W2409">
        <v>6344</v>
      </c>
      <c r="X2409" s="2">
        <v>6579000000</v>
      </c>
      <c r="Y2409" s="6">
        <v>1482000</v>
      </c>
      <c r="Z2409" s="38">
        <v>10010</v>
      </c>
      <c r="AA2409" s="4">
        <f>+((DETALLE_GD_1[[#This Row],[VALOR X UN (GD)]]-DETALLE_GD_1[[#This Row],[VALOR PPTO]])/DETALLE_GD_1[[#This Row],[VALOR PPTO]])</f>
        <v>1.417004048582996E-2</v>
      </c>
      <c r="AB2409" s="2">
        <f>+DETALLE_GD_1[[#This Row],[VALOR PPTO]]*DETALLE_GD_1[[#This Row],[CANTIDAD RECIBIDA]]</f>
        <v>1482000</v>
      </c>
      <c r="AC2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9" s="3">
        <f>+DETALLE_GD_1[[#This Row],[CANTIDAD SOLICITADA]]-DETALLE_GD_1[[#This Row],[DEVOLUCIÓN]]</f>
        <v>10</v>
      </c>
      <c r="AE2409" s="38">
        <f>+_xlfn.XLOOKUP(DETALLE_GD_1[[#This Row],[CODIGO]],PRODUCTOS[CODIGO],PRODUCTOS[DESC CORTA],"",0)</f>
        <v>0</v>
      </c>
    </row>
    <row r="2410" spans="1:31" x14ac:dyDescent="0.25">
      <c r="A2410" s="1">
        <v>46192</v>
      </c>
      <c r="B2410" s="1">
        <v>46192</v>
      </c>
      <c r="C2410" t="s">
        <v>169</v>
      </c>
      <c r="D2410" s="38">
        <v>6</v>
      </c>
      <c r="E2410" t="s">
        <v>169</v>
      </c>
      <c r="F2410">
        <v>408014</v>
      </c>
      <c r="G2410" t="s">
        <v>108</v>
      </c>
      <c r="H2410" t="s">
        <v>36</v>
      </c>
      <c r="I2410" s="3">
        <v>5</v>
      </c>
      <c r="J2410" s="3"/>
      <c r="K2410" s="26">
        <v>5</v>
      </c>
      <c r="L2410" s="2">
        <v>16182.2</v>
      </c>
      <c r="M2410" s="2">
        <v>80911</v>
      </c>
      <c r="N2410" s="2">
        <v>80911</v>
      </c>
      <c r="O2410" s="2">
        <v>16182.1068</v>
      </c>
      <c r="P2410" s="2">
        <v>-9.3200000000000005E-2</v>
      </c>
      <c r="Q2410" s="2">
        <v>-0.4662</v>
      </c>
      <c r="R2410" s="4">
        <v>-5.7617961224285662E-6</v>
      </c>
      <c r="T2410">
        <v>318934</v>
      </c>
      <c r="U2410" s="26"/>
      <c r="V2410" s="2"/>
      <c r="W2410">
        <v>6344</v>
      </c>
      <c r="X2410" s="2">
        <v>6579000000</v>
      </c>
      <c r="Y2410" s="6">
        <v>80910.533810000037</v>
      </c>
      <c r="Z2410" s="38">
        <v>10010</v>
      </c>
      <c r="AA2410" s="4">
        <f>+((DETALLE_GD_1[[#This Row],[VALOR X UN (GD)]]-DETALLE_GD_1[[#This Row],[VALOR PPTO]])/DETALLE_GD_1[[#This Row],[VALOR PPTO]])</f>
        <v>5.7594478366167532E-6</v>
      </c>
      <c r="AB2410" s="2">
        <f>+DETALLE_GD_1[[#This Row],[VALOR PPTO]]*DETALLE_GD_1[[#This Row],[CANTIDAD RECIBIDA]]</f>
        <v>80910.534</v>
      </c>
      <c r="AC2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0" s="3">
        <f>+DETALLE_GD_1[[#This Row],[CANTIDAD SOLICITADA]]-DETALLE_GD_1[[#This Row],[DEVOLUCIÓN]]</f>
        <v>5</v>
      </c>
      <c r="AE2410" s="38" t="str">
        <f>+_xlfn.XLOOKUP(DETALLE_GD_1[[#This Row],[CODIGO]],PRODUCTOS[CODIGO],PRODUCTOS[DESC CORTA],"",0)</f>
        <v>GRAPA T40</v>
      </c>
    </row>
    <row r="2411" spans="1:31" x14ac:dyDescent="0.25">
      <c r="A2411" s="1">
        <v>46192</v>
      </c>
      <c r="B2411" s="1">
        <v>46192</v>
      </c>
      <c r="C2411" t="s">
        <v>169</v>
      </c>
      <c r="D2411" s="38">
        <v>6</v>
      </c>
      <c r="E2411" t="s">
        <v>169</v>
      </c>
      <c r="F2411">
        <v>701084</v>
      </c>
      <c r="G2411" t="s">
        <v>38</v>
      </c>
      <c r="H2411" t="s">
        <v>18</v>
      </c>
      <c r="I2411" s="3">
        <v>20</v>
      </c>
      <c r="J2411" s="3"/>
      <c r="K2411" s="26">
        <v>20</v>
      </c>
      <c r="L2411" s="2">
        <v>40365.599999999999</v>
      </c>
      <c r="M2411" s="2">
        <v>807312</v>
      </c>
      <c r="N2411" s="2">
        <v>807312</v>
      </c>
      <c r="O2411" s="2">
        <v>38182.916700000002</v>
      </c>
      <c r="P2411" s="2">
        <v>-2182.6833000000001</v>
      </c>
      <c r="Q2411" s="2">
        <v>-43653.666700000002</v>
      </c>
      <c r="R2411" s="4">
        <v>-5.7163871268283935E-2</v>
      </c>
      <c r="T2411">
        <v>318934</v>
      </c>
      <c r="U2411" s="26"/>
      <c r="V2411" s="2"/>
      <c r="W2411">
        <v>6344</v>
      </c>
      <c r="X2411" s="2">
        <v>6579000000</v>
      </c>
      <c r="Y2411" s="6">
        <v>763658.3333399999</v>
      </c>
      <c r="Z2411" s="38">
        <v>10010</v>
      </c>
      <c r="AA2411" s="4">
        <f>+((DETALLE_GD_1[[#This Row],[VALOR X UN (GD)]]-DETALLE_GD_1[[#This Row],[VALOR PPTO]])/DETALLE_GD_1[[#This Row],[VALOR PPTO]])</f>
        <v>5.7163870354618479E-2</v>
      </c>
      <c r="AB2411" s="2">
        <f>+DETALLE_GD_1[[#This Row],[VALOR PPTO]]*DETALLE_GD_1[[#This Row],[CANTIDAD RECIBIDA]]</f>
        <v>763658.33400000003</v>
      </c>
      <c r="AC2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1" s="3">
        <f>+DETALLE_GD_1[[#This Row],[CANTIDAD SOLICITADA]]-DETALLE_GD_1[[#This Row],[DEVOLUCIÓN]]</f>
        <v>20</v>
      </c>
      <c r="AE2411" s="38" t="str">
        <f>+_xlfn.XLOOKUP(DETALLE_GD_1[[#This Row],[CODIGO]],PRODUCTOS[CODIGO],PRODUCTOS[DESC CORTA],"",0)</f>
        <v>FIBROCEMENTO BALCON</v>
      </c>
    </row>
    <row r="2412" spans="1:31" x14ac:dyDescent="0.25">
      <c r="A2412" s="1">
        <v>46192</v>
      </c>
      <c r="B2412" s="1">
        <v>46192</v>
      </c>
      <c r="C2412" t="s">
        <v>169</v>
      </c>
      <c r="D2412" s="38">
        <v>6</v>
      </c>
      <c r="E2412" t="s">
        <v>169</v>
      </c>
      <c r="F2412">
        <v>412313</v>
      </c>
      <c r="G2412" t="s">
        <v>253</v>
      </c>
      <c r="H2412" t="s">
        <v>36</v>
      </c>
      <c r="I2412" s="3">
        <v>12</v>
      </c>
      <c r="J2412" s="3"/>
      <c r="K2412" s="26">
        <v>12</v>
      </c>
      <c r="L2412" s="2">
        <v>23724.083299999998</v>
      </c>
      <c r="M2412" s="2">
        <v>284689</v>
      </c>
      <c r="N2412" s="2">
        <v>284689</v>
      </c>
      <c r="O2412" s="2">
        <v>23724.0674</v>
      </c>
      <c r="P2412" s="2">
        <v>-1.5900000000000001E-2</v>
      </c>
      <c r="Q2412" s="2">
        <v>-0.19139999999999999</v>
      </c>
      <c r="R2412" s="4">
        <v>-6.7224279356656648E-7</v>
      </c>
      <c r="T2412">
        <v>318934</v>
      </c>
      <c r="U2412" s="26"/>
      <c r="V2412" s="2"/>
      <c r="W2412">
        <v>6344</v>
      </c>
      <c r="X2412" s="2">
        <v>6579000000</v>
      </c>
      <c r="Y2412" s="6">
        <v>284688.80861999997</v>
      </c>
      <c r="Z2412" s="38">
        <v>10010</v>
      </c>
      <c r="AA2412" s="4">
        <f>+((DETALLE_GD_1[[#This Row],[VALOR X UN (GD)]]-DETALLE_GD_1[[#This Row],[VALOR PPTO]])/DETALLE_GD_1[[#This Row],[VALOR PPTO]])</f>
        <v>6.7020548080679807E-7</v>
      </c>
      <c r="AB2412" s="2">
        <f>+DETALLE_GD_1[[#This Row],[VALOR PPTO]]*DETALLE_GD_1[[#This Row],[CANTIDAD RECIBIDA]]</f>
        <v>284688.8088</v>
      </c>
      <c r="AC2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2" s="3">
        <f>+DETALLE_GD_1[[#This Row],[CANTIDAD SOLICITADA]]-DETALLE_GD_1[[#This Row],[DEVOLUCIÓN]]</f>
        <v>12</v>
      </c>
      <c r="AE2412" s="38">
        <f>+_xlfn.XLOOKUP(DETALLE_GD_1[[#This Row],[CODIGO]],PRODUCTOS[CODIGO],PRODUCTOS[DESC CORTA],"",0)</f>
        <v>0</v>
      </c>
    </row>
    <row r="2413" spans="1:31" x14ac:dyDescent="0.25">
      <c r="A2413" s="1">
        <v>46192</v>
      </c>
      <c r="B2413" s="1">
        <v>46192</v>
      </c>
      <c r="C2413" t="s">
        <v>169</v>
      </c>
      <c r="D2413" s="38">
        <v>6</v>
      </c>
      <c r="E2413" t="s">
        <v>169</v>
      </c>
      <c r="F2413">
        <v>407011</v>
      </c>
      <c r="G2413" t="s">
        <v>30</v>
      </c>
      <c r="H2413" t="s">
        <v>31</v>
      </c>
      <c r="I2413" s="3">
        <v>4000</v>
      </c>
      <c r="J2413" s="3"/>
      <c r="K2413" s="26">
        <v>4000</v>
      </c>
      <c r="L2413" s="2">
        <v>444.97919999999999</v>
      </c>
      <c r="M2413" s="2">
        <v>1779917</v>
      </c>
      <c r="N2413" s="2">
        <v>1779917</v>
      </c>
      <c r="O2413" s="2">
        <v>473.17520000000002</v>
      </c>
      <c r="P2413" s="2">
        <v>28.196000000000002</v>
      </c>
      <c r="Q2413" s="2">
        <v>112783.96</v>
      </c>
      <c r="R2413" s="4">
        <v>5.9588895648893088E-2</v>
      </c>
      <c r="T2413">
        <v>318934</v>
      </c>
      <c r="U2413" s="26"/>
      <c r="V2413" s="2"/>
      <c r="W2413">
        <v>6344</v>
      </c>
      <c r="X2413" s="2">
        <v>6579000000</v>
      </c>
      <c r="Y2413" s="6">
        <v>1892700.9599999995</v>
      </c>
      <c r="Z2413" s="38">
        <v>10010</v>
      </c>
      <c r="AA2413" s="4">
        <f>+((DETALLE_GD_1[[#This Row],[VALOR X UN (GD)]]-DETALLE_GD_1[[#This Row],[VALOR PPTO]])/DETALLE_GD_1[[#This Row],[VALOR PPTO]])</f>
        <v>-5.9588921820078536E-2</v>
      </c>
      <c r="AB2413" s="2">
        <f>+DETALLE_GD_1[[#This Row],[VALOR PPTO]]*DETALLE_GD_1[[#This Row],[CANTIDAD RECIBIDA]]</f>
        <v>1892700.8</v>
      </c>
      <c r="AC2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3" s="3">
        <f>+DETALLE_GD_1[[#This Row],[CANTIDAD SOLICITADA]]-DETALLE_GD_1[[#This Row],[DEVOLUCIÓN]]</f>
        <v>4000</v>
      </c>
      <c r="AE2413" s="38" t="str">
        <f>+_xlfn.XLOOKUP(DETALLE_GD_1[[#This Row],[CODIGO]],PRODUCTOS[CODIGO],PRODUCTOS[DESC CORTA],"",0)</f>
        <v>TORNILLO SIMPSON 6"</v>
      </c>
    </row>
    <row r="2414" spans="1:31" x14ac:dyDescent="0.25">
      <c r="A2414" s="1">
        <v>46192</v>
      </c>
      <c r="B2414" s="1">
        <v>46192</v>
      </c>
      <c r="C2414" t="s">
        <v>169</v>
      </c>
      <c r="D2414" s="38">
        <v>6</v>
      </c>
      <c r="E2414" t="s">
        <v>169</v>
      </c>
      <c r="F2414">
        <v>412280</v>
      </c>
      <c r="G2414" t="s">
        <v>40</v>
      </c>
      <c r="H2414" t="s">
        <v>31</v>
      </c>
      <c r="I2414" s="3">
        <v>96</v>
      </c>
      <c r="J2414" s="3"/>
      <c r="K2414" s="26">
        <v>96</v>
      </c>
      <c r="L2414" s="2">
        <v>38154.5625</v>
      </c>
      <c r="M2414" s="2">
        <v>3662838</v>
      </c>
      <c r="N2414" s="2">
        <v>3662838</v>
      </c>
      <c r="O2414" s="2">
        <v>40002.920100000003</v>
      </c>
      <c r="P2414" s="2">
        <v>1848.3576</v>
      </c>
      <c r="Q2414" s="2">
        <v>177442.32889999999</v>
      </c>
      <c r="R2414" s="4">
        <v>4.6205566711202163E-2</v>
      </c>
      <c r="T2414">
        <v>318934</v>
      </c>
      <c r="U2414" s="26"/>
      <c r="V2414" s="2"/>
      <c r="W2414">
        <v>6344</v>
      </c>
      <c r="X2414" s="2">
        <v>6579000000</v>
      </c>
      <c r="Y2414" s="6">
        <v>3840280.3289279998</v>
      </c>
      <c r="Z2414" s="38">
        <v>10010</v>
      </c>
      <c r="AA2414" s="4">
        <f>+((DETALLE_GD_1[[#This Row],[VALOR X UN (GD)]]-DETALLE_GD_1[[#This Row],[VALOR PPTO]])/DETALLE_GD_1[[#This Row],[VALOR PPTO]])</f>
        <v>-4.6205566878104051E-2</v>
      </c>
      <c r="AB2414" s="2">
        <f>+DETALLE_GD_1[[#This Row],[VALOR PPTO]]*DETALLE_GD_1[[#This Row],[CANTIDAD RECIBIDA]]</f>
        <v>3840280.3296000003</v>
      </c>
      <c r="AC24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4" s="3">
        <f>+DETALLE_GD_1[[#This Row],[CANTIDAD SOLICITADA]]-DETALLE_GD_1[[#This Row],[DEVOLUCIÓN]]</f>
        <v>96</v>
      </c>
      <c r="AE2414" s="38" t="str">
        <f>+_xlfn.XLOOKUP(DETALLE_GD_1[[#This Row],[CODIGO]],PRODUCTOS[CODIGO],PRODUCTOS[DESC CORTA],"",0)</f>
        <v>PB2</v>
      </c>
    </row>
    <row r="2415" spans="1:31" x14ac:dyDescent="0.25">
      <c r="A2415" s="1">
        <v>46192</v>
      </c>
      <c r="B2415" s="1">
        <v>46192</v>
      </c>
      <c r="C2415" t="s">
        <v>169</v>
      </c>
      <c r="D2415" s="38">
        <v>6</v>
      </c>
      <c r="E2415" t="s">
        <v>169</v>
      </c>
      <c r="F2415">
        <v>1901038</v>
      </c>
      <c r="G2415" t="s">
        <v>39</v>
      </c>
      <c r="H2415" t="s">
        <v>26</v>
      </c>
      <c r="I2415" s="3">
        <v>108</v>
      </c>
      <c r="J2415" s="3"/>
      <c r="K2415" s="26">
        <v>108</v>
      </c>
      <c r="L2415" s="2">
        <v>4857.0740999999998</v>
      </c>
      <c r="M2415" s="2">
        <v>524564</v>
      </c>
      <c r="N2415" s="2">
        <v>524564</v>
      </c>
      <c r="O2415" s="2">
        <v>4197.4179000000004</v>
      </c>
      <c r="P2415" s="2">
        <v>-659.65620000000001</v>
      </c>
      <c r="Q2415" s="2">
        <v>-71242.869500000001</v>
      </c>
      <c r="R2415" s="4">
        <v>-0.15715761897403954</v>
      </c>
      <c r="T2415">
        <v>318934</v>
      </c>
      <c r="U2415" s="26"/>
      <c r="V2415" s="2"/>
      <c r="W2415">
        <v>6344</v>
      </c>
      <c r="X2415" s="2">
        <v>6579000000</v>
      </c>
      <c r="Y2415" s="6">
        <v>453321.13050000009</v>
      </c>
      <c r="Z2415" s="38">
        <v>10010</v>
      </c>
      <c r="AA2415" s="4">
        <f>+((DETALLE_GD_1[[#This Row],[VALOR X UN (GD)]]-DETALLE_GD_1[[#This Row],[VALOR PPTO]])/DETALLE_GD_1[[#This Row],[VALOR PPTO]])</f>
        <v>0.15715761825859639</v>
      </c>
      <c r="AB2415" s="2">
        <f>+DETALLE_GD_1[[#This Row],[VALOR PPTO]]*DETALLE_GD_1[[#This Row],[CANTIDAD RECIBIDA]]</f>
        <v>453321.13320000004</v>
      </c>
      <c r="AC24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5" s="3">
        <f>+DETALLE_GD_1[[#This Row],[CANTIDAD SOLICITADA]]-DETALLE_GD_1[[#This Row],[DEVOLUCIÓN]]</f>
        <v>108</v>
      </c>
      <c r="AE2415" s="38" t="str">
        <f>+_xlfn.XLOOKUP(DETALLE_GD_1[[#This Row],[CODIGO]],PRODUCTOS[CODIGO],PRODUCTOS[DESC CORTA],"",0)</f>
        <v>AISLAN ROCA 90MM</v>
      </c>
    </row>
    <row r="2416" spans="1:31" x14ac:dyDescent="0.25">
      <c r="A2416" s="1">
        <v>46192</v>
      </c>
      <c r="B2416" s="1">
        <v>46192</v>
      </c>
      <c r="C2416" t="s">
        <v>169</v>
      </c>
      <c r="D2416" s="38">
        <v>6</v>
      </c>
      <c r="E2416" t="s">
        <v>169</v>
      </c>
      <c r="F2416">
        <v>1901086</v>
      </c>
      <c r="G2416" t="s">
        <v>279</v>
      </c>
      <c r="H2416" t="s">
        <v>26</v>
      </c>
      <c r="I2416" s="3">
        <v>162</v>
      </c>
      <c r="J2416" s="3"/>
      <c r="K2416" s="26">
        <v>162</v>
      </c>
      <c r="L2416" s="2">
        <v>3672.9630000000002</v>
      </c>
      <c r="M2416" s="2">
        <v>595020</v>
      </c>
      <c r="N2416" s="2">
        <v>595020</v>
      </c>
      <c r="O2416" s="2">
        <v>3711.587</v>
      </c>
      <c r="P2416" s="2">
        <v>38.624099999999999</v>
      </c>
      <c r="Q2416" s="2">
        <v>6257.1005999999998</v>
      </c>
      <c r="R2416" s="4">
        <v>1.0406351140462768E-2</v>
      </c>
      <c r="T2416">
        <v>318934</v>
      </c>
      <c r="U2416" s="26"/>
      <c r="V2416" s="2"/>
      <c r="W2416">
        <v>6344</v>
      </c>
      <c r="X2416" s="2">
        <v>6579000000</v>
      </c>
      <c r="Y2416" s="6">
        <v>601277.10064200009</v>
      </c>
      <c r="Z2416" s="38">
        <v>10010</v>
      </c>
      <c r="AA2416" s="4">
        <f>+((DETALLE_GD_1[[#This Row],[VALOR X UN (GD)]]-DETALLE_GD_1[[#This Row],[VALOR PPTO]])/DETALLE_GD_1[[#This Row],[VALOR PPTO]])</f>
        <v>-1.0406330230168334E-2</v>
      </c>
      <c r="AB2416" s="2">
        <f>+DETALLE_GD_1[[#This Row],[VALOR PPTO]]*DETALLE_GD_1[[#This Row],[CANTIDAD RECIBIDA]]</f>
        <v>601277.09400000004</v>
      </c>
      <c r="AC2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6" s="3">
        <f>+DETALLE_GD_1[[#This Row],[CANTIDAD SOLICITADA]]-DETALLE_GD_1[[#This Row],[DEVOLUCIÓN]]</f>
        <v>162</v>
      </c>
      <c r="AE2416" s="38" t="str">
        <f>+_xlfn.XLOOKUP(DETALLE_GD_1[[#This Row],[CODIGO]],PRODUCTOS[CODIGO],PRODUCTOS[DESC CORTA],"",0)</f>
        <v>AISLAN GLASS 140MM</v>
      </c>
    </row>
    <row r="2417" spans="1:31" x14ac:dyDescent="0.25">
      <c r="A2417" s="1">
        <v>46192</v>
      </c>
      <c r="B2417" s="1">
        <v>46192</v>
      </c>
      <c r="C2417" t="s">
        <v>169</v>
      </c>
      <c r="D2417" s="38">
        <v>6</v>
      </c>
      <c r="E2417" t="s">
        <v>169</v>
      </c>
      <c r="F2417">
        <v>1901008</v>
      </c>
      <c r="G2417" t="s">
        <v>278</v>
      </c>
      <c r="H2417" t="s">
        <v>26</v>
      </c>
      <c r="I2417" s="3">
        <v>270</v>
      </c>
      <c r="J2417" s="3"/>
      <c r="K2417" s="26">
        <v>270</v>
      </c>
      <c r="L2417" s="2">
        <v>2046.663</v>
      </c>
      <c r="M2417" s="2">
        <v>552599</v>
      </c>
      <c r="N2417" s="2">
        <v>552599</v>
      </c>
      <c r="O2417" s="2">
        <v>2112.7957999999999</v>
      </c>
      <c r="P2417" s="2">
        <v>66.132800000000003</v>
      </c>
      <c r="Q2417" s="2">
        <v>17855.8603</v>
      </c>
      <c r="R2417" s="4">
        <v>3.1301092464477688E-2</v>
      </c>
      <c r="T2417">
        <v>318934</v>
      </c>
      <c r="U2417" s="26"/>
      <c r="V2417" s="2"/>
      <c r="W2417">
        <v>6344</v>
      </c>
      <c r="X2417" s="2">
        <v>6579000000</v>
      </c>
      <c r="Y2417" s="6">
        <v>570454.86033000005</v>
      </c>
      <c r="Z2417" s="38">
        <v>10010</v>
      </c>
      <c r="AA2417" s="4">
        <f>+((DETALLE_GD_1[[#This Row],[VALOR X UN (GD)]]-DETALLE_GD_1[[#This Row],[VALOR PPTO]])/DETALLE_GD_1[[#This Row],[VALOR PPTO]])</f>
        <v>-3.1301084562928357E-2</v>
      </c>
      <c r="AB2417" s="2">
        <f>+DETALLE_GD_1[[#This Row],[VALOR PPTO]]*DETALLE_GD_1[[#This Row],[CANTIDAD RECIBIDA]]</f>
        <v>570454.86599999992</v>
      </c>
      <c r="AC24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7" s="3">
        <f>+DETALLE_GD_1[[#This Row],[CANTIDAD SOLICITADA]]-DETALLE_GD_1[[#This Row],[DEVOLUCIÓN]]</f>
        <v>270</v>
      </c>
      <c r="AE2417" s="38" t="str">
        <f>+_xlfn.XLOOKUP(DETALLE_GD_1[[#This Row],[CODIGO]],PRODUCTOS[CODIGO],PRODUCTOS[DESC CORTA],"",0)</f>
        <v>AISLAN GLASS 90MM</v>
      </c>
    </row>
    <row r="2418" spans="1:31" x14ac:dyDescent="0.25">
      <c r="A2418" s="1">
        <v>46191</v>
      </c>
      <c r="B2418" s="1">
        <v>46191</v>
      </c>
      <c r="C2418" t="s">
        <v>169</v>
      </c>
      <c r="D2418" s="38">
        <v>6</v>
      </c>
      <c r="E2418" t="s">
        <v>169</v>
      </c>
      <c r="F2418">
        <v>1103107</v>
      </c>
      <c r="G2418" t="s">
        <v>556</v>
      </c>
      <c r="H2418" t="s">
        <v>140</v>
      </c>
      <c r="I2418" s="3">
        <v>90</v>
      </c>
      <c r="J2418" s="3">
        <v>90</v>
      </c>
      <c r="K2418" s="26">
        <v>0</v>
      </c>
      <c r="L2418" s="2">
        <v>1200</v>
      </c>
      <c r="M2418" s="2">
        <v>108000</v>
      </c>
      <c r="N2418" s="2">
        <v>0</v>
      </c>
      <c r="O2418" s="2">
        <v>5092</v>
      </c>
      <c r="P2418" s="2">
        <v>3892</v>
      </c>
      <c r="Q2418" s="2">
        <v>0</v>
      </c>
      <c r="R2418" s="4">
        <v>0.76433621366849946</v>
      </c>
      <c r="T2418">
        <v>318832</v>
      </c>
      <c r="U2418" s="26" t="s">
        <v>2008</v>
      </c>
      <c r="V2418" s="2">
        <v>519679</v>
      </c>
      <c r="W2418">
        <v>6344</v>
      </c>
      <c r="X2418" s="2">
        <v>6579000000</v>
      </c>
      <c r="Y2418" s="6">
        <v>0</v>
      </c>
      <c r="Z2418" s="38">
        <v>10010</v>
      </c>
      <c r="AA2418" s="4">
        <f>+((DETALLE_GD_1[[#This Row],[VALOR X UN (GD)]]-DETALLE_GD_1[[#This Row],[VALOR PPTO]])/DETALLE_GD_1[[#This Row],[VALOR PPTO]])</f>
        <v>-0.76433621366849958</v>
      </c>
      <c r="AB2418" s="2">
        <f>+DETALLE_GD_1[[#This Row],[VALOR PPTO]]*DETALLE_GD_1[[#This Row],[CANTIDAD RECIBIDA]]</f>
        <v>0</v>
      </c>
      <c r="AC2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8" s="3">
        <f>+DETALLE_GD_1[[#This Row],[CANTIDAD SOLICITADA]]-DETALLE_GD_1[[#This Row],[DEVOLUCIÓN]]</f>
        <v>0</v>
      </c>
      <c r="AE2418" s="38" t="str">
        <f>+_xlfn.XLOOKUP(DETALLE_GD_1[[#This Row],[CODIGO]],PRODUCTOS[CODIGO],PRODUCTOS[DESC CORTA],"",0)</f>
        <v/>
      </c>
    </row>
    <row r="2419" spans="1:31" x14ac:dyDescent="0.25">
      <c r="A2419" s="1">
        <v>46191</v>
      </c>
      <c r="B2419" s="1">
        <v>46191</v>
      </c>
      <c r="C2419" t="s">
        <v>169</v>
      </c>
      <c r="D2419" s="38">
        <v>6</v>
      </c>
      <c r="E2419" t="s">
        <v>169</v>
      </c>
      <c r="F2419" t="s">
        <v>345</v>
      </c>
      <c r="G2419" t="s">
        <v>167</v>
      </c>
      <c r="H2419" t="s">
        <v>26</v>
      </c>
      <c r="I2419" s="3">
        <v>40</v>
      </c>
      <c r="J2419" s="3"/>
      <c r="K2419" s="26">
        <v>40</v>
      </c>
      <c r="L2419" s="2">
        <v>12991.975</v>
      </c>
      <c r="M2419" s="2">
        <v>519679</v>
      </c>
      <c r="N2419" s="2">
        <v>519679</v>
      </c>
      <c r="O2419" s="2">
        <v>11882.3879</v>
      </c>
      <c r="P2419" s="2">
        <v>-1109.5871</v>
      </c>
      <c r="Q2419" s="2">
        <v>-44383.4833</v>
      </c>
      <c r="R2419" s="4">
        <v>-9.3380816276207118E-2</v>
      </c>
      <c r="T2419">
        <v>318832</v>
      </c>
      <c r="U2419" s="26"/>
      <c r="V2419" s="2"/>
      <c r="W2419">
        <v>6344</v>
      </c>
      <c r="X2419" s="2">
        <v>6579000000</v>
      </c>
      <c r="Y2419" s="6">
        <v>475295.51668</v>
      </c>
      <c r="Z2419" s="38">
        <v>10010</v>
      </c>
      <c r="AA2419" s="4">
        <f>+((DETALLE_GD_1[[#This Row],[VALOR X UN (GD)]]-DETALLE_GD_1[[#This Row],[VALOR PPTO]])/DETALLE_GD_1[[#This Row],[VALOR PPTO]])</f>
        <v>9.3380817840494901E-2</v>
      </c>
      <c r="AB2419" s="2">
        <f>+DETALLE_GD_1[[#This Row],[VALOR PPTO]]*DETALLE_GD_1[[#This Row],[CANTIDAD RECIBIDA]]</f>
        <v>475295.516</v>
      </c>
      <c r="AC24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9" s="3">
        <f>+DETALLE_GD_1[[#This Row],[CANTIDAD SOLICITADA]]-DETALLE_GD_1[[#This Row],[DEVOLUCIÓN]]</f>
        <v>40</v>
      </c>
      <c r="AE2419" s="38" t="str">
        <f>+_xlfn.XLOOKUP(DETALLE_GD_1[[#This Row],[CODIGO]],PRODUCTOS[CODIGO],PRODUCTOS[DESC CORTA],"",0)</f>
        <v>PISO TARKET</v>
      </c>
    </row>
    <row r="2420" spans="1:31" x14ac:dyDescent="0.25">
      <c r="A2420" s="1">
        <v>46192</v>
      </c>
      <c r="B2420" s="1">
        <v>46192</v>
      </c>
      <c r="C2420" t="s">
        <v>169</v>
      </c>
      <c r="D2420" s="38">
        <v>6</v>
      </c>
      <c r="E2420" t="s">
        <v>169</v>
      </c>
      <c r="F2420">
        <v>1103105</v>
      </c>
      <c r="G2420" t="s">
        <v>555</v>
      </c>
      <c r="H2420" t="s">
        <v>140</v>
      </c>
      <c r="I2420" s="3">
        <v>90</v>
      </c>
      <c r="J2420" s="3"/>
      <c r="K2420" s="26">
        <v>90</v>
      </c>
      <c r="L2420" s="2">
        <v>1200</v>
      </c>
      <c r="M2420" s="2">
        <v>108000</v>
      </c>
      <c r="N2420" s="2">
        <v>108000</v>
      </c>
      <c r="O2420" s="2">
        <v>5092</v>
      </c>
      <c r="P2420" s="2">
        <v>3892</v>
      </c>
      <c r="Q2420" s="2">
        <v>350280</v>
      </c>
      <c r="R2420" s="4">
        <v>0.76433621366849946</v>
      </c>
      <c r="T2420">
        <v>318907</v>
      </c>
      <c r="U2420" s="26" t="s">
        <v>2016</v>
      </c>
      <c r="V2420" s="2">
        <v>280800</v>
      </c>
      <c r="W2420">
        <v>6344</v>
      </c>
      <c r="X2420" s="2">
        <v>6579000000</v>
      </c>
      <c r="Y2420" s="6">
        <v>458280</v>
      </c>
      <c r="Z2420" s="38">
        <v>10010</v>
      </c>
      <c r="AA2420" s="4">
        <f>+((DETALLE_GD_1[[#This Row],[VALOR X UN (GD)]]-DETALLE_GD_1[[#This Row],[VALOR PPTO]])/DETALLE_GD_1[[#This Row],[VALOR PPTO]])</f>
        <v>-0.76433621366849958</v>
      </c>
      <c r="AB2420" s="2">
        <f>+DETALLE_GD_1[[#This Row],[VALOR PPTO]]*DETALLE_GD_1[[#This Row],[CANTIDAD RECIBIDA]]</f>
        <v>458280</v>
      </c>
      <c r="AC2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0" s="3">
        <f>+DETALLE_GD_1[[#This Row],[CANTIDAD SOLICITADA]]-DETALLE_GD_1[[#This Row],[DEVOLUCIÓN]]</f>
        <v>90</v>
      </c>
      <c r="AE2420" s="38" t="str">
        <f>+_xlfn.XLOOKUP(DETALLE_GD_1[[#This Row],[CODIGO]],PRODUCTOS[CODIGO],PRODUCTOS[DESC CORTA],"",0)</f>
        <v/>
      </c>
    </row>
    <row r="2421" spans="1:31" x14ac:dyDescent="0.25">
      <c r="A2421" s="1">
        <v>46192</v>
      </c>
      <c r="B2421" s="1">
        <v>46192</v>
      </c>
      <c r="C2421" t="s">
        <v>169</v>
      </c>
      <c r="D2421" s="38">
        <v>6</v>
      </c>
      <c r="E2421" t="s">
        <v>169</v>
      </c>
      <c r="F2421">
        <v>1103107</v>
      </c>
      <c r="G2421" t="s">
        <v>556</v>
      </c>
      <c r="H2421" t="s">
        <v>140</v>
      </c>
      <c r="I2421" s="3">
        <v>144</v>
      </c>
      <c r="J2421" s="3"/>
      <c r="K2421" s="26">
        <v>144</v>
      </c>
      <c r="L2421" s="2">
        <v>1200</v>
      </c>
      <c r="M2421" s="2">
        <v>172800</v>
      </c>
      <c r="N2421" s="2">
        <v>172800</v>
      </c>
      <c r="O2421" s="2">
        <v>5092</v>
      </c>
      <c r="P2421" s="2">
        <v>3892</v>
      </c>
      <c r="Q2421" s="2">
        <v>560448</v>
      </c>
      <c r="R2421" s="4">
        <v>0.76433621366849946</v>
      </c>
      <c r="T2421">
        <v>318907</v>
      </c>
      <c r="U2421" s="26"/>
      <c r="V2421" s="2"/>
      <c r="W2421">
        <v>6344</v>
      </c>
      <c r="X2421" s="2">
        <v>6579000000</v>
      </c>
      <c r="Y2421" s="6">
        <v>733248</v>
      </c>
      <c r="Z2421" s="38">
        <v>10010</v>
      </c>
      <c r="AA2421" s="4">
        <f>+((DETALLE_GD_1[[#This Row],[VALOR X UN (GD)]]-DETALLE_GD_1[[#This Row],[VALOR PPTO]])/DETALLE_GD_1[[#This Row],[VALOR PPTO]])</f>
        <v>-0.76433621366849958</v>
      </c>
      <c r="AB2421" s="2">
        <f>+DETALLE_GD_1[[#This Row],[VALOR PPTO]]*DETALLE_GD_1[[#This Row],[CANTIDAD RECIBIDA]]</f>
        <v>733248</v>
      </c>
      <c r="AC2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1" s="3">
        <f>+DETALLE_GD_1[[#This Row],[CANTIDAD SOLICITADA]]-DETALLE_GD_1[[#This Row],[DEVOLUCIÓN]]</f>
        <v>144</v>
      </c>
      <c r="AE2421" s="38" t="str">
        <f>+_xlfn.XLOOKUP(DETALLE_GD_1[[#This Row],[CODIGO]],PRODUCTOS[CODIGO],PRODUCTOS[DESC CORTA],"",0)</f>
        <v/>
      </c>
    </row>
    <row r="2422" spans="1:31" x14ac:dyDescent="0.25">
      <c r="A2422" s="1">
        <v>46195</v>
      </c>
      <c r="B2422" s="1">
        <v>46195</v>
      </c>
      <c r="C2422" t="s">
        <v>169</v>
      </c>
      <c r="D2422" s="38">
        <v>6</v>
      </c>
      <c r="E2422" t="s">
        <v>169</v>
      </c>
      <c r="F2422">
        <v>304002</v>
      </c>
      <c r="G2422" t="s">
        <v>37</v>
      </c>
      <c r="H2422" t="s">
        <v>18</v>
      </c>
      <c r="I2422" s="3">
        <v>360</v>
      </c>
      <c r="J2422" s="3"/>
      <c r="K2422" s="26">
        <v>360</v>
      </c>
      <c r="L2422" s="2">
        <v>21648.838899999999</v>
      </c>
      <c r="M2422" s="2">
        <v>7793582</v>
      </c>
      <c r="N2422" s="2">
        <v>7793582</v>
      </c>
      <c r="O2422" s="2">
        <v>21246.5072</v>
      </c>
      <c r="P2422" s="2">
        <v>-402.33170000000001</v>
      </c>
      <c r="Q2422" s="2">
        <v>-144839.42490000001</v>
      </c>
      <c r="R2422" s="4">
        <v>-1.8936370716919278E-2</v>
      </c>
      <c r="T2422">
        <v>318997</v>
      </c>
      <c r="U2422" s="26" t="s">
        <v>2020</v>
      </c>
      <c r="V2422" s="2">
        <v>7793582</v>
      </c>
      <c r="X2422" s="2">
        <v>6579000000</v>
      </c>
      <c r="Y2422" s="6">
        <v>7648742.5750799999</v>
      </c>
      <c r="Z2422" s="38">
        <v>10010</v>
      </c>
      <c r="AA2422" s="4">
        <f>+((DETALLE_GD_1[[#This Row],[VALOR X UN (GD)]]-DETALLE_GD_1[[#This Row],[VALOR PPTO]])/DETALLE_GD_1[[#This Row],[VALOR PPTO]])</f>
        <v>1.8936368985863185E-2</v>
      </c>
      <c r="AB2422" s="2">
        <f>+DETALLE_GD_1[[#This Row],[VALOR PPTO]]*DETALLE_GD_1[[#This Row],[CANTIDAD RECIBIDA]]</f>
        <v>7648742.5920000002</v>
      </c>
      <c r="AC24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2" s="3">
        <f>+DETALLE_GD_1[[#This Row],[CANTIDAD SOLICITADA]]-DETALLE_GD_1[[#This Row],[DEVOLUCIÓN]]</f>
        <v>360</v>
      </c>
      <c r="AE2422" s="38" t="str">
        <f>+_xlfn.XLOOKUP(DETALLE_GD_1[[#This Row],[CODIGO]],PRODUCTOS[CODIGO],PRODUCTOS[DESC CORTA],"",0)</f>
        <v>SMARTPANEL</v>
      </c>
    </row>
    <row r="2423" spans="1:31" x14ac:dyDescent="0.25">
      <c r="A2423" s="1">
        <v>46195</v>
      </c>
      <c r="B2423" s="1">
        <v>46195</v>
      </c>
      <c r="C2423" t="s">
        <v>169</v>
      </c>
      <c r="D2423" s="38">
        <v>6</v>
      </c>
      <c r="E2423" t="s">
        <v>169</v>
      </c>
      <c r="F2423">
        <v>1808146</v>
      </c>
      <c r="G2423" t="s">
        <v>274</v>
      </c>
      <c r="H2423" t="s">
        <v>31</v>
      </c>
      <c r="I2423" s="3">
        <v>5</v>
      </c>
      <c r="J2423" s="3"/>
      <c r="K2423" s="26">
        <v>5</v>
      </c>
      <c r="L2423" s="2">
        <v>3311.6</v>
      </c>
      <c r="M2423" s="2">
        <v>16558</v>
      </c>
      <c r="N2423" s="2">
        <v>16558</v>
      </c>
      <c r="O2423" s="2">
        <v>3404</v>
      </c>
      <c r="P2423" s="2">
        <v>92.4</v>
      </c>
      <c r="Q2423" s="2">
        <v>462</v>
      </c>
      <c r="R2423" s="4">
        <v>2.7144535840188042E-2</v>
      </c>
      <c r="T2423">
        <v>319040</v>
      </c>
      <c r="U2423" s="26" t="s">
        <v>2012</v>
      </c>
      <c r="V2423" s="2">
        <v>16558</v>
      </c>
      <c r="X2423" s="2">
        <v>6579000000</v>
      </c>
      <c r="Y2423" s="6">
        <v>17020</v>
      </c>
      <c r="Z2423" s="38">
        <v>10010</v>
      </c>
      <c r="AA2423" s="4">
        <f>+((DETALLE_GD_1[[#This Row],[VALOR X UN (GD)]]-DETALLE_GD_1[[#This Row],[VALOR PPTO]])/DETALLE_GD_1[[#This Row],[VALOR PPTO]])</f>
        <v>-2.7144535840188042E-2</v>
      </c>
      <c r="AB2423" s="2">
        <f>+DETALLE_GD_1[[#This Row],[VALOR PPTO]]*DETALLE_GD_1[[#This Row],[CANTIDAD RECIBIDA]]</f>
        <v>17020</v>
      </c>
      <c r="AC2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3" s="3">
        <f>+DETALLE_GD_1[[#This Row],[CANTIDAD SOLICITADA]]-DETALLE_GD_1[[#This Row],[DEVOLUCIÓN]]</f>
        <v>5</v>
      </c>
      <c r="AE2423" s="38" t="str">
        <f>+_xlfn.XLOOKUP(DETALLE_GD_1[[#This Row],[CODIGO]],PRODUCTOS[CODIGO],PRODUCTOS[DESC CORTA],"",0)</f>
        <v>NUEVA</v>
      </c>
    </row>
    <row r="2424" spans="1:31" x14ac:dyDescent="0.25">
      <c r="A2424" s="1">
        <v>46195</v>
      </c>
      <c r="B2424" s="1">
        <v>46195</v>
      </c>
      <c r="C2424" t="s">
        <v>169</v>
      </c>
      <c r="D2424" s="38">
        <v>6</v>
      </c>
      <c r="E2424" t="s">
        <v>169</v>
      </c>
      <c r="F2424">
        <v>1902003</v>
      </c>
      <c r="G2424" t="s">
        <v>155</v>
      </c>
      <c r="H2424" t="s">
        <v>47</v>
      </c>
      <c r="I2424" s="3">
        <v>10</v>
      </c>
      <c r="J2424" s="3"/>
      <c r="K2424" s="26">
        <v>10</v>
      </c>
      <c r="L2424" s="2">
        <v>150861.79999999999</v>
      </c>
      <c r="M2424" s="2">
        <v>1508618</v>
      </c>
      <c r="N2424" s="2">
        <v>1508618</v>
      </c>
      <c r="O2424" s="2">
        <v>150703.9755</v>
      </c>
      <c r="P2424" s="2">
        <v>-157.8245</v>
      </c>
      <c r="Q2424" s="2">
        <v>-1578.2454</v>
      </c>
      <c r="R2424" s="4">
        <v>-1.047248684172373E-3</v>
      </c>
      <c r="T2424">
        <v>319058</v>
      </c>
      <c r="U2424" s="26" t="s">
        <v>2008</v>
      </c>
      <c r="V2424" s="2">
        <v>1746897</v>
      </c>
      <c r="X2424" s="2">
        <v>6579000000</v>
      </c>
      <c r="Y2424" s="6">
        <v>1507039.7545999996</v>
      </c>
      <c r="Z2424" s="38">
        <v>10010</v>
      </c>
      <c r="AA2424" s="4">
        <f>+((DETALLE_GD_1[[#This Row],[VALOR X UN (GD)]]-DETALLE_GD_1[[#This Row],[VALOR PPTO]])/DETALLE_GD_1[[#This Row],[VALOR PPTO]])</f>
        <v>1.047248418473127E-3</v>
      </c>
      <c r="AB2424" s="2">
        <f>+DETALLE_GD_1[[#This Row],[VALOR PPTO]]*DETALLE_GD_1[[#This Row],[CANTIDAD RECIBIDA]]</f>
        <v>1507039.7549999999</v>
      </c>
      <c r="AC2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4" s="3">
        <f>+DETALLE_GD_1[[#This Row],[CANTIDAD SOLICITADA]]-DETALLE_GD_1[[#This Row],[DEVOLUCIÓN]]</f>
        <v>10</v>
      </c>
      <c r="AE2424" s="38">
        <f>+_xlfn.XLOOKUP(DETALLE_GD_1[[#This Row],[CODIGO]],PRODUCTOS[CODIGO],PRODUCTOS[DESC CORTA],"",0)</f>
        <v>0</v>
      </c>
    </row>
    <row r="2425" spans="1:31" x14ac:dyDescent="0.25">
      <c r="A2425" s="1">
        <v>46195</v>
      </c>
      <c r="B2425" s="1">
        <v>46195</v>
      </c>
      <c r="C2425" t="s">
        <v>169</v>
      </c>
      <c r="D2425" s="38">
        <v>6</v>
      </c>
      <c r="E2425" t="s">
        <v>169</v>
      </c>
      <c r="F2425">
        <v>307096</v>
      </c>
      <c r="G2425" t="s">
        <v>249</v>
      </c>
      <c r="H2425" t="s">
        <v>137</v>
      </c>
      <c r="I2425" s="3">
        <v>70</v>
      </c>
      <c r="J2425" s="3"/>
      <c r="K2425" s="26">
        <v>70</v>
      </c>
      <c r="L2425" s="2">
        <v>2027.5857000000001</v>
      </c>
      <c r="M2425" s="2">
        <v>141931</v>
      </c>
      <c r="N2425" s="2">
        <v>141931</v>
      </c>
      <c r="O2425" s="2">
        <v>2095.3501000000001</v>
      </c>
      <c r="P2425" s="2">
        <v>67.764399999999995</v>
      </c>
      <c r="Q2425" s="2">
        <v>4743.509</v>
      </c>
      <c r="R2425" s="4">
        <v>3.2340377761412506E-2</v>
      </c>
      <c r="T2425">
        <v>319058</v>
      </c>
      <c r="U2425" s="26"/>
      <c r="V2425" s="2"/>
      <c r="X2425" s="2">
        <v>6579000000</v>
      </c>
      <c r="Y2425" s="6">
        <v>146674.5090299999</v>
      </c>
      <c r="Z2425" s="38">
        <v>10010</v>
      </c>
      <c r="AA2425" s="4">
        <f>+((DETALLE_GD_1[[#This Row],[VALOR X UN (GD)]]-DETALLE_GD_1[[#This Row],[VALOR PPTO]])/DETALLE_GD_1[[#This Row],[VALOR PPTO]])</f>
        <v>-3.234037118665755E-2</v>
      </c>
      <c r="AB2425" s="2">
        <f>+DETALLE_GD_1[[#This Row],[VALOR PPTO]]*DETALLE_GD_1[[#This Row],[CANTIDAD RECIBIDA]]</f>
        <v>146674.50700000001</v>
      </c>
      <c r="AC2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5" s="3">
        <f>+DETALLE_GD_1[[#This Row],[CANTIDAD SOLICITADA]]-DETALLE_GD_1[[#This Row],[DEVOLUCIÓN]]</f>
        <v>70</v>
      </c>
      <c r="AE2425" s="38" t="str">
        <f>+_xlfn.XLOOKUP(DETALLE_GD_1[[#This Row],[CODIGO]],PRODUCTOS[CODIGO],PRODUCTOS[DESC CORTA],"",0)</f>
        <v>CUBREJUNTA</v>
      </c>
    </row>
    <row r="2426" spans="1:31" x14ac:dyDescent="0.25">
      <c r="A2426" s="1">
        <v>46195</v>
      </c>
      <c r="B2426" s="1">
        <v>46195</v>
      </c>
      <c r="C2426" t="s">
        <v>169</v>
      </c>
      <c r="D2426" s="38">
        <v>6</v>
      </c>
      <c r="E2426" t="s">
        <v>169</v>
      </c>
      <c r="F2426">
        <v>307033</v>
      </c>
      <c r="G2426" t="s">
        <v>248</v>
      </c>
      <c r="H2426" t="s">
        <v>31</v>
      </c>
      <c r="I2426" s="3">
        <v>50</v>
      </c>
      <c r="J2426" s="3"/>
      <c r="K2426" s="26">
        <v>50</v>
      </c>
      <c r="L2426" s="2">
        <v>1889.62</v>
      </c>
      <c r="M2426" s="2">
        <v>94481</v>
      </c>
      <c r="N2426" s="2">
        <v>94481</v>
      </c>
      <c r="O2426" s="2">
        <v>1889.0535</v>
      </c>
      <c r="P2426" s="2">
        <v>-0.5665</v>
      </c>
      <c r="Q2426" s="2">
        <v>-28.322800000000001</v>
      </c>
      <c r="R2426" s="4">
        <v>-2.9986233148297494E-4</v>
      </c>
      <c r="T2426">
        <v>319058</v>
      </c>
      <c r="U2426" s="26"/>
      <c r="V2426" s="2"/>
      <c r="X2426" s="2">
        <v>6579000000</v>
      </c>
      <c r="Y2426" s="6">
        <v>94452.677199999991</v>
      </c>
      <c r="Z2426" s="38">
        <v>10010</v>
      </c>
      <c r="AA2426" s="4">
        <f>+((DETALLE_GD_1[[#This Row],[VALOR X UN (GD)]]-DETALLE_GD_1[[#This Row],[VALOR PPTO]])/DETALLE_GD_1[[#This Row],[VALOR PPTO]])</f>
        <v>2.9988563055514597E-4</v>
      </c>
      <c r="AB2426" s="2">
        <f>+DETALLE_GD_1[[#This Row],[VALOR PPTO]]*DETALLE_GD_1[[#This Row],[CANTIDAD RECIBIDA]]</f>
        <v>94452.675000000003</v>
      </c>
      <c r="AC2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6" s="3">
        <f>+DETALLE_GD_1[[#This Row],[CANTIDAD SOLICITADA]]-DETALLE_GD_1[[#This Row],[DEVOLUCIÓN]]</f>
        <v>50</v>
      </c>
      <c r="AE2426" s="38">
        <f>+_xlfn.XLOOKUP(DETALLE_GD_1[[#This Row],[CODIGO]],PRODUCTOS[CODIGO],PRODUCTOS[DESC CORTA],"",0)</f>
        <v>0</v>
      </c>
    </row>
    <row r="2427" spans="1:31" x14ac:dyDescent="0.25">
      <c r="A2427" s="1">
        <v>46195</v>
      </c>
      <c r="B2427" s="1">
        <v>46195</v>
      </c>
      <c r="C2427" t="s">
        <v>169</v>
      </c>
      <c r="D2427" s="38">
        <v>6</v>
      </c>
      <c r="E2427" t="s">
        <v>169</v>
      </c>
      <c r="F2427">
        <v>408034</v>
      </c>
      <c r="G2427" t="s">
        <v>250</v>
      </c>
      <c r="H2427" t="s">
        <v>36</v>
      </c>
      <c r="I2427" s="3">
        <v>1</v>
      </c>
      <c r="J2427" s="3"/>
      <c r="K2427" s="26">
        <v>1</v>
      </c>
      <c r="L2427" s="2">
        <v>1867</v>
      </c>
      <c r="M2427" s="2">
        <v>1867</v>
      </c>
      <c r="N2427" s="2">
        <v>1867</v>
      </c>
      <c r="O2427" s="2">
        <v>1866.9503999999999</v>
      </c>
      <c r="P2427" s="2">
        <v>-4.9599999999999998E-2</v>
      </c>
      <c r="Q2427" s="2">
        <v>-4.9599999999999998E-2</v>
      </c>
      <c r="R2427" s="4">
        <v>-2.6591494447838636E-5</v>
      </c>
      <c r="T2427">
        <v>319058</v>
      </c>
      <c r="U2427" s="26"/>
      <c r="V2427" s="2"/>
      <c r="X2427" s="2">
        <v>6579000000</v>
      </c>
      <c r="Y2427" s="6">
        <v>1866.9503550000009</v>
      </c>
      <c r="Z2427" s="38">
        <v>10010</v>
      </c>
      <c r="AA2427" s="4">
        <f>+((DETALLE_GD_1[[#This Row],[VALOR X UN (GD)]]-DETALLE_GD_1[[#This Row],[VALOR PPTO]])/DETALLE_GD_1[[#This Row],[VALOR PPTO]])</f>
        <v>2.6567390328128124E-5</v>
      </c>
      <c r="AB2427" s="2">
        <f>+DETALLE_GD_1[[#This Row],[VALOR PPTO]]*DETALLE_GD_1[[#This Row],[CANTIDAD RECIBIDA]]</f>
        <v>1866.9503999999999</v>
      </c>
      <c r="AC2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7" s="3">
        <f>+DETALLE_GD_1[[#This Row],[CANTIDAD SOLICITADA]]-DETALLE_GD_1[[#This Row],[DEVOLUCIÓN]]</f>
        <v>1</v>
      </c>
      <c r="AE2427" s="38">
        <f>+_xlfn.XLOOKUP(DETALLE_GD_1[[#This Row],[CODIGO]],PRODUCTOS[CODIGO],PRODUCTOS[DESC CORTA],"",0)</f>
        <v>0</v>
      </c>
    </row>
    <row r="2428" spans="1:31" x14ac:dyDescent="0.25">
      <c r="A2428" s="1">
        <v>46195</v>
      </c>
      <c r="B2428" s="1">
        <v>46195</v>
      </c>
      <c r="C2428" t="s">
        <v>169</v>
      </c>
      <c r="D2428" s="38">
        <v>6</v>
      </c>
      <c r="E2428" t="s">
        <v>169</v>
      </c>
      <c r="F2428">
        <v>1405040</v>
      </c>
      <c r="G2428" t="s">
        <v>449</v>
      </c>
      <c r="H2428" t="s">
        <v>31</v>
      </c>
      <c r="I2428" s="3">
        <v>6</v>
      </c>
      <c r="J2428" s="3"/>
      <c r="K2428" s="26">
        <v>6</v>
      </c>
      <c r="L2428" s="2">
        <v>7573.6666999999998</v>
      </c>
      <c r="M2428" s="2">
        <v>45442</v>
      </c>
      <c r="N2428" s="2">
        <v>45442</v>
      </c>
      <c r="O2428" s="2">
        <v>7568</v>
      </c>
      <c r="P2428" s="2">
        <v>-5.6666999999999996</v>
      </c>
      <c r="Q2428" s="2">
        <v>-34</v>
      </c>
      <c r="R2428" s="4">
        <v>-7.4876673713887023E-4</v>
      </c>
      <c r="T2428">
        <v>319004</v>
      </c>
      <c r="U2428" s="26" t="s">
        <v>2011</v>
      </c>
      <c r="V2428" s="2">
        <v>3198245</v>
      </c>
      <c r="X2428" s="2">
        <v>6579000000</v>
      </c>
      <c r="Y2428" s="6">
        <v>45408</v>
      </c>
      <c r="Z2428" s="38">
        <v>10010</v>
      </c>
      <c r="AA2428" s="4">
        <f>+((DETALLE_GD_1[[#This Row],[VALOR X UN (GD)]]-DETALLE_GD_1[[#This Row],[VALOR PPTO]])/DETALLE_GD_1[[#This Row],[VALOR PPTO]])</f>
        <v>7.4877114164901746E-4</v>
      </c>
      <c r="AB2428" s="2">
        <f>+DETALLE_GD_1[[#This Row],[VALOR PPTO]]*DETALLE_GD_1[[#This Row],[CANTIDAD RECIBIDA]]</f>
        <v>45408</v>
      </c>
      <c r="AC2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8" s="3">
        <f>+DETALLE_GD_1[[#This Row],[CANTIDAD SOLICITADA]]-DETALLE_GD_1[[#This Row],[DEVOLUCIÓN]]</f>
        <v>6</v>
      </c>
      <c r="AE2428" s="38" t="str">
        <f>+_xlfn.XLOOKUP(DETALLE_GD_1[[#This Row],[CODIGO]],PRODUCTOS[CODIGO],PRODUCTOS[DESC CORTA],"",0)</f>
        <v>CEERRADURA BAÑO 815 TUBULAR</v>
      </c>
    </row>
    <row r="2429" spans="1:31" x14ac:dyDescent="0.25">
      <c r="A2429" s="1">
        <v>46195</v>
      </c>
      <c r="B2429" s="1">
        <v>46195</v>
      </c>
      <c r="C2429" t="s">
        <v>169</v>
      </c>
      <c r="D2429" s="38">
        <v>6</v>
      </c>
      <c r="E2429" t="s">
        <v>169</v>
      </c>
      <c r="F2429">
        <v>1405039</v>
      </c>
      <c r="G2429" t="s">
        <v>314</v>
      </c>
      <c r="H2429" t="s">
        <v>31</v>
      </c>
      <c r="I2429" s="3">
        <v>2</v>
      </c>
      <c r="J2429" s="3"/>
      <c r="K2429" s="26">
        <v>2</v>
      </c>
      <c r="L2429" s="2">
        <v>7636.5</v>
      </c>
      <c r="M2429" s="2">
        <v>15273</v>
      </c>
      <c r="N2429" s="2">
        <v>15273</v>
      </c>
      <c r="O2429" s="2">
        <v>7596</v>
      </c>
      <c r="P2429" s="2">
        <v>-40.5</v>
      </c>
      <c r="Q2429" s="2">
        <v>-81</v>
      </c>
      <c r="R2429" s="4">
        <v>-5.3317535545023701E-3</v>
      </c>
      <c r="T2429">
        <v>319004</v>
      </c>
      <c r="U2429" s="26"/>
      <c r="V2429" s="2"/>
      <c r="X2429" s="2">
        <v>6579000000</v>
      </c>
      <c r="Y2429" s="6">
        <v>15192</v>
      </c>
      <c r="Z2429" s="38">
        <v>10010</v>
      </c>
      <c r="AA2429" s="4">
        <f>+((DETALLE_GD_1[[#This Row],[VALOR X UN (GD)]]-DETALLE_GD_1[[#This Row],[VALOR PPTO]])/DETALLE_GD_1[[#This Row],[VALOR PPTO]])</f>
        <v>5.3317535545023701E-3</v>
      </c>
      <c r="AB2429" s="2">
        <f>+DETALLE_GD_1[[#This Row],[VALOR PPTO]]*DETALLE_GD_1[[#This Row],[CANTIDAD RECIBIDA]]</f>
        <v>15192</v>
      </c>
      <c r="AC2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9" s="3">
        <f>+DETALLE_GD_1[[#This Row],[CANTIDAD SOLICITADA]]-DETALLE_GD_1[[#This Row],[DEVOLUCIÓN]]</f>
        <v>2</v>
      </c>
      <c r="AE2429" s="38" t="str">
        <f>+_xlfn.XLOOKUP(DETALLE_GD_1[[#This Row],[CODIGO]],PRODUCTOS[CODIGO],PRODUCTOS[DESC CORTA],"",0)</f>
        <v>CERRADURA INOX 304</v>
      </c>
    </row>
    <row r="2430" spans="1:31" x14ac:dyDescent="0.25">
      <c r="A2430" s="1">
        <v>46195</v>
      </c>
      <c r="B2430" s="1">
        <v>46195</v>
      </c>
      <c r="C2430" t="s">
        <v>169</v>
      </c>
      <c r="D2430" s="38">
        <v>6</v>
      </c>
      <c r="E2430" t="s">
        <v>169</v>
      </c>
      <c r="F2430">
        <v>2508993</v>
      </c>
      <c r="G2430" t="s">
        <v>485</v>
      </c>
      <c r="H2430" t="s">
        <v>31</v>
      </c>
      <c r="I2430" s="3">
        <v>4</v>
      </c>
      <c r="J2430" s="3"/>
      <c r="K2430" s="26">
        <v>4</v>
      </c>
      <c r="L2430" s="2">
        <v>1461.75</v>
      </c>
      <c r="M2430" s="2">
        <v>5847</v>
      </c>
      <c r="N2430" s="2">
        <v>5847</v>
      </c>
      <c r="O2430" s="2">
        <v>1410</v>
      </c>
      <c r="P2430" s="2">
        <v>-51.75</v>
      </c>
      <c r="Q2430" s="2">
        <v>-207</v>
      </c>
      <c r="R2430" s="4">
        <v>-3.6702127659574466E-2</v>
      </c>
      <c r="T2430">
        <v>319004</v>
      </c>
      <c r="U2430" s="26"/>
      <c r="V2430" s="2"/>
      <c r="X2430" s="2">
        <v>6579000000</v>
      </c>
      <c r="Y2430" s="6">
        <v>5640</v>
      </c>
      <c r="Z2430" s="38">
        <v>10010</v>
      </c>
      <c r="AA2430" s="4">
        <f>+((DETALLE_GD_1[[#This Row],[VALOR X UN (GD)]]-DETALLE_GD_1[[#This Row],[VALOR PPTO]])/DETALLE_GD_1[[#This Row],[VALOR PPTO]])</f>
        <v>3.6702127659574466E-2</v>
      </c>
      <c r="AB2430" s="2">
        <f>+DETALLE_GD_1[[#This Row],[VALOR PPTO]]*DETALLE_GD_1[[#This Row],[CANTIDAD RECIBIDA]]</f>
        <v>5640</v>
      </c>
      <c r="AC2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0" s="3">
        <f>+DETALLE_GD_1[[#This Row],[CANTIDAD SOLICITADA]]-DETALLE_GD_1[[#This Row],[DEVOLUCIÓN]]</f>
        <v>4</v>
      </c>
      <c r="AE2430" s="38" t="str">
        <f>+_xlfn.XLOOKUP(DETALLE_GD_1[[#This Row],[CODIGO]],PRODUCTOS[CODIGO],PRODUCTOS[DESC CORTA],"",0)</f>
        <v>BOCALLAVE B1 800 ACCESO</v>
      </c>
    </row>
    <row r="2431" spans="1:31" x14ac:dyDescent="0.25">
      <c r="A2431" s="1">
        <v>46195</v>
      </c>
      <c r="B2431" s="1">
        <v>46195</v>
      </c>
      <c r="C2431" t="s">
        <v>169</v>
      </c>
      <c r="D2431" s="38">
        <v>6</v>
      </c>
      <c r="E2431" t="s">
        <v>169</v>
      </c>
      <c r="F2431">
        <v>1405025</v>
      </c>
      <c r="G2431" t="s">
        <v>189</v>
      </c>
      <c r="H2431" t="s">
        <v>31</v>
      </c>
      <c r="I2431" s="3">
        <v>6</v>
      </c>
      <c r="J2431" s="3"/>
      <c r="K2431" s="26">
        <v>6</v>
      </c>
      <c r="L2431" s="2">
        <v>6988</v>
      </c>
      <c r="M2431" s="2">
        <v>41928</v>
      </c>
      <c r="N2431" s="2">
        <v>41928</v>
      </c>
      <c r="O2431" s="2">
        <v>6758.5333000000001</v>
      </c>
      <c r="P2431" s="2">
        <v>-229.4667</v>
      </c>
      <c r="Q2431" s="2">
        <v>-1376.8</v>
      </c>
      <c r="R2431" s="4">
        <v>-3.3952139568444395E-2</v>
      </c>
      <c r="T2431">
        <v>319004</v>
      </c>
      <c r="U2431" s="26"/>
      <c r="V2431" s="2"/>
      <c r="X2431" s="2">
        <v>6579000000</v>
      </c>
      <c r="Y2431" s="6">
        <v>40551.199997999996</v>
      </c>
      <c r="Z2431" s="38">
        <v>10010</v>
      </c>
      <c r="AA2431" s="4">
        <f>+((DETALLE_GD_1[[#This Row],[VALOR X UN (GD)]]-DETALLE_GD_1[[#This Row],[VALOR PPTO]])/DETALLE_GD_1[[#This Row],[VALOR PPTO]])</f>
        <v>3.3952144616939288E-2</v>
      </c>
      <c r="AB2431" s="2">
        <f>+DETALLE_GD_1[[#This Row],[VALOR PPTO]]*DETALLE_GD_1[[#This Row],[CANTIDAD RECIBIDA]]</f>
        <v>40551.199800000002</v>
      </c>
      <c r="AC2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1" s="3">
        <f>+DETALLE_GD_1[[#This Row],[CANTIDAD SOLICITADA]]-DETALLE_GD_1[[#This Row],[DEVOLUCIÓN]]</f>
        <v>6</v>
      </c>
      <c r="AE2431" s="38">
        <f>+_xlfn.XLOOKUP(DETALLE_GD_1[[#This Row],[CODIGO]],PRODUCTOS[CODIGO],PRODUCTOS[DESC CORTA],"",0)</f>
        <v>0</v>
      </c>
    </row>
    <row r="2432" spans="1:31" x14ac:dyDescent="0.25">
      <c r="A2432" s="1">
        <v>46195</v>
      </c>
      <c r="B2432" s="1">
        <v>46195</v>
      </c>
      <c r="C2432" t="s">
        <v>169</v>
      </c>
      <c r="D2432" s="38">
        <v>6</v>
      </c>
      <c r="E2432" t="s">
        <v>169</v>
      </c>
      <c r="F2432">
        <v>2508990</v>
      </c>
      <c r="G2432" t="s">
        <v>482</v>
      </c>
      <c r="H2432" t="s">
        <v>31</v>
      </c>
      <c r="I2432" s="3">
        <v>4</v>
      </c>
      <c r="J2432" s="3"/>
      <c r="K2432" s="26">
        <v>4</v>
      </c>
      <c r="L2432" s="2">
        <v>6688.75</v>
      </c>
      <c r="M2432" s="2">
        <v>26755</v>
      </c>
      <c r="N2432" s="2">
        <v>26755</v>
      </c>
      <c r="O2432" s="2">
        <v>6738</v>
      </c>
      <c r="P2432" s="2">
        <v>49.25</v>
      </c>
      <c r="Q2432" s="2">
        <v>197</v>
      </c>
      <c r="R2432" s="4">
        <v>7.309290590679726E-3</v>
      </c>
      <c r="T2432">
        <v>319004</v>
      </c>
      <c r="U2432" s="26"/>
      <c r="V2432" s="2"/>
      <c r="X2432" s="2">
        <v>6579000000</v>
      </c>
      <c r="Y2432" s="6">
        <v>26952</v>
      </c>
      <c r="Z2432" s="38">
        <v>10010</v>
      </c>
      <c r="AA2432" s="4">
        <f>+((DETALLE_GD_1[[#This Row],[VALOR X UN (GD)]]-DETALLE_GD_1[[#This Row],[VALOR PPTO]])/DETALLE_GD_1[[#This Row],[VALOR PPTO]])</f>
        <v>-7.3092905906797269E-3</v>
      </c>
      <c r="AB2432" s="2">
        <f>+DETALLE_GD_1[[#This Row],[VALOR PPTO]]*DETALLE_GD_1[[#This Row],[CANTIDAD RECIBIDA]]</f>
        <v>26952</v>
      </c>
      <c r="AC2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2" s="3">
        <f>+DETALLE_GD_1[[#This Row],[CANTIDAD SOLICITADA]]-DETALLE_GD_1[[#This Row],[DEVOLUCIÓN]]</f>
        <v>4</v>
      </c>
      <c r="AE2432" s="38" t="str">
        <f>+_xlfn.XLOOKUP(DETALLE_GD_1[[#This Row],[CODIGO]],PRODUCTOS[CODIGO],PRODUCTOS[DESC CORTA],"",0)</f>
        <v>CERRADURA DE EMB</v>
      </c>
    </row>
    <row r="2433" spans="1:31" x14ac:dyDescent="0.25">
      <c r="A2433" s="1">
        <v>46195</v>
      </c>
      <c r="B2433" s="1">
        <v>46195</v>
      </c>
      <c r="C2433" t="s">
        <v>169</v>
      </c>
      <c r="D2433" s="38">
        <v>6</v>
      </c>
      <c r="E2433" t="s">
        <v>169</v>
      </c>
      <c r="F2433">
        <v>1902003</v>
      </c>
      <c r="G2433" t="s">
        <v>155</v>
      </c>
      <c r="H2433" t="s">
        <v>47</v>
      </c>
      <c r="I2433" s="3">
        <v>6</v>
      </c>
      <c r="J2433" s="3"/>
      <c r="K2433" s="26">
        <v>6</v>
      </c>
      <c r="L2433" s="2">
        <v>150861.8333</v>
      </c>
      <c r="M2433" s="2">
        <v>905171</v>
      </c>
      <c r="N2433" s="2">
        <v>905171</v>
      </c>
      <c r="O2433" s="2">
        <v>150703.9755</v>
      </c>
      <c r="P2433" s="2">
        <v>-157.8579</v>
      </c>
      <c r="Q2433" s="2">
        <v>-947.1472</v>
      </c>
      <c r="R2433" s="4">
        <v>-1.047469868339897E-3</v>
      </c>
      <c r="T2433">
        <v>319004</v>
      </c>
      <c r="U2433" s="26"/>
      <c r="V2433" s="2"/>
      <c r="X2433" s="2">
        <v>6579000000</v>
      </c>
      <c r="Y2433" s="6">
        <v>904223.85275999969</v>
      </c>
      <c r="Z2433" s="38">
        <v>10010</v>
      </c>
      <c r="AA2433" s="4">
        <f>+((DETALLE_GD_1[[#This Row],[VALOR X UN (GD)]]-DETALLE_GD_1[[#This Row],[VALOR PPTO]])/DETALLE_GD_1[[#This Row],[VALOR PPTO]])</f>
        <v>1.0474693814563501E-3</v>
      </c>
      <c r="AB2433" s="2">
        <f>+DETALLE_GD_1[[#This Row],[VALOR PPTO]]*DETALLE_GD_1[[#This Row],[CANTIDAD RECIBIDA]]</f>
        <v>904223.853</v>
      </c>
      <c r="AC2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3" s="3">
        <f>+DETALLE_GD_1[[#This Row],[CANTIDAD SOLICITADA]]-DETALLE_GD_1[[#This Row],[DEVOLUCIÓN]]</f>
        <v>6</v>
      </c>
      <c r="AE2433" s="38">
        <f>+_xlfn.XLOOKUP(DETALLE_GD_1[[#This Row],[CODIGO]],PRODUCTOS[CODIGO],PRODUCTOS[DESC CORTA],"",0)</f>
        <v>0</v>
      </c>
    </row>
    <row r="2434" spans="1:31" x14ac:dyDescent="0.25">
      <c r="A2434" s="1">
        <v>46195</v>
      </c>
      <c r="B2434" s="1">
        <v>46195</v>
      </c>
      <c r="C2434" t="s">
        <v>169</v>
      </c>
      <c r="D2434" s="38">
        <v>6</v>
      </c>
      <c r="E2434" t="s">
        <v>169</v>
      </c>
      <c r="F2434">
        <v>408042</v>
      </c>
      <c r="G2434" t="s">
        <v>144</v>
      </c>
      <c r="H2434" t="s">
        <v>36</v>
      </c>
      <c r="I2434" s="3">
        <v>2</v>
      </c>
      <c r="J2434" s="3"/>
      <c r="K2434" s="26">
        <v>2</v>
      </c>
      <c r="L2434" s="2">
        <v>35000</v>
      </c>
      <c r="M2434" s="2">
        <v>70000</v>
      </c>
      <c r="N2434" s="2">
        <v>70000</v>
      </c>
      <c r="O2434" s="2">
        <v>35000</v>
      </c>
      <c r="P2434" s="2">
        <v>0</v>
      </c>
      <c r="Q2434" s="2">
        <v>0</v>
      </c>
      <c r="R2434" s="4">
        <v>8.3153801304950006E-16</v>
      </c>
      <c r="T2434">
        <v>319004</v>
      </c>
      <c r="U2434" s="26"/>
      <c r="V2434" s="2"/>
      <c r="X2434" s="2">
        <v>6579000000</v>
      </c>
      <c r="Y2434" s="6">
        <v>70000.000000000058</v>
      </c>
      <c r="Z2434" s="38">
        <v>10010</v>
      </c>
      <c r="AA2434" s="4">
        <f>+((DETALLE_GD_1[[#This Row],[VALOR X UN (GD)]]-DETALLE_GD_1[[#This Row],[VALOR PPTO]])/DETALLE_GD_1[[#This Row],[VALOR PPTO]])</f>
        <v>0</v>
      </c>
      <c r="AB2434" s="2">
        <f>+DETALLE_GD_1[[#This Row],[VALOR PPTO]]*DETALLE_GD_1[[#This Row],[CANTIDAD RECIBIDA]]</f>
        <v>70000</v>
      </c>
      <c r="AC2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4" s="3">
        <f>+DETALLE_GD_1[[#This Row],[CANTIDAD SOLICITADA]]-DETALLE_GD_1[[#This Row],[DEVOLUCIÓN]]</f>
        <v>2</v>
      </c>
      <c r="AE2434" s="38" t="str">
        <f>+_xlfn.XLOOKUP(DETALLE_GD_1[[#This Row],[CODIGO]],PRODUCTOS[CODIGO],PRODUCTOS[DESC CORTA],"",0)</f>
        <v>CLAVO HELICOIDAL PROFIX</v>
      </c>
    </row>
    <row r="2435" spans="1:31" x14ac:dyDescent="0.25">
      <c r="A2435" s="1">
        <v>46195</v>
      </c>
      <c r="B2435" s="1">
        <v>46195</v>
      </c>
      <c r="C2435" t="s">
        <v>169</v>
      </c>
      <c r="D2435" s="38">
        <v>6</v>
      </c>
      <c r="E2435" t="s">
        <v>169</v>
      </c>
      <c r="F2435">
        <v>2302017</v>
      </c>
      <c r="G2435" t="s">
        <v>156</v>
      </c>
      <c r="H2435" t="s">
        <v>25</v>
      </c>
      <c r="I2435" s="3">
        <v>10</v>
      </c>
      <c r="J2435" s="3"/>
      <c r="K2435" s="26">
        <v>10</v>
      </c>
      <c r="L2435" s="2">
        <v>86477.7</v>
      </c>
      <c r="M2435" s="2">
        <v>864777</v>
      </c>
      <c r="N2435" s="2">
        <v>864777</v>
      </c>
      <c r="O2435" s="2">
        <v>81197.881599999993</v>
      </c>
      <c r="P2435" s="2">
        <v>-5279.8184000000001</v>
      </c>
      <c r="Q2435" s="2">
        <v>-52798.184200000003</v>
      </c>
      <c r="R2435" s="4">
        <v>-6.5024090756150038E-2</v>
      </c>
      <c r="T2435">
        <v>319004</v>
      </c>
      <c r="U2435" s="26"/>
      <c r="V2435" s="2"/>
      <c r="X2435" s="2">
        <v>6579000000</v>
      </c>
      <c r="Y2435" s="6">
        <v>811978.81578999979</v>
      </c>
      <c r="Z2435" s="38">
        <v>10010</v>
      </c>
      <c r="AA2435" s="4">
        <f>+((DETALLE_GD_1[[#This Row],[VALOR X UN (GD)]]-DETALLE_GD_1[[#This Row],[VALOR PPTO]])/DETALLE_GD_1[[#This Row],[VALOR PPTO]])</f>
        <v>6.5024090480705399E-2</v>
      </c>
      <c r="AB2435" s="2">
        <f>+DETALLE_GD_1[[#This Row],[VALOR PPTO]]*DETALLE_GD_1[[#This Row],[CANTIDAD RECIBIDA]]</f>
        <v>811978.81599999988</v>
      </c>
      <c r="AC2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5" s="3">
        <f>+DETALLE_GD_1[[#This Row],[CANTIDAD SOLICITADA]]-DETALLE_GD_1[[#This Row],[DEVOLUCIÓN]]</f>
        <v>10</v>
      </c>
      <c r="AE2435" s="38">
        <f>+_xlfn.XLOOKUP(DETALLE_GD_1[[#This Row],[CODIGO]],PRODUCTOS[CODIGO],PRODUCTOS[DESC CORTA],"",0)</f>
        <v>0</v>
      </c>
    </row>
    <row r="2436" spans="1:31" x14ac:dyDescent="0.25">
      <c r="A2436" s="1">
        <v>46195</v>
      </c>
      <c r="B2436" s="1">
        <v>46195</v>
      </c>
      <c r="C2436" t="s">
        <v>169</v>
      </c>
      <c r="D2436" s="38">
        <v>6</v>
      </c>
      <c r="E2436" t="s">
        <v>169</v>
      </c>
      <c r="F2436">
        <v>907031</v>
      </c>
      <c r="G2436" t="s">
        <v>256</v>
      </c>
      <c r="H2436" t="s">
        <v>743</v>
      </c>
      <c r="I2436" s="3">
        <v>8</v>
      </c>
      <c r="J2436" s="3"/>
      <c r="K2436" s="26">
        <v>8</v>
      </c>
      <c r="L2436" s="2">
        <v>152881.5</v>
      </c>
      <c r="M2436" s="2">
        <v>1223052</v>
      </c>
      <c r="N2436" s="2">
        <v>1223052</v>
      </c>
      <c r="O2436" s="2">
        <v>156269.1667</v>
      </c>
      <c r="P2436" s="2">
        <v>3387.6667000000002</v>
      </c>
      <c r="Q2436" s="2">
        <v>27101.333299999998</v>
      </c>
      <c r="R2436" s="4">
        <v>2.1678407450773384E-2</v>
      </c>
      <c r="T2436">
        <v>319004</v>
      </c>
      <c r="U2436" s="26"/>
      <c r="V2436" s="2"/>
      <c r="X2436" s="2">
        <v>6579000000</v>
      </c>
      <c r="Y2436" s="6">
        <v>1250153.3333360003</v>
      </c>
      <c r="Z2436" s="38">
        <v>10010</v>
      </c>
      <c r="AA2436" s="4">
        <f>+((DETALLE_GD_1[[#This Row],[VALOR X UN (GD)]]-DETALLE_GD_1[[#This Row],[VALOR PPTO]])/DETALLE_GD_1[[#This Row],[VALOR PPTO]])</f>
        <v>-2.1678407657369312E-2</v>
      </c>
      <c r="AB2436" s="2">
        <f>+DETALLE_GD_1[[#This Row],[VALOR PPTO]]*DETALLE_GD_1[[#This Row],[CANTIDAD RECIBIDA]]</f>
        <v>1250153.3336</v>
      </c>
      <c r="AC2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6" s="3">
        <f>+DETALLE_GD_1[[#This Row],[CANTIDAD SOLICITADA]]-DETALLE_GD_1[[#This Row],[DEVOLUCIÓN]]</f>
        <v>8</v>
      </c>
      <c r="AE2436" s="38" t="str">
        <f>+_xlfn.XLOOKUP(DETALLE_GD_1[[#This Row],[CODIGO]],PRODUCTOS[CODIGO],PRODUCTOS[DESC CORTA],"",0)</f>
        <v>MEMBRANA PVC</v>
      </c>
    </row>
    <row r="2437" spans="1:31" x14ac:dyDescent="0.25">
      <c r="A2437" s="1">
        <v>46196</v>
      </c>
      <c r="B2437" s="1">
        <v>46196</v>
      </c>
      <c r="C2437" t="s">
        <v>169</v>
      </c>
      <c r="D2437" s="38">
        <v>6</v>
      </c>
      <c r="E2437" t="s">
        <v>169</v>
      </c>
      <c r="F2437">
        <v>304002</v>
      </c>
      <c r="G2437" t="s">
        <v>37</v>
      </c>
      <c r="H2437" t="s">
        <v>18</v>
      </c>
      <c r="I2437" s="3">
        <v>360</v>
      </c>
      <c r="J2437" s="3"/>
      <c r="K2437" s="26">
        <v>360</v>
      </c>
      <c r="L2437" s="2">
        <v>21648.838899999999</v>
      </c>
      <c r="M2437" s="2">
        <v>7793582</v>
      </c>
      <c r="N2437" s="2">
        <v>7793582</v>
      </c>
      <c r="O2437" s="2">
        <v>21246.5072</v>
      </c>
      <c r="P2437" s="2">
        <v>-402.33170000000001</v>
      </c>
      <c r="Q2437" s="2">
        <v>-144839.42490000001</v>
      </c>
      <c r="R2437" s="4">
        <v>-1.8936370716919278E-2</v>
      </c>
      <c r="T2437">
        <v>310143</v>
      </c>
      <c r="U2437" s="26" t="s">
        <v>2020</v>
      </c>
      <c r="V2437" s="2">
        <v>7793582</v>
      </c>
      <c r="X2437" s="2">
        <v>6579000000</v>
      </c>
      <c r="Y2437" s="6">
        <v>7648742.5750799999</v>
      </c>
      <c r="Z2437" s="38">
        <v>10010</v>
      </c>
      <c r="AA2437" s="4">
        <f>+((DETALLE_GD_1[[#This Row],[VALOR X UN (GD)]]-DETALLE_GD_1[[#This Row],[VALOR PPTO]])/DETALLE_GD_1[[#This Row],[VALOR PPTO]])</f>
        <v>1.8936368985863185E-2</v>
      </c>
      <c r="AB2437" s="2">
        <f>+DETALLE_GD_1[[#This Row],[VALOR PPTO]]*DETALLE_GD_1[[#This Row],[CANTIDAD RECIBIDA]]</f>
        <v>7648742.5920000002</v>
      </c>
      <c r="AC2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7" s="3">
        <f>+DETALLE_GD_1[[#This Row],[CANTIDAD SOLICITADA]]-DETALLE_GD_1[[#This Row],[DEVOLUCIÓN]]</f>
        <v>360</v>
      </c>
      <c r="AE2437" s="38" t="str">
        <f>+_xlfn.XLOOKUP(DETALLE_GD_1[[#This Row],[CODIGO]],PRODUCTOS[CODIGO],PRODUCTOS[DESC CORTA],"",0)</f>
        <v>SMARTPANEL</v>
      </c>
    </row>
    <row r="2438" spans="1:31" x14ac:dyDescent="0.25">
      <c r="A2438" s="1">
        <v>46196</v>
      </c>
      <c r="B2438" s="1">
        <v>46196</v>
      </c>
      <c r="C2438" t="s">
        <v>169</v>
      </c>
      <c r="D2438" s="38">
        <v>6</v>
      </c>
      <c r="E2438" t="s">
        <v>169</v>
      </c>
      <c r="F2438">
        <v>304101</v>
      </c>
      <c r="G2438" t="s">
        <v>17</v>
      </c>
      <c r="H2438" t="s">
        <v>18</v>
      </c>
      <c r="I2438" s="3">
        <v>84</v>
      </c>
      <c r="J2438" s="3"/>
      <c r="K2438" s="26">
        <v>84</v>
      </c>
      <c r="L2438" s="2">
        <v>9610.3333000000002</v>
      </c>
      <c r="M2438" s="2">
        <v>807268</v>
      </c>
      <c r="N2438" s="2">
        <v>807268</v>
      </c>
      <c r="O2438" s="2">
        <v>9657.5879999999997</v>
      </c>
      <c r="P2438" s="2">
        <v>47.254600000000003</v>
      </c>
      <c r="Q2438" s="2">
        <v>3969.3878</v>
      </c>
      <c r="R2438" s="4">
        <v>4.8930040203952457E-3</v>
      </c>
      <c r="T2438">
        <v>319159</v>
      </c>
      <c r="U2438" s="26" t="s">
        <v>2017</v>
      </c>
      <c r="V2438" s="2">
        <v>29446263</v>
      </c>
      <c r="X2438" s="2">
        <v>6579000000</v>
      </c>
      <c r="Y2438" s="6">
        <v>811237.38780000038</v>
      </c>
      <c r="Z2438" s="38">
        <v>10010</v>
      </c>
      <c r="AA2438" s="4">
        <f>+((DETALLE_GD_1[[#This Row],[VALOR X UN (GD)]]-DETALLE_GD_1[[#This Row],[VALOR PPTO]])/DETALLE_GD_1[[#This Row],[VALOR PPTO]])</f>
        <v>-4.8930126238559257E-3</v>
      </c>
      <c r="AB2438" s="2">
        <f>+DETALLE_GD_1[[#This Row],[VALOR PPTO]]*DETALLE_GD_1[[#This Row],[CANTIDAD RECIBIDA]]</f>
        <v>811237.39199999999</v>
      </c>
      <c r="AC2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8" s="3">
        <f>+DETALLE_GD_1[[#This Row],[CANTIDAD SOLICITADA]]-DETALLE_GD_1[[#This Row],[DEVOLUCIÓN]]</f>
        <v>84</v>
      </c>
      <c r="AE2438" s="38" t="str">
        <f>+_xlfn.XLOOKUP(DETALLE_GD_1[[#This Row],[CODIGO]],PRODUCTOS[CODIGO],PRODUCTOS[DESC CORTA],"",0)</f>
        <v>OSB 9.5</v>
      </c>
    </row>
    <row r="2439" spans="1:31" x14ac:dyDescent="0.25">
      <c r="A2439" s="1">
        <v>46196</v>
      </c>
      <c r="B2439" s="1">
        <v>46196</v>
      </c>
      <c r="C2439" t="s">
        <v>169</v>
      </c>
      <c r="D2439" s="38">
        <v>6</v>
      </c>
      <c r="E2439" t="s">
        <v>169</v>
      </c>
      <c r="F2439">
        <v>304049</v>
      </c>
      <c r="G2439" t="s">
        <v>318</v>
      </c>
      <c r="H2439" t="s">
        <v>18</v>
      </c>
      <c r="I2439" s="3">
        <v>130</v>
      </c>
      <c r="J2439" s="3"/>
      <c r="K2439" s="26">
        <v>130</v>
      </c>
      <c r="L2439" s="2">
        <v>15629.853800000001</v>
      </c>
      <c r="M2439" s="2">
        <v>2031881</v>
      </c>
      <c r="N2439" s="2">
        <v>2031881</v>
      </c>
      <c r="O2439" s="2">
        <v>14982</v>
      </c>
      <c r="P2439" s="2">
        <v>-647.85379999999998</v>
      </c>
      <c r="Q2439" s="2">
        <v>-84221</v>
      </c>
      <c r="R2439" s="4">
        <v>-4.3242146986640903E-2</v>
      </c>
      <c r="T2439">
        <v>319159</v>
      </c>
      <c r="U2439" s="26"/>
      <c r="V2439" s="2"/>
      <c r="X2439" s="2">
        <v>6579000000</v>
      </c>
      <c r="Y2439" s="6">
        <v>1947659.9999999993</v>
      </c>
      <c r="Z2439" s="38">
        <v>10010</v>
      </c>
      <c r="AA2439" s="4">
        <f>+((DETALLE_GD_1[[#This Row],[VALOR X UN (GD)]]-DETALLE_GD_1[[#This Row],[VALOR PPTO]])/DETALLE_GD_1[[#This Row],[VALOR PPTO]])</f>
        <v>4.3242143906020609E-2</v>
      </c>
      <c r="AB2439" s="2">
        <f>+DETALLE_GD_1[[#This Row],[VALOR PPTO]]*DETALLE_GD_1[[#This Row],[CANTIDAD RECIBIDA]]</f>
        <v>1947660</v>
      </c>
      <c r="AC24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9" s="3">
        <f>+DETALLE_GD_1[[#This Row],[CANTIDAD SOLICITADA]]-DETALLE_GD_1[[#This Row],[DEVOLUCIÓN]]</f>
        <v>130</v>
      </c>
      <c r="AE2439" s="38" t="str">
        <f>+_xlfn.XLOOKUP(DETALLE_GD_1[[#This Row],[CODIGO]],PRODUCTOS[CODIGO],PRODUCTOS[DESC CORTA],"",0)</f>
        <v>TERCIADO FENOLICO</v>
      </c>
    </row>
    <row r="2440" spans="1:31" x14ac:dyDescent="0.25">
      <c r="A2440" s="1">
        <v>46196</v>
      </c>
      <c r="B2440" s="1">
        <v>46196</v>
      </c>
      <c r="C2440" t="s">
        <v>169</v>
      </c>
      <c r="D2440" s="38">
        <v>6</v>
      </c>
      <c r="E2440" t="s">
        <v>169</v>
      </c>
      <c r="F2440">
        <v>701015</v>
      </c>
      <c r="G2440" t="s">
        <v>254</v>
      </c>
      <c r="H2440" t="s">
        <v>18</v>
      </c>
      <c r="I2440" s="3">
        <v>100</v>
      </c>
      <c r="J2440" s="3"/>
      <c r="K2440" s="26">
        <v>100</v>
      </c>
      <c r="L2440" s="2">
        <v>9369.3799999999992</v>
      </c>
      <c r="M2440" s="2">
        <v>936938</v>
      </c>
      <c r="N2440" s="2">
        <v>936938</v>
      </c>
      <c r="O2440" s="2">
        <v>9151.2975000000006</v>
      </c>
      <c r="P2440" s="2">
        <v>-218.08250000000001</v>
      </c>
      <c r="Q2440" s="2">
        <v>-21808.253199999999</v>
      </c>
      <c r="R2440" s="4">
        <v>-2.3830777303719325E-2</v>
      </c>
      <c r="T2440">
        <v>319159</v>
      </c>
      <c r="U2440" s="26"/>
      <c r="V2440" s="2"/>
      <c r="X2440" s="2">
        <v>6579000000</v>
      </c>
      <c r="Y2440" s="6">
        <v>915129.74679999996</v>
      </c>
      <c r="Z2440" s="38">
        <v>10010</v>
      </c>
      <c r="AA2440" s="4">
        <f>+((DETALLE_GD_1[[#This Row],[VALOR X UN (GD)]]-DETALLE_GD_1[[#This Row],[VALOR PPTO]])/DETALLE_GD_1[[#This Row],[VALOR PPTO]])</f>
        <v>2.3830773723616635E-2</v>
      </c>
      <c r="AB2440" s="2">
        <f>+DETALLE_GD_1[[#This Row],[VALOR PPTO]]*DETALLE_GD_1[[#This Row],[CANTIDAD RECIBIDA]]</f>
        <v>915129.75</v>
      </c>
      <c r="AC2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0" s="3">
        <f>+DETALLE_GD_1[[#This Row],[CANTIDAD SOLICITADA]]-DETALLE_GD_1[[#This Row],[DEVOLUCIÓN]]</f>
        <v>100</v>
      </c>
      <c r="AE2440" s="38" t="str">
        <f>+_xlfn.XLOOKUP(DETALLE_GD_1[[#This Row],[CODIGO]],PRODUCTOS[CODIGO],PRODUCTOS[DESC CORTA],"",0)</f>
        <v>VOLCANITA RH</v>
      </c>
    </row>
    <row r="2441" spans="1:31" x14ac:dyDescent="0.25">
      <c r="A2441" s="1">
        <v>46196</v>
      </c>
      <c r="B2441" s="1">
        <v>46196</v>
      </c>
      <c r="C2441" t="s">
        <v>169</v>
      </c>
      <c r="D2441" s="38">
        <v>6</v>
      </c>
      <c r="E2441" t="s">
        <v>169</v>
      </c>
      <c r="F2441">
        <v>701096</v>
      </c>
      <c r="G2441" t="s">
        <v>204</v>
      </c>
      <c r="H2441" t="s">
        <v>18</v>
      </c>
      <c r="I2441" s="3">
        <v>70</v>
      </c>
      <c r="J2441" s="3"/>
      <c r="K2441" s="26">
        <v>70</v>
      </c>
      <c r="L2441" s="2">
        <v>16344.614299999999</v>
      </c>
      <c r="M2441" s="2">
        <v>1144123</v>
      </c>
      <c r="N2441" s="2">
        <v>1144123</v>
      </c>
      <c r="O2441" s="2">
        <v>16019.885700000001</v>
      </c>
      <c r="P2441" s="2">
        <v>-324.72859999999997</v>
      </c>
      <c r="Q2441" s="2">
        <v>-22731.002</v>
      </c>
      <c r="R2441" s="4">
        <v>-2.0270344439370005E-2</v>
      </c>
      <c r="T2441">
        <v>319159</v>
      </c>
      <c r="U2441" s="26"/>
      <c r="V2441" s="2"/>
      <c r="X2441" s="2">
        <v>6579000000</v>
      </c>
      <c r="Y2441" s="6">
        <v>1121391.9979500002</v>
      </c>
      <c r="Z2441" s="38">
        <v>10010</v>
      </c>
      <c r="AA2441" s="4">
        <f>+((DETALLE_GD_1[[#This Row],[VALOR X UN (GD)]]-DETALLE_GD_1[[#This Row],[VALOR PPTO]])/DETALLE_GD_1[[#This Row],[VALOR PPTO]])</f>
        <v>2.0270344375802791E-2</v>
      </c>
      <c r="AB2441" s="2">
        <f>+DETALLE_GD_1[[#This Row],[VALOR PPTO]]*DETALLE_GD_1[[#This Row],[CANTIDAD RECIBIDA]]</f>
        <v>1121391.9990000001</v>
      </c>
      <c r="AC24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1" s="3">
        <f>+DETALLE_GD_1[[#This Row],[CANTIDAD SOLICITADA]]-DETALLE_GD_1[[#This Row],[DEVOLUCIÓN]]</f>
        <v>70</v>
      </c>
      <c r="AE2441" s="38" t="str">
        <f>+_xlfn.XLOOKUP(DETALLE_GD_1[[#This Row],[CODIGO]],PRODUCTOS[CODIGO],PRODUCTOS[DESC CORTA],"",0)</f>
        <v>VOCANITA EMPAPELADA MURO</v>
      </c>
    </row>
    <row r="2442" spans="1:31" x14ac:dyDescent="0.25">
      <c r="A2442" s="1">
        <v>46196</v>
      </c>
      <c r="B2442" s="1">
        <v>46196</v>
      </c>
      <c r="C2442" t="s">
        <v>169</v>
      </c>
      <c r="D2442" s="38">
        <v>6</v>
      </c>
      <c r="E2442" t="s">
        <v>169</v>
      </c>
      <c r="F2442">
        <v>701040</v>
      </c>
      <c r="G2442" t="s">
        <v>19</v>
      </c>
      <c r="H2442" t="s">
        <v>18</v>
      </c>
      <c r="I2442" s="3">
        <v>80</v>
      </c>
      <c r="J2442" s="3"/>
      <c r="K2442" s="26">
        <v>80</v>
      </c>
      <c r="L2442" s="2">
        <v>8218.7999999999993</v>
      </c>
      <c r="M2442" s="2">
        <v>657504</v>
      </c>
      <c r="N2442" s="2">
        <v>657504</v>
      </c>
      <c r="O2442" s="2">
        <v>7835.7259999999997</v>
      </c>
      <c r="P2442" s="2">
        <v>-383.07400000000001</v>
      </c>
      <c r="Q2442" s="2">
        <v>-30645.923699999999</v>
      </c>
      <c r="R2442" s="4">
        <v>-4.8888137263714423E-2</v>
      </c>
      <c r="T2442">
        <v>319159</v>
      </c>
      <c r="U2442" s="26"/>
      <c r="V2442" s="2"/>
      <c r="X2442" s="2">
        <v>6579000000</v>
      </c>
      <c r="Y2442" s="6">
        <v>626858.07631999976</v>
      </c>
      <c r="Z2442" s="38">
        <v>10010</v>
      </c>
      <c r="AA2442" s="4">
        <f>+((DETALLE_GD_1[[#This Row],[VALOR X UN (GD)]]-DETALLE_GD_1[[#This Row],[VALOR PPTO]])/DETALLE_GD_1[[#This Row],[VALOR PPTO]])</f>
        <v>4.8888131106166757E-2</v>
      </c>
      <c r="AB2442" s="2">
        <f>+DETALLE_GD_1[[#This Row],[VALOR PPTO]]*DETALLE_GD_1[[#This Row],[CANTIDAD RECIBIDA]]</f>
        <v>626858.07999999996</v>
      </c>
      <c r="AC2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2" s="3">
        <f>+DETALLE_GD_1[[#This Row],[CANTIDAD SOLICITADA]]-DETALLE_GD_1[[#This Row],[DEVOLUCIÓN]]</f>
        <v>80</v>
      </c>
      <c r="AE2442" s="38" t="str">
        <f>+_xlfn.XLOOKUP(DETALLE_GD_1[[#This Row],[CODIGO]],PRODUCTOS[CODIGO],PRODUCTOS[DESC CORTA],"",0)</f>
        <v>VOLCANITA RF</v>
      </c>
    </row>
    <row r="2443" spans="1:31" x14ac:dyDescent="0.25">
      <c r="A2443" s="1">
        <v>46196</v>
      </c>
      <c r="B2443" s="1">
        <v>46196</v>
      </c>
      <c r="C2443" t="s">
        <v>169</v>
      </c>
      <c r="D2443" s="38">
        <v>6</v>
      </c>
      <c r="E2443" t="s">
        <v>169</v>
      </c>
      <c r="F2443">
        <v>307030</v>
      </c>
      <c r="G2443" t="s">
        <v>64</v>
      </c>
      <c r="H2443" t="s">
        <v>31</v>
      </c>
      <c r="I2443" s="3">
        <v>100</v>
      </c>
      <c r="J2443" s="3"/>
      <c r="K2443" s="26">
        <v>100</v>
      </c>
      <c r="L2443" s="2">
        <v>2730</v>
      </c>
      <c r="M2443" s="2">
        <v>273000</v>
      </c>
      <c r="N2443" s="2">
        <v>273000</v>
      </c>
      <c r="O2443" s="2">
        <v>2729.9989</v>
      </c>
      <c r="P2443" s="2">
        <v>-1.1000000000000001E-3</v>
      </c>
      <c r="Q2443" s="2">
        <v>-0.1144</v>
      </c>
      <c r="R2443" s="4">
        <v>-4.190477945900508E-7</v>
      </c>
      <c r="T2443">
        <v>319159</v>
      </c>
      <c r="U2443" s="26"/>
      <c r="V2443" s="2"/>
      <c r="X2443" s="2">
        <v>6579000000</v>
      </c>
      <c r="Y2443" s="6">
        <v>272999.88560000004</v>
      </c>
      <c r="Z2443" s="38">
        <v>10010</v>
      </c>
      <c r="AA2443" s="4">
        <f>+((DETALLE_GD_1[[#This Row],[VALOR X UN (GD)]]-DETALLE_GD_1[[#This Row],[VALOR PPTO]])/DETALLE_GD_1[[#This Row],[VALOR PPTO]])</f>
        <v>4.0293056526552117E-7</v>
      </c>
      <c r="AB2443" s="2">
        <f>+DETALLE_GD_1[[#This Row],[VALOR PPTO]]*DETALLE_GD_1[[#This Row],[CANTIDAD RECIBIDA]]</f>
        <v>272999.89</v>
      </c>
      <c r="AC2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3" s="3">
        <f>+DETALLE_GD_1[[#This Row],[CANTIDAD SOLICITADA]]-DETALLE_GD_1[[#This Row],[DEVOLUCIÓN]]</f>
        <v>100</v>
      </c>
      <c r="AE2443" s="38" t="str">
        <f>+_xlfn.XLOOKUP(DETALLE_GD_1[[#This Row],[CODIGO]],PRODUCTOS[CODIGO],PRODUCTOS[DESC CORTA],"",0)</f>
        <v>GUARDAPOLVO BLANCO</v>
      </c>
    </row>
    <row r="2444" spans="1:31" x14ac:dyDescent="0.25">
      <c r="A2444" s="1">
        <v>46196</v>
      </c>
      <c r="B2444" s="1">
        <v>46196</v>
      </c>
      <c r="C2444" t="s">
        <v>169</v>
      </c>
      <c r="D2444" s="38">
        <v>6</v>
      </c>
      <c r="E2444" t="s">
        <v>169</v>
      </c>
      <c r="F2444">
        <v>1405006</v>
      </c>
      <c r="G2444" t="s">
        <v>199</v>
      </c>
      <c r="H2444" t="s">
        <v>31</v>
      </c>
      <c r="I2444" s="3">
        <v>500</v>
      </c>
      <c r="J2444" s="3"/>
      <c r="K2444" s="26">
        <v>500</v>
      </c>
      <c r="L2444" s="2">
        <v>35.198</v>
      </c>
      <c r="M2444" s="2">
        <v>17599</v>
      </c>
      <c r="N2444" s="2">
        <v>17599</v>
      </c>
      <c r="O2444" s="2">
        <v>35.197499999999998</v>
      </c>
      <c r="P2444" s="2">
        <v>-5.0000000000000001E-4</v>
      </c>
      <c r="Q2444" s="2">
        <v>-0.27</v>
      </c>
      <c r="R2444" s="4">
        <v>-1.5342016156670612E-5</v>
      </c>
      <c r="T2444">
        <v>319159</v>
      </c>
      <c r="U2444" s="26"/>
      <c r="V2444" s="2"/>
      <c r="X2444" s="2">
        <v>6579000000</v>
      </c>
      <c r="Y2444" s="6">
        <v>17598.730000000003</v>
      </c>
      <c r="Z2444" s="38">
        <v>10010</v>
      </c>
      <c r="AA2444" s="4">
        <f>+((DETALLE_GD_1[[#This Row],[VALOR X UN (GD)]]-DETALLE_GD_1[[#This Row],[VALOR PPTO]])/DETALLE_GD_1[[#This Row],[VALOR PPTO]])</f>
        <v>1.4205554371827188E-5</v>
      </c>
      <c r="AB2444" s="2">
        <f>+DETALLE_GD_1[[#This Row],[VALOR PPTO]]*DETALLE_GD_1[[#This Row],[CANTIDAD RECIBIDA]]</f>
        <v>17598.75</v>
      </c>
      <c r="AC2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4" s="3">
        <f>+DETALLE_GD_1[[#This Row],[CANTIDAD SOLICITADA]]-DETALLE_GD_1[[#This Row],[DEVOLUCIÓN]]</f>
        <v>500</v>
      </c>
      <c r="AE2444" s="38">
        <f>+_xlfn.XLOOKUP(DETALLE_GD_1[[#This Row],[CODIGO]],PRODUCTOS[CODIGO],PRODUCTOS[DESC CORTA],"",0)</f>
        <v>0</v>
      </c>
    </row>
    <row r="2445" spans="1:31" x14ac:dyDescent="0.25">
      <c r="A2445" s="1">
        <v>46196</v>
      </c>
      <c r="B2445" s="1">
        <v>46196</v>
      </c>
      <c r="C2445" t="s">
        <v>169</v>
      </c>
      <c r="D2445" s="38">
        <v>6</v>
      </c>
      <c r="E2445" t="s">
        <v>169</v>
      </c>
      <c r="F2445">
        <v>407170</v>
      </c>
      <c r="G2445" t="s">
        <v>107</v>
      </c>
      <c r="H2445" t="s">
        <v>31</v>
      </c>
      <c r="I2445" s="3">
        <v>500</v>
      </c>
      <c r="J2445" s="3"/>
      <c r="K2445" s="26">
        <v>500</v>
      </c>
      <c r="L2445" s="2">
        <v>4.88</v>
      </c>
      <c r="M2445" s="2">
        <v>2440</v>
      </c>
      <c r="N2445" s="2">
        <v>2440</v>
      </c>
      <c r="O2445" s="2">
        <v>4.8802000000000003</v>
      </c>
      <c r="P2445" s="2">
        <v>2.0000000000000001E-4</v>
      </c>
      <c r="Q2445" s="2">
        <v>0.108</v>
      </c>
      <c r="R2445" s="4">
        <v>4.4260336018094723E-5</v>
      </c>
      <c r="T2445">
        <v>319159</v>
      </c>
      <c r="U2445" s="26"/>
      <c r="V2445" s="2"/>
      <c r="X2445" s="2">
        <v>6579000000</v>
      </c>
      <c r="Y2445" s="6">
        <v>2440.1080000000002</v>
      </c>
      <c r="Z2445" s="38">
        <v>10010</v>
      </c>
      <c r="AA2445" s="4">
        <f>+((DETALLE_GD_1[[#This Row],[VALOR X UN (GD)]]-DETALLE_GD_1[[#This Row],[VALOR PPTO]])/DETALLE_GD_1[[#This Row],[VALOR PPTO]])</f>
        <v>-4.0981926970292619E-5</v>
      </c>
      <c r="AB2445" s="2">
        <f>+DETALLE_GD_1[[#This Row],[VALOR PPTO]]*DETALLE_GD_1[[#This Row],[CANTIDAD RECIBIDA]]</f>
        <v>2440.1000000000004</v>
      </c>
      <c r="AC2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5" s="3">
        <f>+DETALLE_GD_1[[#This Row],[CANTIDAD SOLICITADA]]-DETALLE_GD_1[[#This Row],[DEVOLUCIÓN]]</f>
        <v>500</v>
      </c>
      <c r="AE2445" s="38" t="str">
        <f>+_xlfn.XLOOKUP(DETALLE_GD_1[[#This Row],[CODIGO]],PRODUCTOS[CODIGO],PRODUCTOS[DESC CORTA],"",0)</f>
        <v>TORNILLO CRS 6X2 1/4</v>
      </c>
    </row>
    <row r="2446" spans="1:31" x14ac:dyDescent="0.25">
      <c r="A2446" s="1">
        <v>46196</v>
      </c>
      <c r="B2446" s="1">
        <v>46196</v>
      </c>
      <c r="C2446" t="s">
        <v>169</v>
      </c>
      <c r="D2446" s="38">
        <v>6</v>
      </c>
      <c r="E2446" t="s">
        <v>169</v>
      </c>
      <c r="F2446">
        <v>407115</v>
      </c>
      <c r="G2446" t="s">
        <v>282</v>
      </c>
      <c r="H2446" t="s">
        <v>31</v>
      </c>
      <c r="I2446" s="3">
        <v>100</v>
      </c>
      <c r="J2446" s="3"/>
      <c r="K2446" s="26">
        <v>100</v>
      </c>
      <c r="L2446" s="2">
        <v>547.98</v>
      </c>
      <c r="M2446" s="2">
        <v>54798</v>
      </c>
      <c r="N2446" s="2">
        <v>54798</v>
      </c>
      <c r="O2446" s="2">
        <v>567</v>
      </c>
      <c r="P2446" s="2">
        <v>19.02</v>
      </c>
      <c r="Q2446" s="2">
        <v>1902</v>
      </c>
      <c r="R2446" s="4">
        <v>3.354497354497351E-2</v>
      </c>
      <c r="T2446">
        <v>319159</v>
      </c>
      <c r="U2446" s="26"/>
      <c r="V2446" s="2"/>
      <c r="X2446" s="2">
        <v>6579000000</v>
      </c>
      <c r="Y2446" s="6">
        <v>56700</v>
      </c>
      <c r="Z2446" s="38">
        <v>10010</v>
      </c>
      <c r="AA2446" s="4">
        <f>+((DETALLE_GD_1[[#This Row],[VALOR X UN (GD)]]-DETALLE_GD_1[[#This Row],[VALOR PPTO]])/DETALLE_GD_1[[#This Row],[VALOR PPTO]])</f>
        <v>-3.354497354497351E-2</v>
      </c>
      <c r="AB2446" s="2">
        <f>+DETALLE_GD_1[[#This Row],[VALOR PPTO]]*DETALLE_GD_1[[#This Row],[CANTIDAD RECIBIDA]]</f>
        <v>56700</v>
      </c>
      <c r="AC2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6" s="3">
        <f>+DETALLE_GD_1[[#This Row],[CANTIDAD SOLICITADA]]-DETALLE_GD_1[[#This Row],[DEVOLUCIÓN]]</f>
        <v>100</v>
      </c>
      <c r="AE2446" s="38">
        <f>+_xlfn.XLOOKUP(DETALLE_GD_1[[#This Row],[CODIGO]],PRODUCTOS[CODIGO],PRODUCTOS[DESC CORTA],"",0)</f>
        <v>0</v>
      </c>
    </row>
    <row r="2447" spans="1:31" x14ac:dyDescent="0.25">
      <c r="A2447" s="1">
        <v>46196</v>
      </c>
      <c r="B2447" s="1">
        <v>46196</v>
      </c>
      <c r="C2447" t="s">
        <v>169</v>
      </c>
      <c r="D2447" s="38">
        <v>6</v>
      </c>
      <c r="E2447" t="s">
        <v>169</v>
      </c>
      <c r="F2447">
        <v>4212234</v>
      </c>
      <c r="G2447" t="s">
        <v>54</v>
      </c>
      <c r="H2447" t="s">
        <v>31</v>
      </c>
      <c r="I2447" s="3">
        <v>10</v>
      </c>
      <c r="J2447" s="3"/>
      <c r="K2447" s="26">
        <v>10</v>
      </c>
      <c r="L2447" s="2">
        <v>124909</v>
      </c>
      <c r="M2447" s="2">
        <v>1249090</v>
      </c>
      <c r="N2447" s="2">
        <v>1249090</v>
      </c>
      <c r="O2447" s="2">
        <v>124909</v>
      </c>
      <c r="P2447" s="2">
        <v>0</v>
      </c>
      <c r="Q2447" s="2">
        <v>0</v>
      </c>
      <c r="R2447" s="4">
        <v>0</v>
      </c>
      <c r="T2447">
        <v>319159</v>
      </c>
      <c r="U2447" s="26"/>
      <c r="V2447" s="2"/>
      <c r="X2447" s="2">
        <v>6579000000</v>
      </c>
      <c r="Y2447" s="6">
        <v>1249090</v>
      </c>
      <c r="Z2447" s="38">
        <v>10010</v>
      </c>
      <c r="AA2447" s="4">
        <f>+((DETALLE_GD_1[[#This Row],[VALOR X UN (GD)]]-DETALLE_GD_1[[#This Row],[VALOR PPTO]])/DETALLE_GD_1[[#This Row],[VALOR PPTO]])</f>
        <v>0</v>
      </c>
      <c r="AB2447" s="2">
        <f>+DETALLE_GD_1[[#This Row],[VALOR PPTO]]*DETALLE_GD_1[[#This Row],[CANTIDAD RECIBIDA]]</f>
        <v>1249090</v>
      </c>
      <c r="AC2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7" s="3">
        <f>+DETALLE_GD_1[[#This Row],[CANTIDAD SOLICITADA]]-DETALLE_GD_1[[#This Row],[DEVOLUCIÓN]]</f>
        <v>10</v>
      </c>
      <c r="AE2447" s="38" t="str">
        <f>+_xlfn.XLOOKUP(DETALLE_GD_1[[#This Row],[CODIGO]],PRODUCTOS[CODIGO],PRODUCTOS[DESC CORTA],"",0)</f>
        <v>BARANDA BALCON</v>
      </c>
    </row>
    <row r="2448" spans="1:31" x14ac:dyDescent="0.25">
      <c r="A2448" s="1">
        <v>46196</v>
      </c>
      <c r="B2448" s="1">
        <v>46196</v>
      </c>
      <c r="C2448" t="s">
        <v>169</v>
      </c>
      <c r="D2448" s="38">
        <v>6</v>
      </c>
      <c r="E2448" t="s">
        <v>169</v>
      </c>
      <c r="F2448">
        <v>302054</v>
      </c>
      <c r="G2448" t="s">
        <v>356</v>
      </c>
      <c r="H2448" t="s">
        <v>20</v>
      </c>
      <c r="I2448" s="3">
        <v>1872</v>
      </c>
      <c r="J2448" s="3"/>
      <c r="K2448" s="26">
        <v>1872</v>
      </c>
      <c r="L2448" s="2">
        <v>4551.5106999999998</v>
      </c>
      <c r="M2448" s="2">
        <v>8520428</v>
      </c>
      <c r="N2448" s="2">
        <v>8520428</v>
      </c>
      <c r="O2448" s="2">
        <v>5713</v>
      </c>
      <c r="P2448" s="2">
        <v>1161.4893</v>
      </c>
      <c r="Q2448" s="2">
        <v>2174308</v>
      </c>
      <c r="R2448" s="4">
        <v>0.20330637427609247</v>
      </c>
      <c r="T2448">
        <v>319159</v>
      </c>
      <c r="U2448" s="26"/>
      <c r="V2448" s="2"/>
      <c r="X2448" s="2">
        <v>6579000000</v>
      </c>
      <c r="Y2448" s="6">
        <v>10694736</v>
      </c>
      <c r="Z2448" s="38">
        <v>10010</v>
      </c>
      <c r="AA2448" s="4">
        <f>+((DETALLE_GD_1[[#This Row],[VALOR X UN (GD)]]-DETALLE_GD_1[[#This Row],[VALOR PPTO]])/DETALLE_GD_1[[#This Row],[VALOR PPTO]])</f>
        <v>-0.20330637143357258</v>
      </c>
      <c r="AB2448" s="2">
        <f>+DETALLE_GD_1[[#This Row],[VALOR PPTO]]*DETALLE_GD_1[[#This Row],[CANTIDAD RECIBIDA]]</f>
        <v>10694736</v>
      </c>
      <c r="AC24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8" s="3">
        <f>+DETALLE_GD_1[[#This Row],[CANTIDAD SOLICITADA]]-DETALLE_GD_1[[#This Row],[DEVOLUCIÓN]]</f>
        <v>1872</v>
      </c>
      <c r="AE2448" s="38">
        <f>+_xlfn.XLOOKUP(DETALLE_GD_1[[#This Row],[CODIGO]],PRODUCTOS[CODIGO],PRODUCTOS[DESC CORTA],"",0)</f>
        <v>0</v>
      </c>
    </row>
    <row r="2449" spans="1:31" x14ac:dyDescent="0.25">
      <c r="A2449" s="1">
        <v>46196</v>
      </c>
      <c r="B2449" s="1">
        <v>46196</v>
      </c>
      <c r="C2449" t="s">
        <v>169</v>
      </c>
      <c r="D2449" s="38">
        <v>6</v>
      </c>
      <c r="E2449" t="s">
        <v>169</v>
      </c>
      <c r="F2449">
        <v>404792</v>
      </c>
      <c r="G2449" t="s">
        <v>2003</v>
      </c>
      <c r="H2449" t="s">
        <v>36</v>
      </c>
      <c r="I2449" s="3">
        <v>8</v>
      </c>
      <c r="J2449" s="3"/>
      <c r="K2449" s="26">
        <v>8</v>
      </c>
      <c r="L2449" s="2">
        <v>18351.75</v>
      </c>
      <c r="M2449" s="2">
        <v>146814</v>
      </c>
      <c r="N2449" s="2">
        <v>146814</v>
      </c>
      <c r="O2449" s="2"/>
      <c r="P2449" s="2"/>
      <c r="Q2449" s="2">
        <v>-146814</v>
      </c>
      <c r="R2449" s="4"/>
      <c r="T2449">
        <v>319159</v>
      </c>
      <c r="U2449" s="26"/>
      <c r="V2449" s="2"/>
      <c r="X2449" s="2">
        <v>6579000000</v>
      </c>
      <c r="Y2449" s="6" t="s">
        <v>355</v>
      </c>
      <c r="Z2449" s="38">
        <v>10010</v>
      </c>
      <c r="AA2449" s="4" t="e">
        <f>+((DETALLE_GD_1[[#This Row],[VALOR X UN (GD)]]-DETALLE_GD_1[[#This Row],[VALOR PPTO]])/DETALLE_GD_1[[#This Row],[VALOR PPTO]])</f>
        <v>#DIV/0!</v>
      </c>
      <c r="AB2449" s="2">
        <f>+DETALLE_GD_1[[#This Row],[VALOR PPTO]]*DETALLE_GD_1[[#This Row],[CANTIDAD RECIBIDA]]</f>
        <v>0</v>
      </c>
      <c r="AC2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9" s="3">
        <f>+DETALLE_GD_1[[#This Row],[CANTIDAD SOLICITADA]]-DETALLE_GD_1[[#This Row],[DEVOLUCIÓN]]</f>
        <v>8</v>
      </c>
      <c r="AE2449" s="38" t="str">
        <f>+_xlfn.XLOOKUP(DETALLE_GD_1[[#This Row],[CODIGO]],PRODUCTOS[CODIGO],PRODUCTOS[DESC CORTA],"",0)</f>
        <v/>
      </c>
    </row>
    <row r="2450" spans="1:31" x14ac:dyDescent="0.25">
      <c r="A2450" s="1">
        <v>46196</v>
      </c>
      <c r="B2450" s="1">
        <v>46196</v>
      </c>
      <c r="C2450" t="s">
        <v>169</v>
      </c>
      <c r="D2450" s="38">
        <v>6</v>
      </c>
      <c r="E2450" t="s">
        <v>169</v>
      </c>
      <c r="F2450">
        <v>407011</v>
      </c>
      <c r="G2450" t="s">
        <v>30</v>
      </c>
      <c r="H2450" t="s">
        <v>31</v>
      </c>
      <c r="I2450" s="3">
        <v>4000</v>
      </c>
      <c r="J2450" s="3"/>
      <c r="K2450" s="26">
        <v>4000</v>
      </c>
      <c r="L2450" s="2">
        <v>444.97919999999999</v>
      </c>
      <c r="M2450" s="2">
        <v>1779917</v>
      </c>
      <c r="N2450" s="2">
        <v>1779917</v>
      </c>
      <c r="O2450" s="2">
        <v>473.17520000000002</v>
      </c>
      <c r="P2450" s="2">
        <v>28.196000000000002</v>
      </c>
      <c r="Q2450" s="2">
        <v>112783.96</v>
      </c>
      <c r="R2450" s="4">
        <v>5.9588895648893088E-2</v>
      </c>
      <c r="T2450">
        <v>319159</v>
      </c>
      <c r="U2450" s="26"/>
      <c r="V2450" s="2"/>
      <c r="X2450" s="2">
        <v>6579000000</v>
      </c>
      <c r="Y2450" s="6">
        <v>1892700.9599999995</v>
      </c>
      <c r="Z2450" s="38">
        <v>10010</v>
      </c>
      <c r="AA2450" s="4">
        <f>+((DETALLE_GD_1[[#This Row],[VALOR X UN (GD)]]-DETALLE_GD_1[[#This Row],[VALOR PPTO]])/DETALLE_GD_1[[#This Row],[VALOR PPTO]])</f>
        <v>-5.9588921820078536E-2</v>
      </c>
      <c r="AB2450" s="2">
        <f>+DETALLE_GD_1[[#This Row],[VALOR PPTO]]*DETALLE_GD_1[[#This Row],[CANTIDAD RECIBIDA]]</f>
        <v>1892700.8</v>
      </c>
      <c r="AC24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0" s="3">
        <f>+DETALLE_GD_1[[#This Row],[CANTIDAD SOLICITADA]]-DETALLE_GD_1[[#This Row],[DEVOLUCIÓN]]</f>
        <v>4000</v>
      </c>
      <c r="AE2450" s="38" t="str">
        <f>+_xlfn.XLOOKUP(DETALLE_GD_1[[#This Row],[CODIGO]],PRODUCTOS[CODIGO],PRODUCTOS[DESC CORTA],"",0)</f>
        <v>TORNILLO SIMPSON 6"</v>
      </c>
    </row>
    <row r="2451" spans="1:31" x14ac:dyDescent="0.25">
      <c r="A2451" s="1">
        <v>46196</v>
      </c>
      <c r="B2451" s="1">
        <v>46196</v>
      </c>
      <c r="C2451" t="s">
        <v>169</v>
      </c>
      <c r="D2451" s="38">
        <v>6</v>
      </c>
      <c r="E2451" t="s">
        <v>169</v>
      </c>
      <c r="F2451">
        <v>1901466</v>
      </c>
      <c r="G2451" t="s">
        <v>398</v>
      </c>
      <c r="H2451" t="s">
        <v>26</v>
      </c>
      <c r="I2451" s="3">
        <v>270</v>
      </c>
      <c r="J2451" s="3"/>
      <c r="K2451" s="26">
        <v>270</v>
      </c>
      <c r="L2451" s="2">
        <v>1970</v>
      </c>
      <c r="M2451" s="2">
        <v>531900</v>
      </c>
      <c r="N2451" s="2">
        <v>531900</v>
      </c>
      <c r="O2451" s="2">
        <v>2112.7957999999999</v>
      </c>
      <c r="P2451" s="2">
        <v>142.79580000000001</v>
      </c>
      <c r="Q2451" s="2">
        <v>38554.8603</v>
      </c>
      <c r="R2451" s="4">
        <v>6.7586172037690365E-2</v>
      </c>
      <c r="T2451">
        <v>319159</v>
      </c>
      <c r="U2451" s="26"/>
      <c r="V2451" s="2"/>
      <c r="X2451" s="2">
        <v>6579000000</v>
      </c>
      <c r="Y2451" s="6">
        <v>570454.86033000005</v>
      </c>
      <c r="Z2451" s="38">
        <v>10010</v>
      </c>
      <c r="AA2451" s="4">
        <f>+((DETALLE_GD_1[[#This Row],[VALOR X UN (GD)]]-DETALLE_GD_1[[#This Row],[VALOR PPTO]])/DETALLE_GD_1[[#This Row],[VALOR PPTO]])</f>
        <v>-6.758618130535847E-2</v>
      </c>
      <c r="AB2451" s="2">
        <f>+DETALLE_GD_1[[#This Row],[VALOR PPTO]]*DETALLE_GD_1[[#This Row],[CANTIDAD RECIBIDA]]</f>
        <v>570454.86599999992</v>
      </c>
      <c r="AC2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51" s="3">
        <f>+DETALLE_GD_1[[#This Row],[CANTIDAD SOLICITADA]]-DETALLE_GD_1[[#This Row],[DEVOLUCIÓN]]</f>
        <v>270</v>
      </c>
      <c r="AE2451" s="38" t="str">
        <f>+_xlfn.XLOOKUP(DETALLE_GD_1[[#This Row],[CODIGO]],PRODUCTOS[CODIGO],PRODUCTOS[DESC CORTA],"",0)</f>
        <v>AISLAN DENSIDAD 14 KG/M3 (13.5 M2 X BOLSA) SKU 4000147</v>
      </c>
    </row>
    <row r="2452" spans="1:31" x14ac:dyDescent="0.25">
      <c r="A2452" s="1">
        <v>46196</v>
      </c>
      <c r="B2452" s="1">
        <v>46196</v>
      </c>
      <c r="C2452" t="s">
        <v>169</v>
      </c>
      <c r="D2452" s="38">
        <v>6</v>
      </c>
      <c r="E2452" t="s">
        <v>169</v>
      </c>
      <c r="F2452">
        <v>1901038</v>
      </c>
      <c r="G2452" t="s">
        <v>39</v>
      </c>
      <c r="H2452" t="s">
        <v>26</v>
      </c>
      <c r="I2452" s="3">
        <v>108</v>
      </c>
      <c r="J2452" s="3"/>
      <c r="K2452" s="26">
        <v>108</v>
      </c>
      <c r="L2452" s="2">
        <v>4857.0740999999998</v>
      </c>
      <c r="M2452" s="2">
        <v>524564</v>
      </c>
      <c r="N2452" s="2">
        <v>524564</v>
      </c>
      <c r="O2452" s="2">
        <v>4197.4179000000004</v>
      </c>
      <c r="P2452" s="2">
        <v>-659.65620000000001</v>
      </c>
      <c r="Q2452" s="2">
        <v>-71242.869500000001</v>
      </c>
      <c r="R2452" s="4">
        <v>-0.15715761897403954</v>
      </c>
      <c r="T2452">
        <v>319159</v>
      </c>
      <c r="U2452" s="26"/>
      <c r="V2452" s="2"/>
      <c r="X2452" s="2">
        <v>6579000000</v>
      </c>
      <c r="Y2452" s="6">
        <v>453321.13050000009</v>
      </c>
      <c r="Z2452" s="38">
        <v>10010</v>
      </c>
      <c r="AA2452" s="4">
        <f>+((DETALLE_GD_1[[#This Row],[VALOR X UN (GD)]]-DETALLE_GD_1[[#This Row],[VALOR PPTO]])/DETALLE_GD_1[[#This Row],[VALOR PPTO]])</f>
        <v>0.15715761825859639</v>
      </c>
      <c r="AB2452" s="2">
        <f>+DETALLE_GD_1[[#This Row],[VALOR PPTO]]*DETALLE_GD_1[[#This Row],[CANTIDAD RECIBIDA]]</f>
        <v>453321.13320000004</v>
      </c>
      <c r="AC2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2" s="3">
        <f>+DETALLE_GD_1[[#This Row],[CANTIDAD SOLICITADA]]-DETALLE_GD_1[[#This Row],[DEVOLUCIÓN]]</f>
        <v>108</v>
      </c>
      <c r="AE2452" s="38" t="str">
        <f>+_xlfn.XLOOKUP(DETALLE_GD_1[[#This Row],[CODIGO]],PRODUCTOS[CODIGO],PRODUCTOS[DESC CORTA],"",0)</f>
        <v>AISLAN ROCA 90MM</v>
      </c>
    </row>
    <row r="2453" spans="1:31" x14ac:dyDescent="0.25">
      <c r="A2453" s="1">
        <v>46196</v>
      </c>
      <c r="B2453" s="1">
        <v>46196</v>
      </c>
      <c r="C2453" t="s">
        <v>169</v>
      </c>
      <c r="D2453" s="38">
        <v>6</v>
      </c>
      <c r="E2453" t="s">
        <v>169</v>
      </c>
      <c r="F2453">
        <v>1901086</v>
      </c>
      <c r="G2453" t="s">
        <v>279</v>
      </c>
      <c r="H2453" t="s">
        <v>26</v>
      </c>
      <c r="I2453" s="3">
        <v>162</v>
      </c>
      <c r="J2453" s="3"/>
      <c r="K2453" s="26">
        <v>162</v>
      </c>
      <c r="L2453" s="2">
        <v>3641.0369999999998</v>
      </c>
      <c r="M2453" s="2">
        <v>589848</v>
      </c>
      <c r="N2453" s="2">
        <v>589848</v>
      </c>
      <c r="O2453" s="2">
        <v>3711.587</v>
      </c>
      <c r="P2453" s="2">
        <v>70.55</v>
      </c>
      <c r="Q2453" s="2">
        <v>11429.1006</v>
      </c>
      <c r="R2453" s="4">
        <v>1.9008042431346357E-2</v>
      </c>
      <c r="T2453">
        <v>319159</v>
      </c>
      <c r="U2453" s="26"/>
      <c r="V2453" s="2"/>
      <c r="X2453" s="2">
        <v>6579000000</v>
      </c>
      <c r="Y2453" s="6">
        <v>601277.10064200009</v>
      </c>
      <c r="Z2453" s="38">
        <v>10010</v>
      </c>
      <c r="AA2453" s="4">
        <f>+((DETALLE_GD_1[[#This Row],[VALOR X UN (GD)]]-DETALLE_GD_1[[#This Row],[VALOR PPTO]])/DETALLE_GD_1[[#This Row],[VALOR PPTO]])</f>
        <v>-1.9008041573591077E-2</v>
      </c>
      <c r="AB2453" s="2">
        <f>+DETALLE_GD_1[[#This Row],[VALOR PPTO]]*DETALLE_GD_1[[#This Row],[CANTIDAD RECIBIDA]]</f>
        <v>601277.09400000004</v>
      </c>
      <c r="AC24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3" s="3">
        <f>+DETALLE_GD_1[[#This Row],[CANTIDAD SOLICITADA]]-DETALLE_GD_1[[#This Row],[DEVOLUCIÓN]]</f>
        <v>162</v>
      </c>
      <c r="AE2453" s="38" t="str">
        <f>+_xlfn.XLOOKUP(DETALLE_GD_1[[#This Row],[CODIGO]],PRODUCTOS[CODIGO],PRODUCTOS[DESC CORTA],"",0)</f>
        <v>AISLAN GLASS 140MM</v>
      </c>
    </row>
    <row r="2454" spans="1:31" x14ac:dyDescent="0.25">
      <c r="A2454" s="1">
        <v>46196</v>
      </c>
      <c r="B2454" s="1">
        <v>46196</v>
      </c>
      <c r="C2454" t="s">
        <v>169</v>
      </c>
      <c r="D2454" s="38">
        <v>6</v>
      </c>
      <c r="E2454" t="s">
        <v>169</v>
      </c>
      <c r="F2454">
        <v>1901008</v>
      </c>
      <c r="G2454" t="s">
        <v>278</v>
      </c>
      <c r="H2454" t="s">
        <v>26</v>
      </c>
      <c r="I2454" s="3">
        <v>270</v>
      </c>
      <c r="J2454" s="3"/>
      <c r="K2454" s="26">
        <v>270</v>
      </c>
      <c r="L2454" s="2">
        <v>2100.1185</v>
      </c>
      <c r="M2454" s="2">
        <v>567032</v>
      </c>
      <c r="N2454" s="2">
        <v>567032</v>
      </c>
      <c r="O2454" s="2">
        <v>2112.7957999999999</v>
      </c>
      <c r="P2454" s="2">
        <v>12.677300000000001</v>
      </c>
      <c r="Q2454" s="2">
        <v>3422.8602999999998</v>
      </c>
      <c r="R2454" s="4">
        <v>6.00022993584437E-3</v>
      </c>
      <c r="T2454">
        <v>319159</v>
      </c>
      <c r="U2454" s="26"/>
      <c r="V2454" s="2"/>
      <c r="X2454" s="2">
        <v>6579000000</v>
      </c>
      <c r="Y2454" s="6">
        <v>570454.86033000005</v>
      </c>
      <c r="Z2454" s="38">
        <v>10010</v>
      </c>
      <c r="AA2454" s="4">
        <f>+((DETALLE_GD_1[[#This Row],[VALOR X UN (GD)]]-DETALLE_GD_1[[#This Row],[VALOR PPTO]])/DETALLE_GD_1[[#This Row],[VALOR PPTO]])</f>
        <v>-6.0002485805773715E-3</v>
      </c>
      <c r="AB2454" s="2">
        <f>+DETALLE_GD_1[[#This Row],[VALOR PPTO]]*DETALLE_GD_1[[#This Row],[CANTIDAD RECIBIDA]]</f>
        <v>570454.86599999992</v>
      </c>
      <c r="AC2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4" s="3">
        <f>+DETALLE_GD_1[[#This Row],[CANTIDAD SOLICITADA]]-DETALLE_GD_1[[#This Row],[DEVOLUCIÓN]]</f>
        <v>270</v>
      </c>
      <c r="AE2454" s="38" t="str">
        <f>+_xlfn.XLOOKUP(DETALLE_GD_1[[#This Row],[CODIGO]],PRODUCTOS[CODIGO],PRODUCTOS[DESC CORTA],"",0)</f>
        <v>AISLAN GLASS 90MM</v>
      </c>
    </row>
    <row r="2455" spans="1:31" x14ac:dyDescent="0.25">
      <c r="A2455" s="1">
        <v>46196</v>
      </c>
      <c r="B2455" s="1">
        <v>46196</v>
      </c>
      <c r="C2455" t="s">
        <v>169</v>
      </c>
      <c r="D2455" s="38">
        <v>6</v>
      </c>
      <c r="E2455" t="s">
        <v>169</v>
      </c>
      <c r="F2455">
        <v>302028</v>
      </c>
      <c r="G2455" t="s">
        <v>246</v>
      </c>
      <c r="H2455" t="s">
        <v>20</v>
      </c>
      <c r="I2455" s="3">
        <v>360</v>
      </c>
      <c r="J2455" s="3"/>
      <c r="K2455" s="26">
        <v>360</v>
      </c>
      <c r="L2455" s="2">
        <v>4901.5778</v>
      </c>
      <c r="M2455" s="2">
        <v>1764568</v>
      </c>
      <c r="N2455" s="2">
        <v>1764568</v>
      </c>
      <c r="O2455" s="2">
        <v>5123.8024999999998</v>
      </c>
      <c r="P2455" s="2">
        <v>222.22470000000001</v>
      </c>
      <c r="Q2455" s="2">
        <v>80000.909700000004</v>
      </c>
      <c r="R2455" s="4">
        <v>4.3371060467534688E-2</v>
      </c>
      <c r="T2455">
        <v>319159</v>
      </c>
      <c r="U2455" s="26"/>
      <c r="V2455" s="2"/>
      <c r="X2455" s="2">
        <v>6579000000</v>
      </c>
      <c r="Y2455" s="6">
        <v>1844568.9097200008</v>
      </c>
      <c r="Z2455" s="38">
        <v>10010</v>
      </c>
      <c r="AA2455" s="4">
        <f>+((DETALLE_GD_1[[#This Row],[VALOR X UN (GD)]]-DETALLE_GD_1[[#This Row],[VALOR PPTO]])/DETALLE_GD_1[[#This Row],[VALOR PPTO]])</f>
        <v>-4.337105108949843E-2</v>
      </c>
      <c r="AB2455" s="2">
        <f>+DETALLE_GD_1[[#This Row],[VALOR PPTO]]*DETALLE_GD_1[[#This Row],[CANTIDAD RECIBIDA]]</f>
        <v>1844568.9</v>
      </c>
      <c r="AC2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5" s="3">
        <f>+DETALLE_GD_1[[#This Row],[CANTIDAD SOLICITADA]]-DETALLE_GD_1[[#This Row],[DEVOLUCIÓN]]</f>
        <v>360</v>
      </c>
      <c r="AE2455" s="38" t="str">
        <f>+_xlfn.XLOOKUP(DETALLE_GD_1[[#This Row],[CODIGO]],PRODUCTOS[CODIGO],PRODUCTOS[DESC CORTA],"",0)</f>
        <v>PINO 2X4X320</v>
      </c>
    </row>
    <row r="2456" spans="1:31" x14ac:dyDescent="0.25">
      <c r="A2456" s="1">
        <v>46196</v>
      </c>
      <c r="B2456" s="1">
        <v>46196</v>
      </c>
      <c r="C2456" t="s">
        <v>169</v>
      </c>
      <c r="D2456" s="38">
        <v>6</v>
      </c>
      <c r="E2456" t="s">
        <v>169</v>
      </c>
      <c r="F2456">
        <v>302048</v>
      </c>
      <c r="G2456" t="s">
        <v>126</v>
      </c>
      <c r="H2456" t="s">
        <v>20</v>
      </c>
      <c r="I2456" s="3">
        <v>108</v>
      </c>
      <c r="J2456" s="3"/>
      <c r="K2456" s="26">
        <v>108</v>
      </c>
      <c r="L2456" s="2">
        <v>14163.537</v>
      </c>
      <c r="M2456" s="2">
        <v>1529662</v>
      </c>
      <c r="N2456" s="2">
        <v>1529662</v>
      </c>
      <c r="O2456" s="2">
        <v>13710.695</v>
      </c>
      <c r="P2456" s="2">
        <v>-452.84210000000002</v>
      </c>
      <c r="Q2456" s="2">
        <v>-48906.944199999998</v>
      </c>
      <c r="R2456" s="4">
        <v>-3.3028382392369181E-2</v>
      </c>
      <c r="T2456">
        <v>319159</v>
      </c>
      <c r="U2456" s="26"/>
      <c r="V2456" s="2"/>
      <c r="X2456" s="2">
        <v>6579000000</v>
      </c>
      <c r="Y2456" s="6">
        <v>1480755.0557880001</v>
      </c>
      <c r="Z2456" s="38">
        <v>10010</v>
      </c>
      <c r="AA2456" s="4">
        <f>+((DETALLE_GD_1[[#This Row],[VALOR X UN (GD)]]-DETALLE_GD_1[[#This Row],[VALOR PPTO]])/DETALLE_GD_1[[#This Row],[VALOR PPTO]])</f>
        <v>3.3028376752600841E-2</v>
      </c>
      <c r="AB2456" s="2">
        <f>+DETALLE_GD_1[[#This Row],[VALOR PPTO]]*DETALLE_GD_1[[#This Row],[CANTIDAD RECIBIDA]]</f>
        <v>1480755.06</v>
      </c>
      <c r="AC2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6" s="3">
        <f>+DETALLE_GD_1[[#This Row],[CANTIDAD SOLICITADA]]-DETALLE_GD_1[[#This Row],[DEVOLUCIÓN]]</f>
        <v>108</v>
      </c>
      <c r="AE2456" s="38" t="str">
        <f>+_xlfn.XLOOKUP(DETALLE_GD_1[[#This Row],[CODIGO]],PRODUCTOS[CODIGO],PRODUCTOS[DESC CORTA],"",0)</f>
        <v>PINO 2X8X4</v>
      </c>
    </row>
    <row r="2457" spans="1:31" x14ac:dyDescent="0.25">
      <c r="A2457" s="1">
        <v>46196</v>
      </c>
      <c r="B2457" s="1">
        <v>46196</v>
      </c>
      <c r="C2457" t="s">
        <v>169</v>
      </c>
      <c r="D2457" s="38">
        <v>6</v>
      </c>
      <c r="E2457" t="s">
        <v>169</v>
      </c>
      <c r="F2457">
        <v>307096</v>
      </c>
      <c r="G2457" t="s">
        <v>249</v>
      </c>
      <c r="H2457" t="s">
        <v>137</v>
      </c>
      <c r="I2457" s="3">
        <v>200</v>
      </c>
      <c r="J2457" s="3"/>
      <c r="K2457" s="26">
        <v>200</v>
      </c>
      <c r="L2457" s="2">
        <v>2027.5350000000001</v>
      </c>
      <c r="M2457" s="2">
        <v>405507</v>
      </c>
      <c r="N2457" s="2">
        <v>405507</v>
      </c>
      <c r="O2457" s="2">
        <v>2095.3501000000001</v>
      </c>
      <c r="P2457" s="2">
        <v>67.815100000000001</v>
      </c>
      <c r="Q2457" s="2">
        <v>13563.025799999999</v>
      </c>
      <c r="R2457" s="4">
        <v>3.2364581012703161E-2</v>
      </c>
      <c r="T2457">
        <v>319159</v>
      </c>
      <c r="U2457" s="26"/>
      <c r="V2457" s="2"/>
      <c r="X2457" s="2">
        <v>6579000000</v>
      </c>
      <c r="Y2457" s="6">
        <v>419070.02579999965</v>
      </c>
      <c r="Z2457" s="38">
        <v>10010</v>
      </c>
      <c r="AA2457" s="4">
        <f>+((DETALLE_GD_1[[#This Row],[VALOR X UN (GD)]]-DETALLE_GD_1[[#This Row],[VALOR PPTO]])/DETALLE_GD_1[[#This Row],[VALOR PPTO]])</f>
        <v>-3.2364567620465919E-2</v>
      </c>
      <c r="AB2457" s="2">
        <f>+DETALLE_GD_1[[#This Row],[VALOR PPTO]]*DETALLE_GD_1[[#This Row],[CANTIDAD RECIBIDA]]</f>
        <v>419070.02</v>
      </c>
      <c r="AC24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7" s="3">
        <f>+DETALLE_GD_1[[#This Row],[CANTIDAD SOLICITADA]]-DETALLE_GD_1[[#This Row],[DEVOLUCIÓN]]</f>
        <v>200</v>
      </c>
      <c r="AE2457" s="38" t="str">
        <f>+_xlfn.XLOOKUP(DETALLE_GD_1[[#This Row],[CODIGO]],PRODUCTOS[CODIGO],PRODUCTOS[DESC CORTA],"",0)</f>
        <v>CUBREJUNTA</v>
      </c>
    </row>
    <row r="2458" spans="1:31" x14ac:dyDescent="0.25">
      <c r="A2458" s="1">
        <v>46196</v>
      </c>
      <c r="B2458" s="1">
        <v>46196</v>
      </c>
      <c r="C2458" t="s">
        <v>169</v>
      </c>
      <c r="D2458" s="38">
        <v>6</v>
      </c>
      <c r="E2458" t="s">
        <v>169</v>
      </c>
      <c r="F2458">
        <v>701043</v>
      </c>
      <c r="G2458" t="s">
        <v>197</v>
      </c>
      <c r="H2458" t="s">
        <v>18</v>
      </c>
      <c r="I2458" s="3">
        <v>120</v>
      </c>
      <c r="J2458" s="3"/>
      <c r="K2458" s="26">
        <v>120</v>
      </c>
      <c r="L2458" s="2">
        <v>22884.5167</v>
      </c>
      <c r="M2458" s="2">
        <v>2746142</v>
      </c>
      <c r="N2458" s="2">
        <v>2746142</v>
      </c>
      <c r="O2458" s="2">
        <v>22146.362799999999</v>
      </c>
      <c r="P2458" s="2">
        <v>-738.15390000000002</v>
      </c>
      <c r="Q2458" s="2">
        <v>-88578.467399999994</v>
      </c>
      <c r="R2458" s="4">
        <v>-3.3330705464642972E-2</v>
      </c>
      <c r="T2458">
        <v>319159</v>
      </c>
      <c r="U2458" s="26"/>
      <c r="V2458" s="2"/>
      <c r="X2458" s="2">
        <v>6579000000</v>
      </c>
      <c r="Y2458" s="6">
        <v>2657563.5326399999</v>
      </c>
      <c r="Z2458" s="38">
        <v>10010</v>
      </c>
      <c r="AA2458" s="4">
        <f>+((DETALLE_GD_1[[#This Row],[VALOR X UN (GD)]]-DETALLE_GD_1[[#This Row],[VALOR PPTO]])/DETALLE_GD_1[[#This Row],[VALOR PPTO]])</f>
        <v>3.3330705663324599E-2</v>
      </c>
      <c r="AB2458" s="2">
        <f>+DETALLE_GD_1[[#This Row],[VALOR PPTO]]*DETALLE_GD_1[[#This Row],[CANTIDAD RECIBIDA]]</f>
        <v>2657563.5359999998</v>
      </c>
      <c r="AC24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8" s="3">
        <f>+DETALLE_GD_1[[#This Row],[CANTIDAD SOLICITADA]]-DETALLE_GD_1[[#This Row],[DEVOLUCIÓN]]</f>
        <v>120</v>
      </c>
      <c r="AE2458" s="38" t="str">
        <f>+_xlfn.XLOOKUP(DETALLE_GD_1[[#This Row],[CODIGO]],PRODUCTOS[CODIGO],PRODUCTOS[DESC CORTA],"",0)</f>
        <v>VOLCANITA EMPAPELADA CIELO</v>
      </c>
    </row>
    <row r="2459" spans="1:31" x14ac:dyDescent="0.25">
      <c r="A2459" s="1">
        <v>46196</v>
      </c>
      <c r="B2459" s="1">
        <v>46196</v>
      </c>
      <c r="C2459" t="s">
        <v>169</v>
      </c>
      <c r="D2459" s="38">
        <v>6</v>
      </c>
      <c r="E2459" t="s">
        <v>169</v>
      </c>
      <c r="F2459">
        <v>1902013</v>
      </c>
      <c r="G2459" t="s">
        <v>338</v>
      </c>
      <c r="H2459" t="s">
        <v>47</v>
      </c>
      <c r="I2459" s="3">
        <v>40</v>
      </c>
      <c r="J2459" s="3"/>
      <c r="K2459" s="26">
        <v>40</v>
      </c>
      <c r="L2459" s="2">
        <v>41556</v>
      </c>
      <c r="M2459" s="2">
        <v>1662240</v>
      </c>
      <c r="N2459" s="2">
        <v>1662240</v>
      </c>
      <c r="O2459" s="2">
        <v>29779</v>
      </c>
      <c r="P2459" s="2">
        <v>-11777</v>
      </c>
      <c r="Q2459" s="2">
        <v>-471080</v>
      </c>
      <c r="R2459" s="4">
        <v>-0.39548003626716816</v>
      </c>
      <c r="T2459">
        <v>319159</v>
      </c>
      <c r="U2459" s="26"/>
      <c r="V2459" s="2"/>
      <c r="X2459" s="2">
        <v>6579000000</v>
      </c>
      <c r="Y2459" s="6">
        <v>1191160</v>
      </c>
      <c r="Z2459" s="38">
        <v>10010</v>
      </c>
      <c r="AA2459" s="4">
        <f>+((DETALLE_GD_1[[#This Row],[VALOR X UN (GD)]]-DETALLE_GD_1[[#This Row],[VALOR PPTO]])/DETALLE_GD_1[[#This Row],[VALOR PPTO]])</f>
        <v>0.39548003626716816</v>
      </c>
      <c r="AB2459" s="2">
        <f>+DETALLE_GD_1[[#This Row],[VALOR PPTO]]*DETALLE_GD_1[[#This Row],[CANTIDAD RECIBIDA]]</f>
        <v>1191160</v>
      </c>
      <c r="AC24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9" s="3">
        <f>+DETALLE_GD_1[[#This Row],[CANTIDAD SOLICITADA]]-DETALLE_GD_1[[#This Row],[DEVOLUCIÓN]]</f>
        <v>40</v>
      </c>
      <c r="AE2459" s="38">
        <f>+_xlfn.XLOOKUP(DETALLE_GD_1[[#This Row],[CODIGO]],PRODUCTOS[CODIGO],PRODUCTOS[DESC CORTA],"",0)</f>
        <v>0</v>
      </c>
    </row>
    <row r="2460" spans="1:31" x14ac:dyDescent="0.25">
      <c r="A2460" s="1">
        <v>46196</v>
      </c>
      <c r="B2460" s="1">
        <v>46196</v>
      </c>
      <c r="C2460" t="s">
        <v>169</v>
      </c>
      <c r="D2460" s="38">
        <v>6</v>
      </c>
      <c r="E2460" t="s">
        <v>169</v>
      </c>
      <c r="F2460">
        <v>412630</v>
      </c>
      <c r="G2460" t="s">
        <v>284</v>
      </c>
      <c r="H2460" t="s">
        <v>31</v>
      </c>
      <c r="I2460" s="3">
        <v>10</v>
      </c>
      <c r="J2460" s="3"/>
      <c r="K2460" s="26">
        <v>10</v>
      </c>
      <c r="L2460" s="2">
        <v>150300</v>
      </c>
      <c r="M2460" s="2">
        <v>1503000</v>
      </c>
      <c r="N2460" s="2">
        <v>1503000</v>
      </c>
      <c r="O2460" s="2">
        <v>148200</v>
      </c>
      <c r="P2460" s="2">
        <v>-2100</v>
      </c>
      <c r="Q2460" s="2">
        <v>-21000</v>
      </c>
      <c r="R2460" s="4">
        <v>-1.417004048582996E-2</v>
      </c>
      <c r="T2460">
        <v>319159</v>
      </c>
      <c r="U2460" s="26"/>
      <c r="V2460" s="2"/>
      <c r="X2460" s="2">
        <v>6579000000</v>
      </c>
      <c r="Y2460" s="6">
        <v>1482000</v>
      </c>
      <c r="Z2460" s="38">
        <v>10010</v>
      </c>
      <c r="AA2460" s="4">
        <f>+((DETALLE_GD_1[[#This Row],[VALOR X UN (GD)]]-DETALLE_GD_1[[#This Row],[VALOR PPTO]])/DETALLE_GD_1[[#This Row],[VALOR PPTO]])</f>
        <v>1.417004048582996E-2</v>
      </c>
      <c r="AB2460" s="2">
        <f>+DETALLE_GD_1[[#This Row],[VALOR PPTO]]*DETALLE_GD_1[[#This Row],[CANTIDAD RECIBIDA]]</f>
        <v>1482000</v>
      </c>
      <c r="AC2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0" s="3">
        <f>+DETALLE_GD_1[[#This Row],[CANTIDAD SOLICITADA]]-DETALLE_GD_1[[#This Row],[DEVOLUCIÓN]]</f>
        <v>10</v>
      </c>
      <c r="AE2460" s="38">
        <f>+_xlfn.XLOOKUP(DETALLE_GD_1[[#This Row],[CODIGO]],PRODUCTOS[CODIGO],PRODUCTOS[DESC CORTA],"",0)</f>
        <v>0</v>
      </c>
    </row>
    <row r="2461" spans="1:31" hidden="1" x14ac:dyDescent="0.25">
      <c r="A2461" s="1"/>
      <c r="B2461" s="1"/>
      <c r="D2461" s="38"/>
      <c r="I2461" s="3"/>
      <c r="J2461" s="3"/>
      <c r="K2461" s="26"/>
      <c r="L2461" s="2"/>
      <c r="M2461" s="2"/>
      <c r="N2461" s="2"/>
      <c r="O2461" s="2"/>
      <c r="P2461" s="2"/>
      <c r="Q2461" s="2"/>
      <c r="R2461" s="4"/>
      <c r="U2461" s="26"/>
      <c r="V2461" s="2"/>
      <c r="X2461" s="2"/>
      <c r="Y2461" s="6"/>
      <c r="AA2461" s="4" t="e">
        <f>+((DETALLE_GD_1[[#This Row],[VALOR X UN (GD)]]-DETALLE_GD_1[[#This Row],[VALOR PPTO]])/DETALLE_GD_1[[#This Row],[VALOR PPTO]])</f>
        <v>#DIV/0!</v>
      </c>
      <c r="AB2461" s="2">
        <f>+DETALLE_GD_1[[#This Row],[VALOR PPTO]]*DETALLE_GD_1[[#This Row],[CANTIDAD RECIBIDA]]</f>
        <v>0</v>
      </c>
      <c r="AC2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1" s="3">
        <f>+DETALLE_GD_1[[#This Row],[CANTIDAD SOLICITADA]]-DETALLE_GD_1[[#This Row],[DEVOLUCIÓN]]</f>
        <v>0</v>
      </c>
      <c r="AE2461" s="38" t="str">
        <f>+_xlfn.XLOOKUP(DETALLE_GD_1[[#This Row],[CODIGO]],PRODUCTOS[CODIGO],PRODUCTOS[DESC CORTA],"",0)</f>
        <v/>
      </c>
    </row>
    <row r="2462" spans="1:31" hidden="1" x14ac:dyDescent="0.25">
      <c r="A2462" s="1"/>
      <c r="B2462" s="1"/>
      <c r="D2462" s="38"/>
      <c r="I2462" s="3"/>
      <c r="J2462" s="3"/>
      <c r="K2462" s="26"/>
      <c r="L2462" s="2"/>
      <c r="M2462" s="2"/>
      <c r="N2462" s="2"/>
      <c r="O2462" s="2"/>
      <c r="P2462" s="2"/>
      <c r="Q2462" s="2"/>
      <c r="R2462" s="4"/>
      <c r="U2462" s="26"/>
      <c r="V2462" s="2"/>
      <c r="X2462" s="2"/>
      <c r="Y2462" s="6"/>
      <c r="AA2462" s="4" t="e">
        <f>+((DETALLE_GD_1[[#This Row],[VALOR X UN (GD)]]-DETALLE_GD_1[[#This Row],[VALOR PPTO]])/DETALLE_GD_1[[#This Row],[VALOR PPTO]])</f>
        <v>#DIV/0!</v>
      </c>
      <c r="AB2462" s="2">
        <f>+DETALLE_GD_1[[#This Row],[VALOR PPTO]]*DETALLE_GD_1[[#This Row],[CANTIDAD RECIBIDA]]</f>
        <v>0</v>
      </c>
      <c r="AC2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2" s="3">
        <f>+DETALLE_GD_1[[#This Row],[CANTIDAD SOLICITADA]]-DETALLE_GD_1[[#This Row],[DEVOLUCIÓN]]</f>
        <v>0</v>
      </c>
      <c r="AE2462" s="38" t="str">
        <f>+_xlfn.XLOOKUP(DETALLE_GD_1[[#This Row],[CODIGO]],PRODUCTOS[CODIGO],PRODUCTOS[DESC CORTA],"",0)</f>
        <v/>
      </c>
    </row>
    <row r="2463" spans="1:31" hidden="1" x14ac:dyDescent="0.25">
      <c r="A2463" s="1"/>
      <c r="B2463" s="1"/>
      <c r="D2463" s="38"/>
      <c r="I2463" s="3"/>
      <c r="J2463" s="3"/>
      <c r="K2463" s="26"/>
      <c r="L2463" s="2"/>
      <c r="M2463" s="2"/>
      <c r="N2463" s="2"/>
      <c r="O2463" s="2"/>
      <c r="P2463" s="2"/>
      <c r="Q2463" s="2"/>
      <c r="R2463" s="4"/>
      <c r="U2463" s="26"/>
      <c r="V2463" s="2"/>
      <c r="X2463" s="2"/>
      <c r="Y2463" s="6"/>
      <c r="AA2463" s="4" t="e">
        <f>+((DETALLE_GD_1[[#This Row],[VALOR X UN (GD)]]-DETALLE_GD_1[[#This Row],[VALOR PPTO]])/DETALLE_GD_1[[#This Row],[VALOR PPTO]])</f>
        <v>#DIV/0!</v>
      </c>
      <c r="AB2463" s="2">
        <f>+DETALLE_GD_1[[#This Row],[VALOR PPTO]]*DETALLE_GD_1[[#This Row],[CANTIDAD RECIBIDA]]</f>
        <v>0</v>
      </c>
      <c r="AC2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3" s="3">
        <f>+DETALLE_GD_1[[#This Row],[CANTIDAD SOLICITADA]]-DETALLE_GD_1[[#This Row],[DEVOLUCIÓN]]</f>
        <v>0</v>
      </c>
      <c r="AE2463" s="38" t="str">
        <f>+_xlfn.XLOOKUP(DETALLE_GD_1[[#This Row],[CODIGO]],PRODUCTOS[CODIGO],PRODUCTOS[DESC CORTA],"",0)</f>
        <v/>
      </c>
    </row>
    <row r="2464" spans="1:31" hidden="1" x14ac:dyDescent="0.25">
      <c r="A2464" s="1"/>
      <c r="B2464" s="1"/>
      <c r="D2464" s="38"/>
      <c r="I2464" s="3"/>
      <c r="J2464" s="3"/>
      <c r="K2464" s="26"/>
      <c r="L2464" s="2"/>
      <c r="M2464" s="2"/>
      <c r="N2464" s="2"/>
      <c r="O2464" s="2"/>
      <c r="P2464" s="2"/>
      <c r="Q2464" s="2"/>
      <c r="R2464" s="4"/>
      <c r="U2464" s="26"/>
      <c r="V2464" s="2"/>
      <c r="X2464" s="2"/>
      <c r="Y2464" s="6"/>
      <c r="AA2464" s="4" t="e">
        <f>+((DETALLE_GD_1[[#This Row],[VALOR X UN (GD)]]-DETALLE_GD_1[[#This Row],[VALOR PPTO]])/DETALLE_GD_1[[#This Row],[VALOR PPTO]])</f>
        <v>#DIV/0!</v>
      </c>
      <c r="AB2464" s="2">
        <f>+DETALLE_GD_1[[#This Row],[VALOR PPTO]]*DETALLE_GD_1[[#This Row],[CANTIDAD RECIBIDA]]</f>
        <v>0</v>
      </c>
      <c r="AC24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4" s="3">
        <f>+DETALLE_GD_1[[#This Row],[CANTIDAD SOLICITADA]]-DETALLE_GD_1[[#This Row],[DEVOLUCIÓN]]</f>
        <v>0</v>
      </c>
      <c r="AE2464" s="38" t="str">
        <f>+_xlfn.XLOOKUP(DETALLE_GD_1[[#This Row],[CODIGO]],PRODUCTOS[CODIGO],PRODUCTOS[DESC CORTA],"",0)</f>
        <v/>
      </c>
    </row>
    <row r="2465" spans="1:31" hidden="1" x14ac:dyDescent="0.25">
      <c r="A2465" s="1"/>
      <c r="B2465" s="1"/>
      <c r="D2465" s="38"/>
      <c r="I2465" s="3"/>
      <c r="J2465" s="3"/>
      <c r="K2465" s="26"/>
      <c r="L2465" s="2"/>
      <c r="M2465" s="2"/>
      <c r="N2465" s="2"/>
      <c r="O2465" s="2"/>
      <c r="P2465" s="2"/>
      <c r="Q2465" s="2"/>
      <c r="R2465" s="4"/>
      <c r="U2465" s="26"/>
      <c r="V2465" s="2"/>
      <c r="X2465" s="2"/>
      <c r="Y2465" s="6"/>
      <c r="AA2465" s="4" t="e">
        <f>+((DETALLE_GD_1[[#This Row],[VALOR X UN (GD)]]-DETALLE_GD_1[[#This Row],[VALOR PPTO]])/DETALLE_GD_1[[#This Row],[VALOR PPTO]])</f>
        <v>#DIV/0!</v>
      </c>
      <c r="AB2465" s="2">
        <f>+DETALLE_GD_1[[#This Row],[VALOR PPTO]]*DETALLE_GD_1[[#This Row],[CANTIDAD RECIBIDA]]</f>
        <v>0</v>
      </c>
      <c r="AC2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5" s="3">
        <f>+DETALLE_GD_1[[#This Row],[CANTIDAD SOLICITADA]]-DETALLE_GD_1[[#This Row],[DEVOLUCIÓN]]</f>
        <v>0</v>
      </c>
      <c r="AE2465" s="38" t="str">
        <f>+_xlfn.XLOOKUP(DETALLE_GD_1[[#This Row],[CODIGO]],PRODUCTOS[CODIGO],PRODUCTOS[DESC CORTA],"",0)</f>
        <v/>
      </c>
    </row>
    <row r="2466" spans="1:31" hidden="1" x14ac:dyDescent="0.25">
      <c r="A2466" s="1"/>
      <c r="B2466" s="1"/>
      <c r="D2466" s="38"/>
      <c r="I2466" s="3"/>
      <c r="J2466" s="3"/>
      <c r="K2466" s="26"/>
      <c r="L2466" s="2"/>
      <c r="M2466" s="2"/>
      <c r="N2466" s="2"/>
      <c r="O2466" s="2"/>
      <c r="P2466" s="2"/>
      <c r="Q2466" s="2"/>
      <c r="R2466" s="4"/>
      <c r="U2466" s="26"/>
      <c r="V2466" s="2"/>
      <c r="X2466" s="2"/>
      <c r="Y2466" s="6"/>
      <c r="AA2466" s="4" t="e">
        <f>+((DETALLE_GD_1[[#This Row],[VALOR X UN (GD)]]-DETALLE_GD_1[[#This Row],[VALOR PPTO]])/DETALLE_GD_1[[#This Row],[VALOR PPTO]])</f>
        <v>#DIV/0!</v>
      </c>
      <c r="AB2466" s="2">
        <f>+DETALLE_GD_1[[#This Row],[VALOR PPTO]]*DETALLE_GD_1[[#This Row],[CANTIDAD RECIBIDA]]</f>
        <v>0</v>
      </c>
      <c r="AC2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6" s="3">
        <f>+DETALLE_GD_1[[#This Row],[CANTIDAD SOLICITADA]]-DETALLE_GD_1[[#This Row],[DEVOLUCIÓN]]</f>
        <v>0</v>
      </c>
      <c r="AE2466" s="38" t="str">
        <f>+_xlfn.XLOOKUP(DETALLE_GD_1[[#This Row],[CODIGO]],PRODUCTOS[CODIGO],PRODUCTOS[DESC CORTA],"",0)</f>
        <v/>
      </c>
    </row>
    <row r="2467" spans="1:31" hidden="1" x14ac:dyDescent="0.25">
      <c r="A2467" s="1"/>
      <c r="B2467" s="1"/>
      <c r="D2467" s="38"/>
      <c r="I2467" s="3"/>
      <c r="J2467" s="3"/>
      <c r="K2467" s="26"/>
      <c r="L2467" s="2"/>
      <c r="M2467" s="2"/>
      <c r="N2467" s="2"/>
      <c r="O2467" s="2"/>
      <c r="P2467" s="2"/>
      <c r="Q2467" s="2"/>
      <c r="R2467" s="4"/>
      <c r="U2467" s="26"/>
      <c r="V2467" s="2"/>
      <c r="X2467" s="2"/>
      <c r="Y2467" s="6"/>
      <c r="AA2467" s="4" t="e">
        <f>+((DETALLE_GD_1[[#This Row],[VALOR X UN (GD)]]-DETALLE_GD_1[[#This Row],[VALOR PPTO]])/DETALLE_GD_1[[#This Row],[VALOR PPTO]])</f>
        <v>#DIV/0!</v>
      </c>
      <c r="AB2467" s="2">
        <f>+DETALLE_GD_1[[#This Row],[VALOR PPTO]]*DETALLE_GD_1[[#This Row],[CANTIDAD RECIBIDA]]</f>
        <v>0</v>
      </c>
      <c r="AC2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7" s="3">
        <f>+DETALLE_GD_1[[#This Row],[CANTIDAD SOLICITADA]]-DETALLE_GD_1[[#This Row],[DEVOLUCIÓN]]</f>
        <v>0</v>
      </c>
      <c r="AE2467" s="38" t="str">
        <f>+_xlfn.XLOOKUP(DETALLE_GD_1[[#This Row],[CODIGO]],PRODUCTOS[CODIGO],PRODUCTOS[DESC CORTA],"",0)</f>
        <v/>
      </c>
    </row>
    <row r="2468" spans="1:31" hidden="1" x14ac:dyDescent="0.25">
      <c r="A2468" s="1"/>
      <c r="B2468" s="1"/>
      <c r="D2468" s="38"/>
      <c r="I2468" s="3"/>
      <c r="J2468" s="3"/>
      <c r="K2468" s="26"/>
      <c r="L2468" s="2"/>
      <c r="M2468" s="2"/>
      <c r="N2468" s="2"/>
      <c r="O2468" s="2"/>
      <c r="P2468" s="2"/>
      <c r="Q2468" s="2"/>
      <c r="R2468" s="4"/>
      <c r="U2468" s="26"/>
      <c r="V2468" s="2"/>
      <c r="X2468" s="2"/>
      <c r="Y2468" s="6"/>
      <c r="AA2468" s="4" t="e">
        <f>+((DETALLE_GD_1[[#This Row],[VALOR X UN (GD)]]-DETALLE_GD_1[[#This Row],[VALOR PPTO]])/DETALLE_GD_1[[#This Row],[VALOR PPTO]])</f>
        <v>#DIV/0!</v>
      </c>
      <c r="AB2468" s="2">
        <f>+DETALLE_GD_1[[#This Row],[VALOR PPTO]]*DETALLE_GD_1[[#This Row],[CANTIDAD RECIBIDA]]</f>
        <v>0</v>
      </c>
      <c r="AC2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8" s="3">
        <f>+DETALLE_GD_1[[#This Row],[CANTIDAD SOLICITADA]]-DETALLE_GD_1[[#This Row],[DEVOLUCIÓN]]</f>
        <v>0</v>
      </c>
      <c r="AE2468" s="38" t="str">
        <f>+_xlfn.XLOOKUP(DETALLE_GD_1[[#This Row],[CODIGO]],PRODUCTOS[CODIGO],PRODUCTOS[DESC CORTA],"",0)</f>
        <v/>
      </c>
    </row>
    <row r="2469" spans="1:31" hidden="1" x14ac:dyDescent="0.25">
      <c r="A2469" s="1"/>
      <c r="B2469" s="1"/>
      <c r="D2469" s="38"/>
      <c r="I2469" s="3"/>
      <c r="J2469" s="3"/>
      <c r="K2469" s="26"/>
      <c r="L2469" s="2"/>
      <c r="M2469" s="2"/>
      <c r="N2469" s="2"/>
      <c r="O2469" s="2"/>
      <c r="P2469" s="2"/>
      <c r="Q2469" s="2"/>
      <c r="R2469" s="4"/>
      <c r="U2469" s="26"/>
      <c r="V2469" s="2"/>
      <c r="X2469" s="2"/>
      <c r="Y2469" s="6"/>
      <c r="AA2469" s="4" t="e">
        <f>+((DETALLE_GD_1[[#This Row],[VALOR X UN (GD)]]-DETALLE_GD_1[[#This Row],[VALOR PPTO]])/DETALLE_GD_1[[#This Row],[VALOR PPTO]])</f>
        <v>#DIV/0!</v>
      </c>
      <c r="AB2469" s="2">
        <f>+DETALLE_GD_1[[#This Row],[VALOR PPTO]]*DETALLE_GD_1[[#This Row],[CANTIDAD RECIBIDA]]</f>
        <v>0</v>
      </c>
      <c r="AC2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9" s="3">
        <f>+DETALLE_GD_1[[#This Row],[CANTIDAD SOLICITADA]]-DETALLE_GD_1[[#This Row],[DEVOLUCIÓN]]</f>
        <v>0</v>
      </c>
      <c r="AE2469" s="38" t="str">
        <f>+_xlfn.XLOOKUP(DETALLE_GD_1[[#This Row],[CODIGO]],PRODUCTOS[CODIGO],PRODUCTOS[DESC CORTA],"",0)</f>
        <v/>
      </c>
    </row>
    <row r="2470" spans="1:31" hidden="1" x14ac:dyDescent="0.25">
      <c r="A2470" s="1"/>
      <c r="B2470" s="1"/>
      <c r="D2470" s="38"/>
      <c r="I2470" s="3"/>
      <c r="J2470" s="3"/>
      <c r="K2470" s="26"/>
      <c r="L2470" s="2"/>
      <c r="M2470" s="2"/>
      <c r="N2470" s="2"/>
      <c r="O2470" s="2"/>
      <c r="P2470" s="2"/>
      <c r="Q2470" s="2"/>
      <c r="R2470" s="4"/>
      <c r="U2470" s="26"/>
      <c r="V2470" s="2"/>
      <c r="X2470" s="2"/>
      <c r="Y2470" s="6"/>
      <c r="AA2470" s="4" t="e">
        <f>+((DETALLE_GD_1[[#This Row],[VALOR X UN (GD)]]-DETALLE_GD_1[[#This Row],[VALOR PPTO]])/DETALLE_GD_1[[#This Row],[VALOR PPTO]])</f>
        <v>#DIV/0!</v>
      </c>
      <c r="AB2470" s="2">
        <f>+DETALLE_GD_1[[#This Row],[VALOR PPTO]]*DETALLE_GD_1[[#This Row],[CANTIDAD RECIBIDA]]</f>
        <v>0</v>
      </c>
      <c r="AC2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0" s="3">
        <f>+DETALLE_GD_1[[#This Row],[CANTIDAD SOLICITADA]]-DETALLE_GD_1[[#This Row],[DEVOLUCIÓN]]</f>
        <v>0</v>
      </c>
      <c r="AE2470" s="38" t="str">
        <f>+_xlfn.XLOOKUP(DETALLE_GD_1[[#This Row],[CODIGO]],PRODUCTOS[CODIGO],PRODUCTOS[DESC CORTA],"",0)</f>
        <v/>
      </c>
    </row>
    <row r="2471" spans="1:31" hidden="1" x14ac:dyDescent="0.25">
      <c r="A2471" s="1"/>
      <c r="B2471" s="1"/>
      <c r="D2471" s="38"/>
      <c r="I2471" s="3"/>
      <c r="J2471" s="3"/>
      <c r="K2471" s="26"/>
      <c r="L2471" s="2"/>
      <c r="M2471" s="2"/>
      <c r="N2471" s="2"/>
      <c r="O2471" s="2"/>
      <c r="P2471" s="2"/>
      <c r="Q2471" s="2"/>
      <c r="R2471" s="4"/>
      <c r="U2471" s="26"/>
      <c r="V2471" s="2"/>
      <c r="X2471" s="2"/>
      <c r="Y2471" s="6"/>
      <c r="AA2471" s="4" t="e">
        <f>+((DETALLE_GD_1[[#This Row],[VALOR X UN (GD)]]-DETALLE_GD_1[[#This Row],[VALOR PPTO]])/DETALLE_GD_1[[#This Row],[VALOR PPTO]])</f>
        <v>#DIV/0!</v>
      </c>
      <c r="AB2471" s="2">
        <f>+DETALLE_GD_1[[#This Row],[VALOR PPTO]]*DETALLE_GD_1[[#This Row],[CANTIDAD RECIBIDA]]</f>
        <v>0</v>
      </c>
      <c r="AC2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1" s="3">
        <f>+DETALLE_GD_1[[#This Row],[CANTIDAD SOLICITADA]]-DETALLE_GD_1[[#This Row],[DEVOLUCIÓN]]</f>
        <v>0</v>
      </c>
      <c r="AE2471" s="38" t="str">
        <f>+_xlfn.XLOOKUP(DETALLE_GD_1[[#This Row],[CODIGO]],PRODUCTOS[CODIGO],PRODUCTOS[DESC CORTA],"",0)</f>
        <v/>
      </c>
    </row>
    <row r="2472" spans="1:31" hidden="1" x14ac:dyDescent="0.25">
      <c r="A2472" s="1"/>
      <c r="B2472" s="1"/>
      <c r="D2472" s="38"/>
      <c r="I2472" s="3"/>
      <c r="J2472" s="3"/>
      <c r="K2472" s="26"/>
      <c r="L2472" s="2"/>
      <c r="M2472" s="2"/>
      <c r="N2472" s="2"/>
      <c r="O2472" s="2"/>
      <c r="P2472" s="2"/>
      <c r="Q2472" s="2"/>
      <c r="R2472" s="4"/>
      <c r="U2472" s="26"/>
      <c r="V2472" s="2"/>
      <c r="X2472" s="2"/>
      <c r="Y2472" s="6"/>
      <c r="AA2472" s="4" t="e">
        <f>+((DETALLE_GD_1[[#This Row],[VALOR X UN (GD)]]-DETALLE_GD_1[[#This Row],[VALOR PPTO]])/DETALLE_GD_1[[#This Row],[VALOR PPTO]])</f>
        <v>#DIV/0!</v>
      </c>
      <c r="AB2472" s="2">
        <f>+DETALLE_GD_1[[#This Row],[VALOR PPTO]]*DETALLE_GD_1[[#This Row],[CANTIDAD RECIBIDA]]</f>
        <v>0</v>
      </c>
      <c r="AC24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2" s="3">
        <f>+DETALLE_GD_1[[#This Row],[CANTIDAD SOLICITADA]]-DETALLE_GD_1[[#This Row],[DEVOLUCIÓN]]</f>
        <v>0</v>
      </c>
      <c r="AE2472" s="38" t="str">
        <f>+_xlfn.XLOOKUP(DETALLE_GD_1[[#This Row],[CODIGO]],PRODUCTOS[CODIGO],PRODUCTOS[DESC CORTA],"",0)</f>
        <v/>
      </c>
    </row>
    <row r="2473" spans="1:31" hidden="1" x14ac:dyDescent="0.25">
      <c r="A2473" s="1"/>
      <c r="B2473" s="1"/>
      <c r="D2473" s="38"/>
      <c r="I2473" s="3"/>
      <c r="J2473" s="3"/>
      <c r="K2473" s="26"/>
      <c r="L2473" s="2"/>
      <c r="M2473" s="2"/>
      <c r="N2473" s="2"/>
      <c r="O2473" s="2"/>
      <c r="P2473" s="2"/>
      <c r="Q2473" s="2"/>
      <c r="R2473" s="4"/>
      <c r="U2473" s="26"/>
      <c r="V2473" s="2"/>
      <c r="X2473" s="2"/>
      <c r="Y2473" s="6"/>
      <c r="AA2473" s="4" t="e">
        <f>+((DETALLE_GD_1[[#This Row],[VALOR X UN (GD)]]-DETALLE_GD_1[[#This Row],[VALOR PPTO]])/DETALLE_GD_1[[#This Row],[VALOR PPTO]])</f>
        <v>#DIV/0!</v>
      </c>
      <c r="AB2473" s="2">
        <f>+DETALLE_GD_1[[#This Row],[VALOR PPTO]]*DETALLE_GD_1[[#This Row],[CANTIDAD RECIBIDA]]</f>
        <v>0</v>
      </c>
      <c r="AC2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3" s="3">
        <f>+DETALLE_GD_1[[#This Row],[CANTIDAD SOLICITADA]]-DETALLE_GD_1[[#This Row],[DEVOLUCIÓN]]</f>
        <v>0</v>
      </c>
      <c r="AE2473" s="38" t="str">
        <f>+_xlfn.XLOOKUP(DETALLE_GD_1[[#This Row],[CODIGO]],PRODUCTOS[CODIGO],PRODUCTOS[DESC CORTA],"",0)</f>
        <v/>
      </c>
    </row>
    <row r="2474" spans="1:31" hidden="1" x14ac:dyDescent="0.25">
      <c r="A2474" s="1"/>
      <c r="B2474" s="1"/>
      <c r="D2474" s="38"/>
      <c r="I2474" s="3"/>
      <c r="J2474" s="3"/>
      <c r="K2474" s="26"/>
      <c r="L2474" s="2"/>
      <c r="M2474" s="2"/>
      <c r="N2474" s="2"/>
      <c r="O2474" s="2"/>
      <c r="P2474" s="2"/>
      <c r="Q2474" s="2"/>
      <c r="R2474" s="4"/>
      <c r="U2474" s="26"/>
      <c r="V2474" s="2"/>
      <c r="X2474" s="2"/>
      <c r="Y2474" s="6"/>
      <c r="AA2474" s="4" t="e">
        <f>+((DETALLE_GD_1[[#This Row],[VALOR X UN (GD)]]-DETALLE_GD_1[[#This Row],[VALOR PPTO]])/DETALLE_GD_1[[#This Row],[VALOR PPTO]])</f>
        <v>#DIV/0!</v>
      </c>
      <c r="AB2474" s="2">
        <f>+DETALLE_GD_1[[#This Row],[VALOR PPTO]]*DETALLE_GD_1[[#This Row],[CANTIDAD RECIBIDA]]</f>
        <v>0</v>
      </c>
      <c r="AC2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4" s="3">
        <f>+DETALLE_GD_1[[#This Row],[CANTIDAD SOLICITADA]]-DETALLE_GD_1[[#This Row],[DEVOLUCIÓN]]</f>
        <v>0</v>
      </c>
      <c r="AE2474" s="38" t="str">
        <f>+_xlfn.XLOOKUP(DETALLE_GD_1[[#This Row],[CODIGO]],PRODUCTOS[CODIGO],PRODUCTOS[DESC CORTA],"",0)</f>
        <v/>
      </c>
    </row>
    <row r="2475" spans="1:31" hidden="1" x14ac:dyDescent="0.25">
      <c r="A2475" s="1"/>
      <c r="B2475" s="1"/>
      <c r="D2475" s="38"/>
      <c r="I2475" s="3"/>
      <c r="J2475" s="3"/>
      <c r="K2475" s="26"/>
      <c r="L2475" s="2"/>
      <c r="M2475" s="2"/>
      <c r="N2475" s="2"/>
      <c r="O2475" s="2"/>
      <c r="P2475" s="2"/>
      <c r="Q2475" s="2"/>
      <c r="R2475" s="4"/>
      <c r="U2475" s="26"/>
      <c r="V2475" s="2"/>
      <c r="X2475" s="2"/>
      <c r="Y2475" s="6"/>
      <c r="AA2475" s="4" t="e">
        <f>+((DETALLE_GD_1[[#This Row],[VALOR X UN (GD)]]-DETALLE_GD_1[[#This Row],[VALOR PPTO]])/DETALLE_GD_1[[#This Row],[VALOR PPTO]])</f>
        <v>#DIV/0!</v>
      </c>
      <c r="AB2475" s="2">
        <f>+DETALLE_GD_1[[#This Row],[VALOR PPTO]]*DETALLE_GD_1[[#This Row],[CANTIDAD RECIBIDA]]</f>
        <v>0</v>
      </c>
      <c r="AC2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5" s="3">
        <f>+DETALLE_GD_1[[#This Row],[CANTIDAD SOLICITADA]]-DETALLE_GD_1[[#This Row],[DEVOLUCIÓN]]</f>
        <v>0</v>
      </c>
      <c r="AE2475" s="38" t="str">
        <f>+_xlfn.XLOOKUP(DETALLE_GD_1[[#This Row],[CODIGO]],PRODUCTOS[CODIGO],PRODUCTOS[DESC CORTA],"",0)</f>
        <v/>
      </c>
    </row>
    <row r="2476" spans="1:31" x14ac:dyDescent="0.25">
      <c r="A2476" s="1"/>
      <c r="B2476" s="1"/>
      <c r="H2476" s="3"/>
      <c r="I2476" s="3"/>
      <c r="J2476" s="2"/>
      <c r="K2476" s="2"/>
      <c r="L2476" s="2"/>
      <c r="M2476" s="2"/>
      <c r="N2476" s="2"/>
      <c r="O2476" s="2"/>
      <c r="S2476" s="2"/>
      <c r="U2476" s="2"/>
      <c r="V2476" s="2"/>
      <c r="W2476" s="2"/>
      <c r="AA2476" s="2"/>
      <c r="AB2476" s="4"/>
      <c r="AC2476" s="2"/>
      <c r="AD2476" s="2"/>
      <c r="AE2476" s="3"/>
    </row>
    <row r="2477" spans="1:31" x14ac:dyDescent="0.25">
      <c r="A2477" s="1"/>
      <c r="B2477" s="1"/>
      <c r="H2477" s="3"/>
      <c r="I2477" s="3"/>
      <c r="J2477" s="2"/>
      <c r="K2477" s="2"/>
      <c r="L2477" s="2"/>
      <c r="M2477" s="2"/>
      <c r="N2477" s="2"/>
      <c r="O2477" s="2"/>
      <c r="S2477" s="2"/>
      <c r="U2477" s="2"/>
      <c r="V2477" s="2"/>
      <c r="W2477" s="2"/>
      <c r="AA2477" s="2"/>
      <c r="AB2477" s="4"/>
      <c r="AC2477" s="2"/>
      <c r="AD2477" s="2"/>
      <c r="AE2477" s="3"/>
    </row>
    <row r="2478" spans="1:31" x14ac:dyDescent="0.25">
      <c r="A2478" s="1"/>
      <c r="B2478" s="1"/>
      <c r="H2478" s="3"/>
      <c r="I2478" s="3"/>
      <c r="J2478" s="2"/>
      <c r="K2478" s="2"/>
      <c r="L2478" s="2"/>
      <c r="M2478" s="2"/>
      <c r="N2478" s="2"/>
      <c r="O2478" s="2"/>
      <c r="S2478" s="2"/>
      <c r="U2478" s="2"/>
      <c r="V2478" s="2"/>
      <c r="W2478" s="2"/>
      <c r="AA2478" s="2"/>
      <c r="AB2478" s="4"/>
      <c r="AC2478" s="2"/>
      <c r="AD2478" s="2"/>
      <c r="AE2478" s="3"/>
    </row>
    <row r="2479" spans="1:31" x14ac:dyDescent="0.25">
      <c r="A2479" s="1"/>
      <c r="B2479" s="1"/>
      <c r="H2479" s="3"/>
      <c r="I2479" s="3"/>
      <c r="J2479" s="2"/>
      <c r="K2479" s="2"/>
      <c r="L2479" s="2"/>
      <c r="M2479" s="2"/>
      <c r="N2479" s="2"/>
      <c r="O2479" s="2"/>
      <c r="S2479" s="2"/>
      <c r="U2479" s="2"/>
      <c r="V2479" s="2"/>
      <c r="W2479" s="2"/>
      <c r="AA2479" s="2"/>
      <c r="AB2479" s="4"/>
      <c r="AC2479" s="2"/>
      <c r="AD2479" s="2"/>
      <c r="AE2479" s="3"/>
    </row>
    <row r="2480" spans="1:31" x14ac:dyDescent="0.25">
      <c r="A2480" s="1"/>
      <c r="B2480" s="1"/>
      <c r="H2480" s="3"/>
      <c r="I2480" s="3"/>
      <c r="J2480" s="2"/>
      <c r="K2480" s="2"/>
      <c r="L2480" s="2"/>
      <c r="M2480" s="2"/>
      <c r="N2480" s="2"/>
      <c r="O2480" s="2"/>
      <c r="S2480" s="2"/>
      <c r="U2480" s="2"/>
      <c r="V2480" s="2"/>
      <c r="W2480" s="2"/>
      <c r="AA2480" s="2"/>
      <c r="AB2480" s="4"/>
      <c r="AC2480" s="2"/>
      <c r="AD2480" s="2"/>
      <c r="AE2480" s="3"/>
    </row>
    <row r="2481" spans="1:31" x14ac:dyDescent="0.25">
      <c r="A2481" s="1"/>
      <c r="B2481" s="1"/>
      <c r="H2481" s="3"/>
      <c r="I2481" s="3"/>
      <c r="J2481" s="2"/>
      <c r="K2481" s="2"/>
      <c r="L2481" s="2"/>
      <c r="M2481" s="2"/>
      <c r="N2481" s="2"/>
      <c r="O2481" s="2"/>
      <c r="S2481" s="2"/>
      <c r="U2481" s="2"/>
      <c r="V2481" s="2"/>
      <c r="W2481" s="2"/>
      <c r="AA2481" s="2"/>
      <c r="AB2481" s="4"/>
      <c r="AC2481" s="2"/>
      <c r="AD2481" s="2"/>
      <c r="AE2481" s="3"/>
    </row>
    <row r="2482" spans="1:31" x14ac:dyDescent="0.25">
      <c r="A2482" s="1"/>
      <c r="B2482" s="1"/>
      <c r="H2482" s="3"/>
      <c r="I2482" s="3"/>
      <c r="J2482" s="2"/>
      <c r="K2482" s="2"/>
      <c r="L2482" s="2"/>
      <c r="M2482" s="2"/>
      <c r="N2482" s="2"/>
      <c r="O2482" s="2"/>
      <c r="S2482" s="2"/>
      <c r="U2482" s="2"/>
      <c r="V2482" s="2"/>
      <c r="W2482" s="2"/>
      <c r="AA2482" s="2"/>
      <c r="AB2482" s="4"/>
      <c r="AC2482" s="2"/>
      <c r="AD2482" s="2"/>
      <c r="AE2482" s="3"/>
    </row>
    <row r="2483" spans="1:31" x14ac:dyDescent="0.25">
      <c r="A2483" s="1"/>
      <c r="B2483" s="1"/>
      <c r="H2483" s="3"/>
      <c r="I2483" s="3"/>
      <c r="J2483" s="2"/>
      <c r="K2483" s="2"/>
      <c r="L2483" s="2"/>
      <c r="M2483" s="2"/>
      <c r="N2483" s="2"/>
      <c r="O2483" s="2"/>
      <c r="S2483" s="2"/>
      <c r="U2483" s="2"/>
      <c r="V2483" s="2"/>
      <c r="W2483" s="2"/>
      <c r="AA2483" s="2"/>
      <c r="AB2483" s="4"/>
      <c r="AC2483" s="2"/>
      <c r="AD2483" s="2"/>
      <c r="AE2483" s="3"/>
    </row>
    <row r="2484" spans="1:31" x14ac:dyDescent="0.25">
      <c r="A2484" s="1"/>
      <c r="B2484" s="1"/>
      <c r="H2484" s="3"/>
      <c r="I2484" s="3"/>
      <c r="J2484" s="2"/>
      <c r="K2484" s="2"/>
      <c r="L2484" s="2"/>
      <c r="M2484" s="2"/>
      <c r="N2484" s="2"/>
      <c r="O2484" s="2"/>
      <c r="S2484" s="2"/>
      <c r="U2484" s="2"/>
      <c r="V2484" s="2"/>
      <c r="W2484" s="2"/>
      <c r="AA2484" s="2"/>
      <c r="AB2484" s="4"/>
      <c r="AC2484" s="2"/>
      <c r="AD2484" s="2"/>
      <c r="AE2484" s="3"/>
    </row>
    <row r="2485" spans="1:31" x14ac:dyDescent="0.25">
      <c r="A2485" s="1"/>
      <c r="B2485" s="1"/>
      <c r="H2485" s="3"/>
      <c r="I2485" s="3"/>
      <c r="J2485" s="2"/>
      <c r="K2485" s="2"/>
      <c r="L2485" s="2"/>
      <c r="M2485" s="2"/>
      <c r="N2485" s="2"/>
      <c r="O2485" s="2"/>
      <c r="S2485" s="2"/>
      <c r="U2485" s="2"/>
      <c r="V2485" s="2"/>
      <c r="W2485" s="2"/>
      <c r="AA2485" s="2"/>
      <c r="AB2485" s="4"/>
      <c r="AC2485" s="2"/>
      <c r="AD2485" s="2"/>
      <c r="AE2485" s="3"/>
    </row>
    <row r="2486" spans="1:31" x14ac:dyDescent="0.25">
      <c r="A2486" s="1"/>
      <c r="B2486" s="1"/>
      <c r="H2486" s="3"/>
      <c r="I2486" s="3"/>
      <c r="J2486" s="2"/>
      <c r="K2486" s="2"/>
      <c r="L2486" s="2"/>
      <c r="M2486" s="2"/>
      <c r="N2486" s="2"/>
      <c r="O2486" s="2"/>
      <c r="S2486" s="2"/>
      <c r="U2486" s="2"/>
      <c r="V2486" s="2"/>
      <c r="W2486" s="2"/>
      <c r="AA2486" s="2"/>
      <c r="AB2486" s="4"/>
      <c r="AC2486" s="2"/>
      <c r="AD2486" s="2"/>
      <c r="AE2486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521</v>
      </c>
      <c r="D1" t="s">
        <v>716</v>
      </c>
      <c r="E1" t="s">
        <v>735</v>
      </c>
      <c r="F1" s="2" t="s">
        <v>736</v>
      </c>
      <c r="G1" s="2" t="s">
        <v>737</v>
      </c>
      <c r="H1" t="s">
        <v>739</v>
      </c>
      <c r="I1" s="2" t="s">
        <v>740</v>
      </c>
      <c r="J1" s="2" t="s">
        <v>741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9649.1185596629002</v>
      </c>
      <c r="H2" s="5">
        <f>+IFERROR(Tabla2[[#This Row],[PRECIO PROMEDIO]]-Tabla2[[#This Row],[PRECIO PPTO]],"")</f>
        <v>-8.4693903371044144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437828.75464470411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7627.9022026431721</v>
      </c>
      <c r="H3" s="5">
        <f>+IFERROR(Tabla2[[#This Row],[PRECIO PROMEDIO]]-Tabla2[[#This Row],[PRECIO PPTO]],"")</f>
        <v>-207.82375135682651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41953.462114537448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2062.9827561636025</v>
      </c>
      <c r="H7" s="5">
        <f>+IFERROR(Tabla2[[#This Row],[PRECIO PROMEDIO]]-Tabla2[[#This Row],[PRECIO PPTO]],"")</f>
        <v>-49.813022836397522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122659.70026440786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463.03765849658851</v>
      </c>
      <c r="H9" s="5">
        <f>+IFERROR(Tabla2[[#This Row],[PRECIO PROMEDIO]]-Tabla2[[#This Row],[PRECIO PPTO]],"")</f>
        <v>-10.137581503411411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268561.84192802134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21604.880388238653</v>
      </c>
      <c r="H10" s="5">
        <f>+IFERROR(Tabla2[[#This Row],[PRECIO PROMEDIO]]-Tabla2[[#This Row],[PRECIO PPTO]],"")</f>
        <v>358.37323523865416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475307.36854125035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39468.96212121212</v>
      </c>
      <c r="H11" s="5">
        <f>+IFERROR(Tabla2[[#This Row],[PRECIO PROMEDIO]]-Tabla2[[#This Row],[PRECIO PPTO]],"")</f>
        <v>1286.0454542121224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52493.71962121212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4622.3477493380406</v>
      </c>
      <c r="H12" s="5">
        <f>+IFERROR(Tabla2[[#This Row],[PRECIO PROMEDIO]]-Tabla2[[#This Row],[PRECIO PPTO]],"")</f>
        <v>424.92987433803955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74882.033539276235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39068.811015118794</v>
      </c>
      <c r="H13" s="5">
        <f>+IFERROR(Tabla2[[#This Row],[PRECIO PROMEDIO]]-Tabla2[[#This Row],[PRECIO PPTO]],"")</f>
        <v>-934.10907788120676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332084.89362850977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126556.72916666667</v>
      </c>
      <c r="H19" s="5">
        <f>+IFERROR(Tabla2[[#This Row],[PRECIO PROMEDIO]]-Tabla2[[#This Row],[PRECIO PPTO]],"")</f>
        <v>1647.7291666666715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126556.72916666667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>
        <f>+_xlfn.XLOOKUP(Tabla2[[#This Row],[CODIGO]],PRODUCTOS[CODIGO],PRODUCTOS[CANT X MODULO],"",0)</f>
        <v>1.05</v>
      </c>
      <c r="E22" s="26">
        <f>+_xlfn.XLOOKUP(Tabla2[[#This Row],[CODIGO]],Tabla4[CODIGO],Tabla4[CUBICACION PROM / MODULO (PRESUPUESTO)],"",0)</f>
        <v>1</v>
      </c>
      <c r="F22" s="2">
        <f>+_xlfn.XLOOKUP(Tabla2[[#This Row],[CODIGO]],PRODUCTOS[CODIGO],PRODUCTOS[PPTO_ACTUALIZADO],"",0)</f>
        <v>0</v>
      </c>
      <c r="G22" s="2">
        <f>+_xlfn.XLOOKUP(Tabla2[[#This Row],[CODIGO]],PRODUCTOS[CODIGO],PRODUCTOS[PRECIO COMPRA UNITARIO],"",0)</f>
        <v>2221.5503875968993</v>
      </c>
      <c r="H22" s="5">
        <f>+IFERROR(Tabla2[[#This Row],[PRECIO PROMEDIO]]-Tabla2[[#This Row],[PRECIO PPTO]],"")</f>
        <v>2221.5503875968993</v>
      </c>
      <c r="I22" s="2">
        <f>+IFERROR(Tabla2[[#This Row],[CUB. PPTO]]*Tabla2[[#This Row],[PRECIO PPTO]],"")</f>
        <v>0</v>
      </c>
      <c r="J22" s="2">
        <f>+IFERROR(Tabla2[[#This Row],[CUB. GP]]*Tabla2[[#This Row],[PRECIO PROMEDIO]],"")</f>
        <v>2221.5503875968993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>
        <f>+_xlfn.XLOOKUP(Tabla2[[#This Row],[CODIGO]],PRODUCTOS[CODIGO],PRODUCTOS[CANT X MODULO],"",0)</f>
        <v>0.52500000000000002</v>
      </c>
      <c r="E23" s="26">
        <f>+_xlfn.XLOOKUP(Tabla2[[#This Row],[CODIGO]],Tabla4[CODIGO],Tabla4[CUBICACION PROM / MODULO (PRESUPUESTO)],"",0)</f>
        <v>0.5</v>
      </c>
      <c r="F23" s="2">
        <f>+_xlfn.XLOOKUP(Tabla2[[#This Row],[CODIGO]],PRODUCTOS[CODIGO],PRODUCTOS[PPTO_ACTUALIZADO],"",0)</f>
        <v>0</v>
      </c>
      <c r="G23" s="2">
        <f>+_xlfn.XLOOKUP(Tabla2[[#This Row],[CODIGO]],PRODUCTOS[CODIGO],PRODUCTOS[PRECIO COMPRA UNITARIO],"",0)</f>
        <v>2256.3507462686566</v>
      </c>
      <c r="H23" s="5">
        <f>+IFERROR(Tabla2[[#This Row],[PRECIO PROMEDIO]]-Tabla2[[#This Row],[PRECIO PPTO]],"")</f>
        <v>2256.3507462686566</v>
      </c>
      <c r="I23" s="2">
        <f>+IFERROR(Tabla2[[#This Row],[CUB. PPTO]]*Tabla2[[#This Row],[PRECIO PPTO]],"")</f>
        <v>0</v>
      </c>
      <c r="J23" s="2">
        <f>+IFERROR(Tabla2[[#This Row],[CUB. GP]]*Tabla2[[#This Row],[PRECIO PROMEDIO]],"")</f>
        <v>1128.1753731343283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3683.6045565500408</v>
      </c>
      <c r="H29" s="5">
        <f>+IFERROR(Tabla2[[#This Row],[PRECIO PROMEDIO]]-Tabla2[[#This Row],[PRECIO PPTO]],"")</f>
        <v>12.604556550040797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11050.813669650122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9268.7477064220184</v>
      </c>
      <c r="H30" s="5">
        <f>+IFERROR(Tabla2[[#This Row],[PRECIO PROMEDIO]]-Tabla2[[#This Row],[PRECIO PPTO]],"")</f>
        <v>117.45023842201772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83418.729357798162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36774.767857142855</v>
      </c>
      <c r="H32" s="5">
        <f>+IFERROR(Tabla2[[#This Row],[PRECIO PROMEDIO]]-Tabla2[[#This Row],[PRECIO PPTO]],"")</f>
        <v>-165.05032485712582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120970.59886607146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3021.2828947368421</v>
      </c>
      <c r="H33" s="5">
        <f>+IFERROR(Tabla2[[#This Row],[PRECIO PROMEDIO]]-Tabla2[[#This Row],[PRECIO PPTO]],"")</f>
        <v>2.5736841507750796E-5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9063.8486842105267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4.9710851975249879</v>
      </c>
      <c r="H37" s="5">
        <f>+IFERROR(Tabla2[[#This Row],[PRECIO PROMEDIO]]-Tabla2[[#This Row],[PRECIO PPTO]],"")</f>
        <v>9.0869197524987122E-2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715.83626844359821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4769.5117820983787</v>
      </c>
      <c r="H38" s="5">
        <f>+IFERROR(Tabla2[[#This Row],[PRECIO PROMEDIO]]-Tabla2[[#This Row],[PRECIO PPTO]],"")</f>
        <v>-354.29074490162293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784584.68815518334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16135.5</v>
      </c>
      <c r="H39" s="5">
        <f>+IFERROR(Tabla2[[#This Row],[PRECIO PROMEDIO]]-Tabla2[[#This Row],[PRECIO PPTO]],"")</f>
        <v>-46.60676200000853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2194.4279999999999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347.30333745364646</v>
      </c>
      <c r="H40" s="5">
        <f>+IFERROR(Tabla2[[#This Row],[PRECIO PROMEDIO]]-Tabla2[[#This Row],[PRECIO PPTO]],"")</f>
        <v>-20.698023546353454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5556.8533992583434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707.86891891891889</v>
      </c>
      <c r="H42" s="5">
        <f>+IFERROR(Tabla2[[#This Row],[PRECIO PROMEDIO]]-Tabla2[[#This Row],[PRECIO PPTO]],"")</f>
        <v>7.8696869189184326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23359.674324324322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10289.047343394666</v>
      </c>
      <c r="H43" s="5">
        <f>+IFERROR(Tabla2[[#This Row],[PRECIO PROMEDIO]]-Tabla2[[#This Row],[PRECIO PPTO]],"")</f>
        <v>132.44887639466469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339538.56233202398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>
        <f>+_xlfn.XLOOKUP(Tabla2[[#This Row],[CODIGO]],PRODUCTOS[CODIGO],PRODUCTOS[CANT X MODULO],"",0)</f>
        <v>35.174999999999997</v>
      </c>
      <c r="E44" s="26">
        <f>+_xlfn.XLOOKUP(Tabla2[[#This Row],[CODIGO]],Tabla4[CODIGO],Tabla4[CUBICACION PROM / MODULO (PRESUPUESTO)],"",0)</f>
        <v>33.5</v>
      </c>
      <c r="F44" s="2">
        <f>+_xlfn.XLOOKUP(Tabla2[[#This Row],[CODIGO]],PRODUCTOS[CODIGO],PRODUCTOS[PPTO_ACTUALIZADO],"",0)</f>
        <v>0</v>
      </c>
      <c r="G44" s="2">
        <f>+_xlfn.XLOOKUP(Tabla2[[#This Row],[CODIGO]],PRODUCTOS[CODIGO],PRODUCTOS[PRECIO COMPRA UNITARIO],"",0)</f>
        <v>13769.264887063655</v>
      </c>
      <c r="H44" s="5">
        <f>+IFERROR(Tabla2[[#This Row],[PRECIO PROMEDIO]]-Tabla2[[#This Row],[PRECIO PPTO]],"")</f>
        <v>13769.264887063655</v>
      </c>
      <c r="I44" s="2">
        <f>+IFERROR(Tabla2[[#This Row],[CUB. PPTO]]*Tabla2[[#This Row],[PRECIO PPTO]],"")</f>
        <v>0</v>
      </c>
      <c r="J44" s="2">
        <f>+IFERROR(Tabla2[[#This Row],[CUB. GP]]*Tabla2[[#This Row],[PRECIO PROMEDIO]],"")</f>
        <v>461270.37371663243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>
        <f>+_xlfn.XLOOKUP(Tabla2[[#This Row],[CODIGO]],PRODUCTOS[CODIGO],PRODUCTOS[CANT X MODULO],"",0)</f>
        <v>0.1575</v>
      </c>
      <c r="E45" s="26">
        <f>+_xlfn.XLOOKUP(Tabla2[[#This Row],[CODIGO]],Tabla4[CODIGO],Tabla4[CUBICACION PROM / MODULO (PRESUPUESTO)],"",0)</f>
        <v>0.3</v>
      </c>
      <c r="F45" s="2">
        <f>+_xlfn.XLOOKUP(Tabla2[[#This Row],[CODIGO]],PRODUCTOS[CODIGO],PRODUCTOS[PPTO_ACTUALIZADO],"",0)</f>
        <v>0</v>
      </c>
      <c r="G45" s="2">
        <f>+_xlfn.XLOOKUP(Tabla2[[#This Row],[CODIGO]],PRODUCTOS[CODIGO],PRODUCTOS[PRECIO COMPRA UNITARIO],"",0)</f>
        <v>49159.947368421053</v>
      </c>
      <c r="H45" s="5">
        <f>+IFERROR(Tabla2[[#This Row],[PRECIO PROMEDIO]]-Tabla2[[#This Row],[PRECIO PPTO]],"")</f>
        <v>49159.947368421053</v>
      </c>
      <c r="I45" s="2">
        <f>+IFERROR(Tabla2[[#This Row],[CUB. PPTO]]*Tabla2[[#This Row],[PRECIO PPTO]],"")</f>
        <v>0</v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>
        <f>+_xlfn.XLOOKUP(Tabla2[[#This Row],[CODIGO]],PRODUCTOS[CODIGO],PRODUCTOS[CANT X MODULO],"",0)</f>
        <v>5.6875000000000002E-2</v>
      </c>
      <c r="E46" s="26">
        <f>+_xlfn.XLOOKUP(Tabla2[[#This Row],[CODIGO]],Tabla4[CODIGO],Tabla4[CUBICACION PROM / MODULO (PRESUPUESTO)],"",0)</f>
        <v>0.10833333333333336</v>
      </c>
      <c r="F46" s="2">
        <f>+_xlfn.XLOOKUP(Tabla2[[#This Row],[CODIGO]],PRODUCTOS[CODIGO],PRODUCTOS[PPTO_ACTUALIZADO],"",0)</f>
        <v>0</v>
      </c>
      <c r="G46" s="2">
        <f>+_xlfn.XLOOKUP(Tabla2[[#This Row],[CODIGO]],PRODUCTOS[CODIGO],PRODUCTOS[PRECIO COMPRA UNITARIO],"",0)</f>
        <v>1298.1739130434783</v>
      </c>
      <c r="H46" s="5">
        <f>+IFERROR(Tabla2[[#This Row],[PRECIO PROMEDIO]]-Tabla2[[#This Row],[PRECIO PPTO]],"")</f>
        <v>1298.1739130434783</v>
      </c>
      <c r="I46" s="2">
        <f>+IFERROR(Tabla2[[#This Row],[CUB. PPTO]]*Tabla2[[#This Row],[PRECIO PPTO]],"")</f>
        <v>0</v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>
        <f>+_xlfn.XLOOKUP(Tabla2[[#This Row],[CODIGO]],PRODUCTOS[CODIGO],PRODUCTOS[CANT X MODULO],"",0)</f>
        <v>4.2</v>
      </c>
      <c r="E47" s="26">
        <f>+_xlfn.XLOOKUP(Tabla2[[#This Row],[CODIGO]],Tabla4[CODIGO],Tabla4[CUBICACION PROM / MODULO (PRESUPUESTO)],"",0)</f>
        <v>4</v>
      </c>
      <c r="F47" s="2">
        <f>+_xlfn.XLOOKUP(Tabla2[[#This Row],[CODIGO]],PRODUCTOS[CODIGO],PRODUCTOS[PPTO_ACTUALIZADO],"",0)</f>
        <v>0</v>
      </c>
      <c r="G47" s="2">
        <f>+_xlfn.XLOOKUP(Tabla2[[#This Row],[CODIGO]],PRODUCTOS[CODIGO],PRODUCTOS[PRECIO COMPRA UNITARIO],"",0)</f>
        <v>2863.9220183486241</v>
      </c>
      <c r="H47" s="5">
        <f>+IFERROR(Tabla2[[#This Row],[PRECIO PROMEDIO]]-Tabla2[[#This Row],[PRECIO PPTO]],"")</f>
        <v>2863.9220183486241</v>
      </c>
      <c r="I47" s="2">
        <f>+IFERROR(Tabla2[[#This Row],[CUB. PPTO]]*Tabla2[[#This Row],[PRECIO PPTO]],"")</f>
        <v>0</v>
      </c>
      <c r="J47" s="2">
        <f>+IFERROR(Tabla2[[#This Row],[CUB. GP]]*Tabla2[[#This Row],[PRECIO PROMEDIO]],"")</f>
        <v>11455.688073394496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>
        <f>+_xlfn.XLOOKUP(Tabla2[[#This Row],[CODIGO]],PRODUCTOS[CODIGO],PRODUCTOS[CANT X MODULO],"",0)</f>
        <v>1.575</v>
      </c>
      <c r="E48" s="26">
        <f>+_xlfn.XLOOKUP(Tabla2[[#This Row],[CODIGO]],Tabla4[CODIGO],Tabla4[CUBICACION PROM / MODULO (PRESUPUESTO)],"",0)</f>
        <v>1.5</v>
      </c>
      <c r="F48" s="2">
        <f>+_xlfn.XLOOKUP(Tabla2[[#This Row],[CODIGO]],PRODUCTOS[CODIGO],PRODUCTOS[PPTO_ACTUALIZADO],"",0)</f>
        <v>0</v>
      </c>
      <c r="G48" s="2">
        <f>+_xlfn.XLOOKUP(Tabla2[[#This Row],[CODIGO]],PRODUCTOS[CODIGO],PRODUCTOS[PRECIO COMPRA UNITARIO],"",0)</f>
        <v>1836.0562770562772</v>
      </c>
      <c r="H48" s="5">
        <f>+IFERROR(Tabla2[[#This Row],[PRECIO PROMEDIO]]-Tabla2[[#This Row],[PRECIO PPTO]],"")</f>
        <v>1836.0562770562772</v>
      </c>
      <c r="I48" s="2">
        <f>+IFERROR(Tabla2[[#This Row],[CUB. PPTO]]*Tabla2[[#This Row],[PRECIO PPTO]],"")</f>
        <v>0</v>
      </c>
      <c r="J48" s="2">
        <f>+IFERROR(Tabla2[[#This Row],[CUB. GP]]*Tabla2[[#This Row],[PRECIO PROMEDIO]],"")</f>
        <v>2754.0844155844156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16637.035532994923</v>
      </c>
      <c r="H50" s="5">
        <f>+IFERROR(Tabla2[[#This Row],[PRECIO PROMEDIO]]-Tabla2[[#This Row],[PRECIO PPTO]],"")</f>
        <v>-1233.108535005078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33274.071065989847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150758.376146789</v>
      </c>
      <c r="H53" s="5">
        <f>+IFERROR(Tabla2[[#This Row],[PRECIO PROMEDIO]]-Tabla2[[#This Row],[PRECIO PPTO]],"")</f>
        <v>54.400686789042084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59537.497907889905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83512.46428571429</v>
      </c>
      <c r="H54" s="5">
        <f>+IFERROR(Tabla2[[#This Row],[PRECIO PROMEDIO]]-Tabla2[[#This Row],[PRECIO PPTO]],"")</f>
        <v>2314.5827067143109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62634.348214285725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983.80741410488247</v>
      </c>
      <c r="H55" s="5">
        <f>+IFERROR(Tabla2[[#This Row],[PRECIO PROMEDIO]]-Tabla2[[#This Row],[PRECIO PPTO]],"")</f>
        <v>0.18853310488248098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9838.0741410488245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>
        <f>+_xlfn.XLOOKUP(Tabla2[[#This Row],[CODIGO]],PRODUCTOS[CODIGO],PRODUCTOS[CANT X MODULO],"",0)</f>
        <v>0.52500000000000002</v>
      </c>
      <c r="E56" s="26">
        <f>+_xlfn.XLOOKUP(Tabla2[[#This Row],[CODIGO]],Tabla4[CODIGO],Tabla4[CUBICACION PROM / MODULO (PRESUPUESTO)],"",0)</f>
        <v>1</v>
      </c>
      <c r="F56" s="2">
        <f>+_xlfn.XLOOKUP(Tabla2[[#This Row],[CODIGO]],PRODUCTOS[CODIGO],PRODUCTOS[PPTO_ACTUALIZADO],"",0)</f>
        <v>0</v>
      </c>
      <c r="G56" s="2">
        <f>+_xlfn.XLOOKUP(Tabla2[[#This Row],[CODIGO]],PRODUCTOS[CODIGO],PRODUCTOS[PRECIO COMPRA UNITARIO],"",0)</f>
        <v>2453.4507042253522</v>
      </c>
      <c r="H56" s="5">
        <f>+IFERROR(Tabla2[[#This Row],[PRECIO PROMEDIO]]-Tabla2[[#This Row],[PRECIO PPTO]],"")</f>
        <v>2453.4507042253522</v>
      </c>
      <c r="I56" s="2">
        <f>+IFERROR(Tabla2[[#This Row],[CUB. PPTO]]*Tabla2[[#This Row],[PRECIO PPTO]],"")</f>
        <v>0</v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>
        <f>+_xlfn.XLOOKUP(Tabla2[[#This Row],[CODIGO]],PRODUCTOS[CODIGO],PRODUCTOS[CANT X MODULO],"",0)</f>
        <v>65.625</v>
      </c>
      <c r="E57" s="26">
        <f>+_xlfn.XLOOKUP(Tabla2[[#This Row],[CODIGO]],Tabla4[CODIGO],Tabla4[CUBICACION PROM / MODULO (PRESUPUESTO)],"",0)</f>
        <v>62.5</v>
      </c>
      <c r="F57" s="2">
        <f>+_xlfn.XLOOKUP(Tabla2[[#This Row],[CODIGO]],PRODUCTOS[CODIGO],PRODUCTOS[PPTO_ACTUALIZADO],"",0)</f>
        <v>0</v>
      </c>
      <c r="G57" s="2">
        <f>+_xlfn.XLOOKUP(Tabla2[[#This Row],[CODIGO]],PRODUCTOS[CODIGO],PRODUCTOS[PRECIO COMPRA UNITARIO],"",0)</f>
        <v>72.338549618320613</v>
      </c>
      <c r="H57" s="5">
        <f>+IFERROR(Tabla2[[#This Row],[PRECIO PROMEDIO]]-Tabla2[[#This Row],[PRECIO PPTO]],"")</f>
        <v>72.338549618320613</v>
      </c>
      <c r="I57" s="2">
        <f>+IFERROR(Tabla2[[#This Row],[CUB. PPTO]]*Tabla2[[#This Row],[PRECIO PPTO]],"")</f>
        <v>0</v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13333.26125</v>
      </c>
      <c r="H59" s="5">
        <f>+IFERROR(Tabla2[[#This Row],[PRECIO PROMEDIO]]-Tabla2[[#This Row],[PRECIO PPTO]],"")</f>
        <v>1450.8733329999995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193332.28812499999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2251.4451219512193</v>
      </c>
      <c r="H61" s="5">
        <f>+IFERROR(Tabla2[[#This Row],[PRECIO PROMEDIO]]-Tabla2[[#This Row],[PRECIO PPTO]],"")</f>
        <v>25.135973951219512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13508.670731707316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>
        <f>+_xlfn.XLOOKUP(Tabla2[[#This Row],[CODIGO]],PRODUCTOS[CODIGO],PRODUCTOS[CANT X MODULO],"",0)</f>
        <v>2.1</v>
      </c>
      <c r="E63" s="26">
        <f>+_xlfn.XLOOKUP(Tabla2[[#This Row],[CODIGO]],Tabla4[CODIGO],Tabla4[CUBICACION PROM / MODULO (PRESUPUESTO)],"",0)</f>
        <v>2</v>
      </c>
      <c r="F63" s="2">
        <f>+_xlfn.XLOOKUP(Tabla2[[#This Row],[CODIGO]],PRODUCTOS[CODIGO],PRODUCTOS[PPTO_ACTUALIZADO],"",0)</f>
        <v>0</v>
      </c>
      <c r="G63" s="2">
        <f>+_xlfn.XLOOKUP(Tabla2[[#This Row],[CODIGO]],PRODUCTOS[CODIGO],PRODUCTOS[PRECIO COMPRA UNITARIO],"",0)</f>
        <v>763.39597315436242</v>
      </c>
      <c r="H63" s="5">
        <f>+IFERROR(Tabla2[[#This Row],[PRECIO PROMEDIO]]-Tabla2[[#This Row],[PRECIO PPTO]],"")</f>
        <v>763.39597315436242</v>
      </c>
      <c r="I63" s="2">
        <f>+IFERROR(Tabla2[[#This Row],[CUB. PPTO]]*Tabla2[[#This Row],[PRECIO PPTO]],"")</f>
        <v>0</v>
      </c>
      <c r="J63" s="2">
        <f>+IFERROR(Tabla2[[#This Row],[CUB. GP]]*Tabla2[[#This Row],[PRECIO PROMEDIO]],"")</f>
        <v>1526.7919463087248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6980.7234042553191</v>
      </c>
      <c r="H65" s="5">
        <f>+IFERROR(Tabla2[[#This Row],[PRECIO PROMEDIO]]-Tabla2[[#This Row],[PRECIO PPTO]],"")</f>
        <v>222.1900712553188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6980.7234042553191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22537.549256505576</v>
      </c>
      <c r="H70" s="5">
        <f>+IFERROR(Tabla2[[#This Row],[PRECIO PROMEDIO]]-Tabla2[[#This Row],[PRECIO PPTO]],"")</f>
        <v>391.18648450557521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152128.45748141262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35.245054945054946</v>
      </c>
      <c r="H71" s="5">
        <f>+IFERROR(Tabla2[[#This Row],[PRECIO PROMEDIO]]-Tabla2[[#This Row],[PRECIO PPTO]],"")</f>
        <v>4.759494505493933E-2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1022.1065934065934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16231.199726402188</v>
      </c>
      <c r="H73" s="5">
        <f>+IFERROR(Tabla2[[#This Row],[PRECIO PROMEDIO]]-Tabla2[[#This Row],[PRECIO PPTO]],"")</f>
        <v>211.31404140218365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482878.1918604651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5690.5508432539682</v>
      </c>
      <c r="H74" s="5">
        <f>+IFERROR(Tabla2[[#This Row],[PRECIO PROMEDIO]]-Tabla2[[#This Row],[PRECIO PPTO]],"")</f>
        <v>-894.58290174602371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189210.81553819444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1008.8793686583991</v>
      </c>
      <c r="H76" s="5">
        <f>+IFERROR(Tabla2[[#This Row],[PRECIO PROMEDIO]]-Tabla2[[#This Row],[PRECIO PPTO]],"")</f>
        <v>146.87936865839902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2017.7587373167983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>
        <f>+_xlfn.XLOOKUP(Tabla2[[#This Row],[CODIGO]],PRODUCTOS[CODIGO],PRODUCTOS[CANT X MODULO],"",0)</f>
        <v>8.4</v>
      </c>
      <c r="E78" s="26">
        <f>+_xlfn.XLOOKUP(Tabla2[[#This Row],[CODIGO]],Tabla4[CODIGO],Tabla4[CUBICACION PROM / MODULO (PRESUPUESTO)],"",0)</f>
        <v>8</v>
      </c>
      <c r="F78" s="2">
        <f>+_xlfn.XLOOKUP(Tabla2[[#This Row],[CODIGO]],PRODUCTOS[CODIGO],PRODUCTOS[PPTO_ACTUALIZADO],"",0)</f>
        <v>0</v>
      </c>
      <c r="G78" s="2">
        <f>+_xlfn.XLOOKUP(Tabla2[[#This Row],[CODIGO]],PRODUCTOS[CODIGO],PRODUCTOS[PRECIO COMPRA UNITARIO],"",0)</f>
        <v>746</v>
      </c>
      <c r="H78" s="5">
        <f>+IFERROR(Tabla2[[#This Row],[PRECIO PROMEDIO]]-Tabla2[[#This Row],[PRECIO PPTO]],"")</f>
        <v>746</v>
      </c>
      <c r="I78" s="2">
        <f>+IFERROR(Tabla2[[#This Row],[CUB. PPTO]]*Tabla2[[#This Row],[PRECIO PPTO]],"")</f>
        <v>0</v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40087.627345844507</v>
      </c>
      <c r="H79" s="5">
        <f>+IFERROR(Tabla2[[#This Row],[PRECIO PROMEDIO]]-Tabla2[[#This Row],[PRECIO PPTO]],"")</f>
        <v>39436.127345844507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80475.911896782854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3636.6988364134154</v>
      </c>
      <c r="H84" s="5">
        <f>+IFERROR(Tabla2[[#This Row],[PRECIO PROMEDIO]]-Tabla2[[#This Row],[PRECIO PPTO]],"")</f>
        <v>-74.888204586584834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146827.66181322199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>
        <f>+_xlfn.XLOOKUP(Tabla2[[#This Row],[CODIGO]],PRODUCTOS[CODIGO],PRODUCTOS[CANT X MODULO],"",0)</f>
        <v>0.86531250000000004</v>
      </c>
      <c r="E87" s="26">
        <f>+_xlfn.XLOOKUP(Tabla2[[#This Row],[CODIGO]],Tabla4[CODIGO],Tabla4[CUBICACION PROM / MODULO (PRESUPUESTO)],"",0)</f>
        <v>0.82399999999999995</v>
      </c>
      <c r="F87" s="2">
        <f>+_xlfn.XLOOKUP(Tabla2[[#This Row],[CODIGO]],PRODUCTOS[CODIGO],PRODUCTOS[PPTO_ACTUALIZADO],"",0)</f>
        <v>0</v>
      </c>
      <c r="G87" s="2">
        <f>+_xlfn.XLOOKUP(Tabla2[[#This Row],[CODIGO]],PRODUCTOS[CODIGO],PRODUCTOS[PRECIO COMPRA UNITARIO],"",0)</f>
        <v>23724.044444444444</v>
      </c>
      <c r="H87" s="5">
        <f>+IFERROR(Tabla2[[#This Row],[PRECIO PROMEDIO]]-Tabla2[[#This Row],[PRECIO PPTO]],"")</f>
        <v>23724.044444444444</v>
      </c>
      <c r="I87" s="2">
        <f>+IFERROR(Tabla2[[#This Row],[CUB. PPTO]]*Tabla2[[#This Row],[PRECIO PPTO]],"")</f>
        <v>0</v>
      </c>
      <c r="J87" s="2">
        <f>+IFERROR(Tabla2[[#This Row],[CUB. GP]]*Tabla2[[#This Row],[PRECIO PROMEDIO]],"")</f>
        <v>19548.612622222219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9059.0506329113923</v>
      </c>
      <c r="H90" s="5">
        <f>+IFERROR(Tabla2[[#This Row],[PRECIO PROMEDIO]]-Tabla2[[#This Row],[PRECIO PPTO]],"")</f>
        <v>-17.011564088608793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7633.363975928617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3800.1846153846154</v>
      </c>
      <c r="H91" s="5">
        <f>+IFERROR(Tabla2[[#This Row],[PRECIO PROMEDIO]]-Tabla2[[#This Row],[PRECIO PPTO]],"")</f>
        <v>-0.50648361538515019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15200.738461538462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153990.13235294117</v>
      </c>
      <c r="H92" s="5">
        <f>+IFERROR(Tabla2[[#This Row],[PRECIO PROMEDIO]]-Tabla2[[#This Row],[PRECIO PPTO]],"")</f>
        <v>-2279.0343140588666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104297.25662178569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15095.117424242424</v>
      </c>
      <c r="H93" s="5">
        <f>+IFERROR(Tabla2[[#This Row],[PRECIO PROMEDIO]]-Tabla2[[#This Row],[PRECIO PPTO]],"")</f>
        <v>113.1174242424313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349678.39513257571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>
        <f>+_xlfn.XLOOKUP(Tabla2[[#This Row],[CODIGO]],PRODUCTOS[CODIGO],PRODUCTOS[PPTO_ACTUALIZADO],"",0)</f>
        <v>0</v>
      </c>
      <c r="G96" s="2">
        <f>+_xlfn.XLOOKUP(Tabla2[[#This Row],[CODIGO]],PRODUCTOS[CODIGO],PRODUCTOS[PRECIO COMPRA UNITARIO],"",0)</f>
        <v>51877.461538461539</v>
      </c>
      <c r="H96" s="5">
        <f>+IFERROR(Tabla2[[#This Row],[PRECIO PROMEDIO]]-Tabla2[[#This Row],[PRECIO PPTO]],"")</f>
        <v>51877.461538461539</v>
      </c>
      <c r="I96" s="2" t="str">
        <f>+IFERROR(Tabla2[[#This Row],[CUB. PPTO]]*Tabla2[[#This Row],[PRECIO PPTO]],"")</f>
        <v/>
      </c>
      <c r="J96" s="2">
        <f>+IFERROR(Tabla2[[#This Row],[CUB. GP]]*Tabla2[[#This Row],[PRECIO PROMEDIO]],"")</f>
        <v>103754.92307692308</v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1970.9124594719779</v>
      </c>
      <c r="H98" s="5">
        <f>+IFERROR(Tabla2[[#This Row],[PRECIO PROMEDIO]]-Tabla2[[#This Row],[PRECIO PPTO]],"")</f>
        <v>-141.88331952802218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55428.207607225566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>
        <f>+_xlfn.XLOOKUP(Tabla2[[#This Row],[CODIGO]],PRODUCTOS[CODIGO],PRODUCTOS[CANT X MODULO],"",0)</f>
        <v>1.8374999999999999</v>
      </c>
      <c r="E100" s="26">
        <f>+_xlfn.XLOOKUP(Tabla2[[#This Row],[CODIGO]],Tabla4[CODIGO],Tabla4[CUBICACION PROM / MODULO (PRESUPUESTO)],"",0)</f>
        <v>3.5</v>
      </c>
      <c r="F100" s="2">
        <f>+_xlfn.XLOOKUP(Tabla2[[#This Row],[CODIGO]],PRODUCTOS[CODIGO],PRODUCTOS[PPTO_ACTUALIZADO],"",0)</f>
        <v>0</v>
      </c>
      <c r="G100" s="2">
        <f>+_xlfn.XLOOKUP(Tabla2[[#This Row],[CODIGO]],PRODUCTOS[CODIGO],PRODUCTOS[PRECIO COMPRA UNITARIO],"",0)</f>
        <v>8951.4408602150543</v>
      </c>
      <c r="H100" s="5">
        <f>+IFERROR(Tabla2[[#This Row],[PRECIO PROMEDIO]]-Tabla2[[#This Row],[PRECIO PPTO]],"")</f>
        <v>8951.4408602150543</v>
      </c>
      <c r="I100" s="2">
        <f>+IFERROR(Tabla2[[#This Row],[CUB. PPTO]]*Tabla2[[#This Row],[PRECIO PPTO]],"")</f>
        <v>0</v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>
        <f>+_xlfn.XLOOKUP(Tabla2[[#This Row],[CODIGO]],PRODUCTOS[CODIGO],PRODUCTOS[PPTO_ACTUALIZADO],"",0)</f>
        <v>0</v>
      </c>
      <c r="G101" s="2">
        <f>+_xlfn.XLOOKUP(Tabla2[[#This Row],[CODIGO]],PRODUCTOS[CODIGO],PRODUCTOS[PRECIO COMPRA UNITARIO],"",0)</f>
        <v>3159.7953367875648</v>
      </c>
      <c r="H101" s="5">
        <f>+IFERROR(Tabla2[[#This Row],[PRECIO PROMEDIO]]-Tabla2[[#This Row],[PRECIO PPTO]],"")</f>
        <v>3159.7953367875648</v>
      </c>
      <c r="I101" s="2" t="str">
        <f>+IFERROR(Tabla2[[#This Row],[CUB. PPTO]]*Tabla2[[#This Row],[PRECIO PPTO]],"")</f>
        <v/>
      </c>
      <c r="J101" s="2">
        <f>+IFERROR(Tabla2[[#This Row],[CUB. GP]]*Tabla2[[#This Row],[PRECIO PROMEDIO]],"")</f>
        <v>4739.693005181347</v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>
        <f>+_xlfn.XLOOKUP(Tabla2[[#This Row],[CODIGO]],PRODUCTOS[CODIGO],PRODUCTOS[CANT X MODULO],"",0)</f>
        <v>0.26250000000000001</v>
      </c>
      <c r="E103" s="26">
        <f>+_xlfn.XLOOKUP(Tabla2[[#This Row],[CODIGO]],Tabla4[CODIGO],Tabla4[CUBICACION PROM / MODULO (PRESUPUESTO)],"",0)</f>
        <v>0.5</v>
      </c>
      <c r="F103" s="2">
        <f>+_xlfn.XLOOKUP(Tabla2[[#This Row],[CODIGO]],PRODUCTOS[CODIGO],PRODUCTOS[PPTO_ACTUALIZADO],"",0)</f>
        <v>0</v>
      </c>
      <c r="G103" s="2">
        <f>+_xlfn.XLOOKUP(Tabla2[[#This Row],[CODIGO]],PRODUCTOS[CODIGO],PRODUCTOS[PRECIO COMPRA UNITARIO],"",0)</f>
        <v>311.96296296296299</v>
      </c>
      <c r="H103" s="5">
        <f>+IFERROR(Tabla2[[#This Row],[PRECIO PROMEDIO]]-Tabla2[[#This Row],[PRECIO PPTO]],"")</f>
        <v>311.96296296296299</v>
      </c>
      <c r="I103" s="2">
        <f>+IFERROR(Tabla2[[#This Row],[CUB. PPTO]]*Tabla2[[#This Row],[PRECIO PPTO]],"")</f>
        <v>0</v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>
        <f>+_xlfn.XLOOKUP(Tabla2[[#This Row],[CODIGO]],PRODUCTOS[CODIGO],PRODUCTOS[CANT X MODULO],"",0)</f>
        <v>0.52500000000000002</v>
      </c>
      <c r="E108" s="26">
        <f>+_xlfn.XLOOKUP(Tabla2[[#This Row],[CODIGO]],Tabla4[CODIGO],Tabla4[CUBICACION PROM / MODULO (PRESUPUESTO)],"",0)</f>
        <v>1</v>
      </c>
      <c r="F108" s="2">
        <f>+_xlfn.XLOOKUP(Tabla2[[#This Row],[CODIGO]],PRODUCTOS[CODIGO],PRODUCTOS[PPTO_ACTUALIZADO],"",0)</f>
        <v>0</v>
      </c>
      <c r="G108" s="2">
        <f>+_xlfn.XLOOKUP(Tabla2[[#This Row],[CODIGO]],PRODUCTOS[CODIGO],PRODUCTOS[PRECIO COMPRA UNITARIO],"",0)</f>
        <v>1502.6363636363637</v>
      </c>
      <c r="H108" s="5">
        <f>+IFERROR(Tabla2[[#This Row],[PRECIO PROMEDIO]]-Tabla2[[#This Row],[PRECIO PPTO]],"")</f>
        <v>1502.6363636363637</v>
      </c>
      <c r="I108" s="2">
        <f>+IFERROR(Tabla2[[#This Row],[CUB. PPTO]]*Tabla2[[#This Row],[PRECIO PPTO]],"")</f>
        <v>0</v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>
        <f>+_xlfn.XLOOKUP(Tabla2[[#This Row],[CODIGO]],PRODUCTOS[CODIGO],PRODUCTOS[CANT X MODULO],"",0)</f>
        <v>1.05</v>
      </c>
      <c r="E111" s="26">
        <f>+_xlfn.XLOOKUP(Tabla2[[#This Row],[CODIGO]],Tabla4[CODIGO],Tabla4[CUBICACION PROM / MODULO (PRESUPUESTO)],"",0)</f>
        <v>1</v>
      </c>
      <c r="F111" s="2">
        <f>+_xlfn.XLOOKUP(Tabla2[[#This Row],[CODIGO]],PRODUCTOS[CODIGO],PRODUCTOS[PPTO_ACTUALIZADO],"",0)</f>
        <v>0</v>
      </c>
      <c r="G111" s="2">
        <f>+_xlfn.XLOOKUP(Tabla2[[#This Row],[CODIGO]],PRODUCTOS[CODIGO],PRODUCTOS[PRECIO COMPRA UNITARIO],"",0)</f>
        <v>1623.2142857142858</v>
      </c>
      <c r="H111" s="5">
        <f>+IFERROR(Tabla2[[#This Row],[PRECIO PROMEDIO]]-Tabla2[[#This Row],[PRECIO PPTO]],"")</f>
        <v>1623.2142857142858</v>
      </c>
      <c r="I111" s="2">
        <f>+IFERROR(Tabla2[[#This Row],[CUB. PPTO]]*Tabla2[[#This Row],[PRECIO PPTO]],"")</f>
        <v>0</v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449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7573.8642857142859</v>
      </c>
      <c r="H112" s="5">
        <f>+IFERROR(Tabla2[[#This Row],[PRECIO PROMEDIO]]-Tabla2[[#This Row],[PRECIO PPTO]],"")</f>
        <v>5.8642857142858702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11360.79642857143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7627.6349206349205</v>
      </c>
      <c r="H113" s="5">
        <f>+IFERROR(Tabla2[[#This Row],[PRECIO PROMEDIO]]-Tabla2[[#This Row],[PRECIO PPTO]],"")</f>
        <v>31.634920634920491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7627.6349206349205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439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>
        <f>+_xlfn.XLOOKUP(Tabla2[[#This Row],[CODIGO]],PRODUCTOS[CODIGO],PRODUCTOS[PPTO_ACTUALIZADO],"",0)</f>
        <v>0</v>
      </c>
      <c r="G115" s="2">
        <f>+_xlfn.XLOOKUP(Tabla2[[#This Row],[CODIGO]],PRODUCTOS[CODIGO],PRODUCTOS[PRECIO COMPRA UNITARIO],"",0)</f>
        <v>13092</v>
      </c>
      <c r="H115" s="5">
        <f>+IFERROR(Tabla2[[#This Row],[PRECIO PROMEDIO]]-Tabla2[[#This Row],[PRECIO PPTO]],"")</f>
        <v>13092</v>
      </c>
      <c r="I115" s="2" t="str">
        <f>+IFERROR(Tabla2[[#This Row],[CUB. PPTO]]*Tabla2[[#This Row],[PRECIO PPTO]],"")</f>
        <v/>
      </c>
      <c r="J115" s="2">
        <f>+IFERROR(Tabla2[[#This Row],[CUB. GP]]*Tabla2[[#This Row],[PRECIO PROMEDIO]],"")</f>
        <v>1669.8979591836735</v>
      </c>
    </row>
    <row r="116" spans="1:10" x14ac:dyDescent="0.25">
      <c r="A116">
        <v>2302045</v>
      </c>
      <c r="B116" t="s">
        <v>441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>
        <f>+_xlfn.XLOOKUP(Tabla2[[#This Row],[CODIGO]],PRODUCTOS[CODIGO],PRODUCTOS[PPTO_ACTUALIZADO],"",0)</f>
        <v>0</v>
      </c>
      <c r="G116" s="2">
        <f>+_xlfn.XLOOKUP(Tabla2[[#This Row],[CODIGO]],PRODUCTOS[CODIGO],PRODUCTOS[PRECIO COMPRA UNITARIO],"",0)</f>
        <v>25156</v>
      </c>
      <c r="H116" s="5">
        <f>+IFERROR(Tabla2[[#This Row],[PRECIO PROMEDIO]]-Tabla2[[#This Row],[PRECIO PPTO]],"")</f>
        <v>25156</v>
      </c>
      <c r="I116" s="2" t="str">
        <f>+IFERROR(Tabla2[[#This Row],[CUB. PPTO]]*Tabla2[[#This Row],[PRECIO PPTO]],"")</f>
        <v/>
      </c>
      <c r="J116" s="2">
        <f>+IFERROR(Tabla2[[#This Row],[CUB. GP]]*Tabla2[[#This Row],[PRECIO PROMEDIO]],"")</f>
        <v>3208.6734693877552</v>
      </c>
    </row>
    <row r="117" spans="1:10" x14ac:dyDescent="0.25">
      <c r="A117">
        <v>404745</v>
      </c>
      <c r="B117" t="s">
        <v>442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>
        <f>+_xlfn.XLOOKUP(Tabla2[[#This Row],[CODIGO]],PRODUCTOS[CODIGO],PRODUCTOS[PPTO_ACTUALIZADO],"",0)</f>
        <v>0</v>
      </c>
      <c r="G117" s="2">
        <f>+_xlfn.XLOOKUP(Tabla2[[#This Row],[CODIGO]],PRODUCTOS[CODIGO],PRODUCTOS[PRECIO COMPRA UNITARIO],"",0)</f>
        <v>8826</v>
      </c>
      <c r="H117" s="5">
        <f>+IFERROR(Tabla2[[#This Row],[PRECIO PROMEDIO]]-Tabla2[[#This Row],[PRECIO PPTO]],"")</f>
        <v>8826</v>
      </c>
      <c r="I117" s="2" t="str">
        <f>+IFERROR(Tabla2[[#This Row],[CUB. PPTO]]*Tabla2[[#This Row],[PRECIO PPTO]],"")</f>
        <v/>
      </c>
      <c r="J117" s="2">
        <f>+IFERROR(Tabla2[[#This Row],[CUB. GP]]*Tabla2[[#This Row],[PRECIO PROMEDIO]],"")</f>
        <v>8826</v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127867.16417910448</v>
      </c>
      <c r="H118" s="5">
        <f>+IFERROR(Tabla2[[#This Row],[PRECIO PROMEDIO]]-Tabla2[[#This Row],[PRECIO PPTO]],"")</f>
        <v>-20332.835820895518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127867.16417910448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443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>
        <f>+_xlfn.XLOOKUP(Tabla2[[#This Row],[CODIGO]],PRODUCTOS[CODIGO],PRODUCTOS[PPTO_ACTUALIZADO],"",0)</f>
        <v>0</v>
      </c>
      <c r="G120" s="2">
        <f>+_xlfn.XLOOKUP(Tabla2[[#This Row],[CODIGO]],PRODUCTOS[CODIGO],PRODUCTOS[PRECIO COMPRA UNITARIO],"",0)</f>
        <v>17300</v>
      </c>
      <c r="H120" s="5">
        <f>+IFERROR(Tabla2[[#This Row],[PRECIO PROMEDIO]]-Tabla2[[#This Row],[PRECIO PPTO]],"")</f>
        <v>17300</v>
      </c>
      <c r="I120" s="2" t="str">
        <f>+IFERROR(Tabla2[[#This Row],[CUB. PPTO]]*Tabla2[[#This Row],[PRECIO PPTO]],"")</f>
        <v/>
      </c>
      <c r="J120" s="2">
        <f>+IFERROR(Tabla2[[#This Row],[CUB. GP]]*Tabla2[[#This Row],[PRECIO PROMEDIO]],"")</f>
        <v>865.00000000000011</v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1889.6225352112676</v>
      </c>
      <c r="H123" s="5">
        <f>+IFERROR(Tabla2[[#This Row],[PRECIO PROMEDIO]]-Tabla2[[#This Row],[PRECIO PPTO]],"")</f>
        <v>0.56899121126753016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14172.169014084508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1699.1256179121838</v>
      </c>
      <c r="H127" s="5">
        <f>+IFERROR(Tabla2[[#This Row],[PRECIO PROMEDIO]]-Tabla2[[#This Row],[PRECIO PPTO]],"")</f>
        <v>-396.22451108781479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105345.78831055539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3320.294117647059</v>
      </c>
      <c r="H131" s="5">
        <f>+IFERROR(Tabla2[[#This Row],[PRECIO PROMEDIO]]-Tabla2[[#This Row],[PRECIO PPTO]],"")</f>
        <v>-83.705882352940989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3320.294117647059</v>
      </c>
    </row>
    <row r="132" spans="1:10" x14ac:dyDescent="0.25">
      <c r="A132">
        <v>2508988</v>
      </c>
      <c r="B132" t="s">
        <v>467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>
        <f>+_xlfn.XLOOKUP(Tabla2[[#This Row],[CODIGO]],PRODUCTOS[CODIGO],PRODUCTOS[PPTO_ACTUALIZADO],"",0)</f>
        <v>0</v>
      </c>
      <c r="G132" s="2">
        <f>+_xlfn.XLOOKUP(Tabla2[[#This Row],[CODIGO]],PRODUCTOS[CODIGO],PRODUCTOS[PRECIO COMPRA UNITARIO],"",0)</f>
        <v>142964</v>
      </c>
      <c r="H132" s="5">
        <f>+IFERROR(Tabla2[[#This Row],[PRECIO PROMEDIO]]-Tabla2[[#This Row],[PRECIO PPTO]],"")</f>
        <v>142964</v>
      </c>
      <c r="I132" s="2" t="str">
        <f>+IFERROR(Tabla2[[#This Row],[CUB. PPTO]]*Tabla2[[#This Row],[PRECIO PPTO]],"")</f>
        <v/>
      </c>
      <c r="J132" s="2">
        <f>+IFERROR(Tabla2[[#This Row],[CUB. GP]]*Tabla2[[#This Row],[PRECIO PROMEDIO]],"")</f>
        <v>142964</v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468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>
        <f>+_xlfn.XLOOKUP(Tabla2[[#This Row],[CODIGO]],PRODUCTOS[CODIGO],PRODUCTOS[PPTO_ACTUALIZADO],"",0)</f>
        <v>0</v>
      </c>
      <c r="G134" s="2">
        <f>+_xlfn.XLOOKUP(Tabla2[[#This Row],[CODIGO]],PRODUCTOS[CODIGO],PRODUCTOS[PRECIO COMPRA UNITARIO],"",0)</f>
        <v>14597.5</v>
      </c>
      <c r="H134" s="5">
        <f>+IFERROR(Tabla2[[#This Row],[PRECIO PROMEDIO]]-Tabla2[[#This Row],[PRECIO PPTO]],"")</f>
        <v>14597.5</v>
      </c>
      <c r="I134" s="2" t="str">
        <f>+IFERROR(Tabla2[[#This Row],[CUB. PPTO]]*Tabla2[[#This Row],[PRECIO PPTO]],"")</f>
        <v/>
      </c>
      <c r="J134" s="2">
        <f>+IFERROR(Tabla2[[#This Row],[CUB. GP]]*Tabla2[[#This Row],[PRECIO PROMEDIO]],"")</f>
        <v>14597.5</v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495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494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493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557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558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704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>
        <f>+_xlfn.XLOOKUP(Tabla2[[#This Row],[CODIGO]],PRODUCTOS[CODIGO],PRODUCTOS[PPTO_ACTUALIZADO],"",0)</f>
        <v>0</v>
      </c>
      <c r="G148" s="2">
        <f>+_xlfn.XLOOKUP(Tabla2[[#This Row],[CODIGO]],PRODUCTOS[CODIGO],PRODUCTOS[PRECIO COMPRA UNITARIO],"",0)</f>
        <v>2424.25</v>
      </c>
      <c r="H148" s="5">
        <f>+IFERROR(Tabla2[[#This Row],[PRECIO PROMEDIO]]-Tabla2[[#This Row],[PRECIO PPTO]],"")</f>
        <v>2424.25</v>
      </c>
      <c r="I148" s="2" t="str">
        <f>+IFERROR(Tabla2[[#This Row],[CUB. PPTO]]*Tabla2[[#This Row],[PRECIO PPTO]],"")</f>
        <v/>
      </c>
      <c r="J148" s="2">
        <f>+IFERROR(Tabla2[[#This Row],[CUB. GP]]*Tabla2[[#This Row],[PRECIO PROMEDIO]],"")</f>
        <v>4848.5</v>
      </c>
    </row>
    <row r="149" spans="1:10" x14ac:dyDescent="0.25">
      <c r="A149" t="s">
        <v>559</v>
      </c>
      <c r="B149" t="s">
        <v>705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>
        <f>+_xlfn.XLOOKUP(Tabla2[[#This Row],[CODIGO]],PRODUCTOS[CODIGO],PRODUCTOS[PPTO_ACTUALIZADO],"",0)</f>
        <v>0</v>
      </c>
      <c r="G149" s="2">
        <f>+_xlfn.XLOOKUP(Tabla2[[#This Row],[CODIGO]],PRODUCTOS[CODIGO],PRODUCTOS[PRECIO COMPRA UNITARIO],"",0)</f>
        <v>328.26666666666665</v>
      </c>
      <c r="H149" s="5">
        <f>+IFERROR(Tabla2[[#This Row],[PRECIO PROMEDIO]]-Tabla2[[#This Row],[PRECIO PPTO]],"")</f>
        <v>328.26666666666665</v>
      </c>
      <c r="I149" s="2" t="str">
        <f>+IFERROR(Tabla2[[#This Row],[CUB. PPTO]]*Tabla2[[#This Row],[PRECIO PPTO]],"")</f>
        <v/>
      </c>
      <c r="J149" s="2">
        <f>+IFERROR(Tabla2[[#This Row],[CUB. GP]]*Tabla2[[#This Row],[PRECIO PROMEDIO]],"")</f>
        <v>406.39413333333323</v>
      </c>
    </row>
    <row r="150" spans="1:10" x14ac:dyDescent="0.25">
      <c r="A150">
        <v>2508986</v>
      </c>
      <c r="B150" t="s">
        <v>706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>
        <f>+_xlfn.XLOOKUP(Tabla2[[#This Row],[CODIGO]],PRODUCTOS[CODIGO],PRODUCTOS[PPTO_ACTUALIZADO],"",0)</f>
        <v>0</v>
      </c>
      <c r="G150" s="2">
        <f>+_xlfn.XLOOKUP(Tabla2[[#This Row],[CODIGO]],PRODUCTOS[CODIGO],PRODUCTOS[PRECIO COMPRA UNITARIO],"",0)</f>
        <v>102622</v>
      </c>
      <c r="H150" s="5">
        <f>+IFERROR(Tabla2[[#This Row],[PRECIO PROMEDIO]]-Tabla2[[#This Row],[PRECIO PPTO]],"")</f>
        <v>102622</v>
      </c>
      <c r="I150" s="2" t="str">
        <f>+IFERROR(Tabla2[[#This Row],[CUB. PPTO]]*Tabla2[[#This Row],[PRECIO PPTO]],"")</f>
        <v/>
      </c>
      <c r="J150" s="2">
        <f>+IFERROR(Tabla2[[#This Row],[CUB. GP]]*Tabla2[[#This Row],[PRECIO PROMEDIO]],"")</f>
        <v>102622</v>
      </c>
    </row>
    <row r="151" spans="1:10" x14ac:dyDescent="0.25">
      <c r="A151">
        <v>2508990</v>
      </c>
      <c r="B151" t="s">
        <v>482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6676.6951219512193</v>
      </c>
      <c r="H151" s="5">
        <f>+IFERROR(Tabla2[[#This Row],[PRECIO PROMEDIO]]-Tabla2[[#This Row],[PRECIO PPTO]],"")</f>
        <v>-61.304878048780665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13353.390243902439</v>
      </c>
    </row>
    <row r="152" spans="1:10" x14ac:dyDescent="0.25">
      <c r="A152">
        <v>2508991</v>
      </c>
      <c r="B152" t="s">
        <v>483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484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485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1475.2738095238096</v>
      </c>
      <c r="H154" s="5">
        <f>+IFERROR(Tabla2[[#This Row],[PRECIO PROMEDIO]]-Tabla2[[#This Row],[PRECIO PPTO]],"")</f>
        <v>65.273809523809632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2950.5476190476193</v>
      </c>
    </row>
    <row r="155" spans="1:10" x14ac:dyDescent="0.25">
      <c r="A155">
        <v>2508994</v>
      </c>
      <c r="B155" t="s">
        <v>486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547.98199999999997</v>
      </c>
      <c r="H157" s="5">
        <f>+IFERROR(Tabla2[[#This Row],[PRECIO PROMEDIO]]-Tabla2[[#This Row],[PRECIO PPTO]],"")</f>
        <v>-19.018000000000029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4383.8559999999998</v>
      </c>
    </row>
    <row r="158" spans="1:10" x14ac:dyDescent="0.25">
      <c r="A158">
        <v>304012</v>
      </c>
      <c r="B158" t="s">
        <v>707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>
        <f>+_xlfn.XLOOKUP(Tabla2[[#This Row],[CODIGO]],PRODUCTOS[CODIGO],PRODUCTOS[PPTO_ACTUALIZADO],"",0)</f>
        <v>0</v>
      </c>
      <c r="G158" s="2">
        <f>+_xlfn.XLOOKUP(Tabla2[[#This Row],[CODIGO]],PRODUCTOS[CODIGO],PRODUCTOS[PRECIO COMPRA UNITARIO],"",0)</f>
        <v>6056.5714285714284</v>
      </c>
      <c r="H158" s="5">
        <f>+IFERROR(Tabla2[[#This Row],[PRECIO PROMEDIO]]-Tabla2[[#This Row],[PRECIO PPTO]],"")</f>
        <v>6056.5714285714284</v>
      </c>
      <c r="I158" s="2" t="str">
        <f>+IFERROR(Tabla2[[#This Row],[CUB. PPTO]]*Tabla2[[#This Row],[PRECIO PPTO]],"")</f>
        <v/>
      </c>
      <c r="J158" s="2">
        <f>+IFERROR(Tabla2[[#This Row],[CUB. GP]]*Tabla2[[#This Row],[PRECIO PROMEDIO]],"")</f>
        <v>24226.285714285714</v>
      </c>
    </row>
    <row r="159" spans="1:10" x14ac:dyDescent="0.25">
      <c r="A159">
        <v>2505426</v>
      </c>
      <c r="B159" t="s">
        <v>708</v>
      </c>
      <c r="C159" t="str">
        <f>+_xlfn.XLOOKUP(Tabla2[[#This Row],[CODIGO]],PRODUCTOS[CODIGO],PRODUCTOS[DESC CORTA],"",0)</f>
        <v/>
      </c>
      <c r="D159" s="26">
        <f>+_xlfn.XLOOKUP(Tabla2[[#This Row],[CODIGO]],PRODUCTOS[CODIGO],PRODUCTOS[CANT X MODULO],"",0)</f>
        <v>0</v>
      </c>
      <c r="E159" s="26">
        <f>+_xlfn.XLOOKUP(Tabla2[[#This Row],[CODIGO]],Tabla4[CODIGO],Tabla4[CUBICACION PROM / MODULO (PRESUPUESTO)],"",0)</f>
        <v>2</v>
      </c>
      <c r="F159" s="2">
        <f>+_xlfn.XLOOKUP(Tabla2[[#This Row],[CODIGO]],PRODUCTOS[CODIGO],PRODUCTOS[PPTO_ACTUALIZADO],"",0)</f>
        <v>0</v>
      </c>
      <c r="G159" s="2">
        <f>+_xlfn.XLOOKUP(Tabla2[[#This Row],[CODIGO]],PRODUCTOS[CODIGO],PRODUCTOS[PRECIO COMPRA UNITARIO],"",0)</f>
        <v>1740.8823529411766</v>
      </c>
      <c r="H159" s="5">
        <f>+IFERROR(Tabla2[[#This Row],[PRECIO PROMEDIO]]-Tabla2[[#This Row],[PRECIO PPTO]],"")</f>
        <v>1740.8823529411766</v>
      </c>
      <c r="I159" s="2">
        <f>+IFERROR(Tabla2[[#This Row],[CUB. PPTO]]*Tabla2[[#This Row],[PRECIO PPTO]],"")</f>
        <v>0</v>
      </c>
      <c r="J159" s="2">
        <f>+IFERROR(Tabla2[[#This Row],[CUB. GP]]*Tabla2[[#This Row],[PRECIO PROMEDIO]],"")</f>
        <v>3481.7647058823532</v>
      </c>
    </row>
    <row r="160" spans="1:10" x14ac:dyDescent="0.25">
      <c r="A160">
        <v>1801161</v>
      </c>
      <c r="B160" t="s">
        <v>709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710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>
        <f>+_xlfn.XLOOKUP(Tabla2[[#This Row],[CODIGO]],PRODUCTOS[CODIGO],PRODUCTOS[PPTO_ACTUALIZADO],"",0)</f>
        <v>0</v>
      </c>
      <c r="G161" s="2">
        <f>+_xlfn.XLOOKUP(Tabla2[[#This Row],[CODIGO]],PRODUCTOS[CODIGO],PRODUCTOS[PRECIO COMPRA UNITARIO],"",0)</f>
        <v>1229.6774193548388</v>
      </c>
      <c r="H161" s="5">
        <f>+IFERROR(Tabla2[[#This Row],[PRECIO PROMEDIO]]-Tabla2[[#This Row],[PRECIO PPTO]],"")</f>
        <v>1229.6774193548388</v>
      </c>
      <c r="I161" s="2" t="str">
        <f>+IFERROR(Tabla2[[#This Row],[CUB. PPTO]]*Tabla2[[#This Row],[PRECIO PPTO]],"")</f>
        <v/>
      </c>
      <c r="J161" s="2">
        <f>+IFERROR(Tabla2[[#This Row],[CUB. GP]]*Tabla2[[#This Row],[PRECIO PROMEDIO]],"")</f>
        <v>2459.3548387096776</v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3245966.9724523211</v>
      </c>
      <c r="I166" s="2">
        <f>SUM(Tabla2[PROYECCION PPTO])</f>
        <v>8004198.3624865944</v>
      </c>
      <c r="J166" s="2">
        <f>SUM(Tabla2[PROYECCIÓN PRECIO ACTUALIZADO])</f>
        <v>10355120.540854022</v>
      </c>
    </row>
    <row r="168" spans="1:10" x14ac:dyDescent="0.25">
      <c r="G168" s="2">
        <f>+G166-F166</f>
        <v>501363.06271733856</v>
      </c>
      <c r="J168" s="2">
        <f>+J166-I166</f>
        <v>2350922.1783674276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734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717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442</v>
      </c>
      <c r="C20">
        <v>1</v>
      </c>
    </row>
    <row r="21" spans="1:3" x14ac:dyDescent="0.25">
      <c r="A21">
        <v>404793</v>
      </c>
      <c r="B21" t="s">
        <v>481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718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719</v>
      </c>
      <c r="C43">
        <v>1</v>
      </c>
    </row>
    <row r="44" spans="1:3" x14ac:dyDescent="0.25">
      <c r="A44">
        <v>412132</v>
      </c>
      <c r="B44" t="s">
        <v>720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721</v>
      </c>
      <c r="C56">
        <v>4.9999999999999996E-2</v>
      </c>
    </row>
    <row r="57" spans="1:3" x14ac:dyDescent="0.25">
      <c r="A57">
        <v>602257</v>
      </c>
      <c r="B57" t="s">
        <v>722</v>
      </c>
      <c r="C57">
        <v>0.39999999999999997</v>
      </c>
    </row>
    <row r="58" spans="1:3" x14ac:dyDescent="0.25">
      <c r="A58">
        <v>602258</v>
      </c>
      <c r="B58" t="s">
        <v>723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724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725</v>
      </c>
      <c r="B79" t="s">
        <v>726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557</v>
      </c>
      <c r="C85">
        <v>1</v>
      </c>
    </row>
    <row r="86" spans="1:3" x14ac:dyDescent="0.25">
      <c r="A86">
        <v>1103087</v>
      </c>
      <c r="B86" t="s">
        <v>558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727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728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475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729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439</v>
      </c>
      <c r="C136">
        <v>0.12755102040816327</v>
      </c>
    </row>
    <row r="137" spans="1:3" x14ac:dyDescent="0.25">
      <c r="A137">
        <v>2302045</v>
      </c>
      <c r="B137" t="s">
        <v>441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730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474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706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467</v>
      </c>
      <c r="C152">
        <v>1</v>
      </c>
    </row>
    <row r="153" spans="1:3" x14ac:dyDescent="0.25">
      <c r="A153">
        <v>2508990</v>
      </c>
      <c r="B153" t="s">
        <v>482</v>
      </c>
      <c r="C153">
        <v>2</v>
      </c>
    </row>
    <row r="154" spans="1:3" x14ac:dyDescent="0.25">
      <c r="A154">
        <v>2508991</v>
      </c>
      <c r="B154" t="s">
        <v>483</v>
      </c>
      <c r="C154">
        <v>2</v>
      </c>
    </row>
    <row r="155" spans="1:3" x14ac:dyDescent="0.25">
      <c r="A155">
        <v>2508992</v>
      </c>
      <c r="B155" t="s">
        <v>484</v>
      </c>
      <c r="C155">
        <v>1.5</v>
      </c>
    </row>
    <row r="156" spans="1:3" x14ac:dyDescent="0.25">
      <c r="A156">
        <v>2508993</v>
      </c>
      <c r="B156" t="s">
        <v>485</v>
      </c>
      <c r="C156">
        <v>2</v>
      </c>
    </row>
    <row r="157" spans="1:3" x14ac:dyDescent="0.25">
      <c r="A157">
        <v>2508994</v>
      </c>
      <c r="B157" t="s">
        <v>486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468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731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732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733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1717</v>
      </c>
      <c r="B1" t="s">
        <v>1718</v>
      </c>
      <c r="C1" t="s">
        <v>12</v>
      </c>
      <c r="D1" t="s">
        <v>1714</v>
      </c>
      <c r="E1" t="s">
        <v>1588</v>
      </c>
      <c r="F1" s="48" t="s">
        <v>1715</v>
      </c>
      <c r="G1" t="s">
        <v>1716</v>
      </c>
      <c r="H1" t="s">
        <v>819</v>
      </c>
      <c r="I1" t="s">
        <v>822</v>
      </c>
      <c r="J1" t="s">
        <v>2001</v>
      </c>
      <c r="M1" s="1" t="s">
        <v>1713</v>
      </c>
      <c r="N1" t="s">
        <v>776</v>
      </c>
      <c r="O1" t="s">
        <v>1728</v>
      </c>
      <c r="P1" t="s">
        <v>1729</v>
      </c>
      <c r="Q1" t="s">
        <v>1730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t="s">
        <v>114</v>
      </c>
      <c r="H2" t="s">
        <v>829</v>
      </c>
      <c r="I2" t="s">
        <v>830</v>
      </c>
      <c r="J2" t="e">
        <f>+GD_MODULOS[[#This Row],[CANTIDAD]]+J1</f>
        <v>#VALUE!</v>
      </c>
      <c r="M2" s="1">
        <v>46147</v>
      </c>
      <c r="N2" t="s">
        <v>1628</v>
      </c>
      <c r="O2">
        <v>2</v>
      </c>
      <c r="P2" t="s">
        <v>1731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t="s">
        <v>150</v>
      </c>
      <c r="H3" t="s">
        <v>829</v>
      </c>
      <c r="I3" t="s">
        <v>831</v>
      </c>
      <c r="J3" t="e">
        <f>+GD_MODULOS[[#This Row],[CANTIDAD]]+J2</f>
        <v>#VALUE!</v>
      </c>
      <c r="M3" s="1">
        <v>46148</v>
      </c>
      <c r="N3" t="s">
        <v>1628</v>
      </c>
      <c r="O3">
        <v>2</v>
      </c>
      <c r="P3" t="s">
        <v>1732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t="s">
        <v>834</v>
      </c>
      <c r="H4" t="s">
        <v>829</v>
      </c>
      <c r="I4" t="s">
        <v>831</v>
      </c>
      <c r="J4" t="e">
        <f>+GD_MODULOS[[#This Row],[CANTIDAD]]+J3</f>
        <v>#VALUE!</v>
      </c>
      <c r="M4" s="1">
        <v>46149</v>
      </c>
      <c r="N4" t="s">
        <v>1628</v>
      </c>
      <c r="O4">
        <v>2</v>
      </c>
      <c r="P4" t="s">
        <v>1733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t="s">
        <v>176</v>
      </c>
      <c r="H5" t="s">
        <v>829</v>
      </c>
      <c r="I5" t="s">
        <v>830</v>
      </c>
      <c r="J5" t="e">
        <f>+GD_MODULOS[[#This Row],[CANTIDAD]]+J4</f>
        <v>#VALUE!</v>
      </c>
      <c r="M5" s="1">
        <v>46150</v>
      </c>
      <c r="N5" t="s">
        <v>1628</v>
      </c>
      <c r="O5">
        <v>2</v>
      </c>
      <c r="P5" t="s">
        <v>1734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t="s">
        <v>839</v>
      </c>
      <c r="H6" t="s">
        <v>829</v>
      </c>
      <c r="I6" t="s">
        <v>830</v>
      </c>
      <c r="J6" t="e">
        <f>+GD_MODULOS[[#This Row],[CANTIDAD]]+J5</f>
        <v>#VALUE!</v>
      </c>
      <c r="M6" s="1">
        <v>46151</v>
      </c>
      <c r="N6" t="s">
        <v>1628</v>
      </c>
      <c r="O6">
        <v>2</v>
      </c>
      <c r="P6" t="s">
        <v>1735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t="s">
        <v>840</v>
      </c>
      <c r="H7" t="s">
        <v>829</v>
      </c>
      <c r="I7" t="s">
        <v>831</v>
      </c>
      <c r="J7" t="e">
        <f>+GD_MODULOS[[#This Row],[CANTIDAD]]+J6</f>
        <v>#VALUE!</v>
      </c>
      <c r="M7" s="1">
        <v>46154</v>
      </c>
      <c r="N7" t="s">
        <v>1628</v>
      </c>
      <c r="O7">
        <v>2</v>
      </c>
      <c r="P7" t="s">
        <v>1736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t="s">
        <v>75</v>
      </c>
      <c r="H8" t="s">
        <v>829</v>
      </c>
      <c r="I8" t="s">
        <v>831</v>
      </c>
      <c r="J8" t="e">
        <f>+GD_MODULOS[[#This Row],[CANTIDAD]]+J7</f>
        <v>#VALUE!</v>
      </c>
      <c r="M8" s="1">
        <v>46155</v>
      </c>
      <c r="N8" t="s">
        <v>1628</v>
      </c>
      <c r="O8">
        <v>2</v>
      </c>
      <c r="P8" t="s">
        <v>1737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t="s">
        <v>846</v>
      </c>
      <c r="H9" t="s">
        <v>829</v>
      </c>
      <c r="I9" t="s">
        <v>830</v>
      </c>
      <c r="J9" t="e">
        <f>+GD_MODULOS[[#This Row],[CANTIDAD]]+J8</f>
        <v>#VALUE!</v>
      </c>
      <c r="M9" s="1">
        <v>46156</v>
      </c>
      <c r="N9" t="s">
        <v>1628</v>
      </c>
      <c r="O9">
        <v>2</v>
      </c>
      <c r="P9" t="s">
        <v>1738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t="s">
        <v>847</v>
      </c>
      <c r="H10" t="s">
        <v>829</v>
      </c>
      <c r="I10" t="s">
        <v>831</v>
      </c>
      <c r="J10" t="e">
        <f>+GD_MODULOS[[#This Row],[CANTIDAD]]+J9</f>
        <v>#VALUE!</v>
      </c>
      <c r="M10" s="1">
        <v>46157</v>
      </c>
      <c r="N10" t="s">
        <v>1628</v>
      </c>
      <c r="O10">
        <v>2</v>
      </c>
      <c r="P10" t="s">
        <v>1739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t="s">
        <v>224</v>
      </c>
      <c r="H11" t="s">
        <v>829</v>
      </c>
      <c r="I11" t="s">
        <v>831</v>
      </c>
      <c r="J11" t="e">
        <f>+GD_MODULOS[[#This Row],[CANTIDAD]]+J10</f>
        <v>#VALUE!</v>
      </c>
      <c r="M11" s="1">
        <v>46158</v>
      </c>
      <c r="N11" t="s">
        <v>1628</v>
      </c>
      <c r="O11">
        <v>2</v>
      </c>
      <c r="P11" t="s">
        <v>1740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t="s">
        <v>841</v>
      </c>
      <c r="H12" t="s">
        <v>829</v>
      </c>
      <c r="I12" t="s">
        <v>831</v>
      </c>
      <c r="J12" t="e">
        <f>+GD_MODULOS[[#This Row],[CANTIDAD]]+J11</f>
        <v>#VALUE!</v>
      </c>
      <c r="M12" s="1">
        <v>46161</v>
      </c>
      <c r="N12" t="s">
        <v>1628</v>
      </c>
      <c r="O12">
        <v>2</v>
      </c>
      <c r="P12" t="s">
        <v>1741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t="s">
        <v>848</v>
      </c>
      <c r="H13" t="s">
        <v>829</v>
      </c>
      <c r="I13" t="s">
        <v>831</v>
      </c>
      <c r="J13" t="e">
        <f>+GD_MODULOS[[#This Row],[CANTIDAD]]+J12</f>
        <v>#VALUE!</v>
      </c>
      <c r="M13" s="1">
        <v>46162</v>
      </c>
      <c r="N13" t="s">
        <v>1628</v>
      </c>
      <c r="O13">
        <v>2</v>
      </c>
      <c r="P13" t="s">
        <v>1742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t="s">
        <v>842</v>
      </c>
      <c r="H14" t="s">
        <v>829</v>
      </c>
      <c r="I14" t="s">
        <v>830</v>
      </c>
      <c r="J14" t="e">
        <f>+GD_MODULOS[[#This Row],[CANTIDAD]]+J13</f>
        <v>#VALUE!</v>
      </c>
      <c r="M14" s="1">
        <v>46164</v>
      </c>
      <c r="N14" t="s">
        <v>1628</v>
      </c>
      <c r="O14">
        <v>2</v>
      </c>
      <c r="P14" t="s">
        <v>1743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t="s">
        <v>200</v>
      </c>
      <c r="H15" t="s">
        <v>829</v>
      </c>
      <c r="I15" t="s">
        <v>831</v>
      </c>
      <c r="J15" t="e">
        <f>+GD_MODULOS[[#This Row],[CANTIDAD]]+J14</f>
        <v>#VALUE!</v>
      </c>
      <c r="M15" s="1">
        <v>46165</v>
      </c>
      <c r="N15" t="s">
        <v>1628</v>
      </c>
      <c r="O15">
        <v>1</v>
      </c>
      <c r="P15" t="s">
        <v>1744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t="s">
        <v>198</v>
      </c>
      <c r="H16" t="s">
        <v>829</v>
      </c>
      <c r="I16" t="s">
        <v>830</v>
      </c>
      <c r="J16" t="e">
        <f>+GD_MODULOS[[#This Row],[CANTIDAD]]+J15</f>
        <v>#VALUE!</v>
      </c>
      <c r="M16" s="1">
        <v>46168</v>
      </c>
      <c r="N16" t="s">
        <v>1628</v>
      </c>
      <c r="O16">
        <v>1</v>
      </c>
      <c r="P16" t="s">
        <v>1745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t="s">
        <v>849</v>
      </c>
      <c r="H17" t="s">
        <v>829</v>
      </c>
      <c r="I17" t="s">
        <v>830</v>
      </c>
      <c r="J17" t="e">
        <f>+GD_MODULOS[[#This Row],[CANTIDAD]]+J16</f>
        <v>#VALUE!</v>
      </c>
      <c r="M17" s="1">
        <v>46169</v>
      </c>
      <c r="N17" t="s">
        <v>1628</v>
      </c>
      <c r="O17">
        <v>1</v>
      </c>
      <c r="P17" t="s">
        <v>1746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t="s">
        <v>836</v>
      </c>
      <c r="H18" t="s">
        <v>829</v>
      </c>
      <c r="I18" t="s">
        <v>831</v>
      </c>
      <c r="J18" t="e">
        <f>+GD_MODULOS[[#This Row],[CANTIDAD]]+J17</f>
        <v>#VALUE!</v>
      </c>
      <c r="M18" s="1">
        <v>46170</v>
      </c>
      <c r="N18" t="s">
        <v>1628</v>
      </c>
      <c r="O18">
        <v>1</v>
      </c>
      <c r="P18" t="s">
        <v>1747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t="s">
        <v>835</v>
      </c>
      <c r="H19" t="s">
        <v>829</v>
      </c>
      <c r="I19" t="s">
        <v>830</v>
      </c>
      <c r="J19" t="e">
        <f>+GD_MODULOS[[#This Row],[CANTIDAD]]+J18</f>
        <v>#VALUE!</v>
      </c>
      <c r="M19" s="1">
        <v>46171</v>
      </c>
      <c r="N19" t="s">
        <v>1628</v>
      </c>
      <c r="O19">
        <v>1</v>
      </c>
      <c r="P19" t="s">
        <v>1748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t="s">
        <v>843</v>
      </c>
      <c r="H20" t="s">
        <v>829</v>
      </c>
      <c r="I20" t="s">
        <v>830</v>
      </c>
      <c r="J20" t="e">
        <f>+GD_MODULOS[[#This Row],[CANTIDAD]]+J19</f>
        <v>#VALUE!</v>
      </c>
      <c r="M20" s="1">
        <v>46172</v>
      </c>
      <c r="N20" t="s">
        <v>1628</v>
      </c>
      <c r="O20">
        <v>1</v>
      </c>
      <c r="P20" t="s">
        <v>1749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t="s">
        <v>833</v>
      </c>
      <c r="H21" t="s">
        <v>829</v>
      </c>
      <c r="I21" t="s">
        <v>830</v>
      </c>
      <c r="J21" t="e">
        <f>+GD_MODULOS[[#This Row],[CANTIDAD]]+J20</f>
        <v>#VALUE!</v>
      </c>
      <c r="M21" s="1">
        <v>46175</v>
      </c>
      <c r="N21" t="s">
        <v>1629</v>
      </c>
      <c r="O21">
        <v>2</v>
      </c>
      <c r="P21" t="s">
        <v>1750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t="s">
        <v>837</v>
      </c>
      <c r="H22" t="s">
        <v>829</v>
      </c>
      <c r="I22" t="s">
        <v>831</v>
      </c>
      <c r="J22" t="e">
        <f>+GD_MODULOS[[#This Row],[CANTIDAD]]+J21</f>
        <v>#VALUE!</v>
      </c>
      <c r="M22" s="1">
        <v>46176</v>
      </c>
      <c r="N22" t="s">
        <v>1629</v>
      </c>
      <c r="O22">
        <v>2</v>
      </c>
      <c r="P22" t="s">
        <v>1751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t="s">
        <v>832</v>
      </c>
      <c r="H23" t="s">
        <v>829</v>
      </c>
      <c r="I23" t="s">
        <v>831</v>
      </c>
      <c r="J23" t="e">
        <f>+GD_MODULOS[[#This Row],[CANTIDAD]]+J22</f>
        <v>#VALUE!</v>
      </c>
      <c r="M23" s="1">
        <v>46177</v>
      </c>
      <c r="N23" t="s">
        <v>1629</v>
      </c>
      <c r="O23">
        <v>2</v>
      </c>
      <c r="P23" t="s">
        <v>1752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t="s">
        <v>227</v>
      </c>
      <c r="H24" t="s">
        <v>829</v>
      </c>
      <c r="I24" t="s">
        <v>830</v>
      </c>
      <c r="J24" t="e">
        <f>+GD_MODULOS[[#This Row],[CANTIDAD]]+J23</f>
        <v>#VALUE!</v>
      </c>
      <c r="M24" s="1">
        <v>46178</v>
      </c>
      <c r="N24" t="s">
        <v>1629</v>
      </c>
      <c r="O24">
        <v>2</v>
      </c>
      <c r="P24" t="s">
        <v>1753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t="s">
        <v>123</v>
      </c>
      <c r="H25" t="s">
        <v>829</v>
      </c>
      <c r="I25" t="s">
        <v>830</v>
      </c>
      <c r="J25" t="e">
        <f>+GD_MODULOS[[#This Row],[CANTIDAD]]+J24</f>
        <v>#VALUE!</v>
      </c>
      <c r="M25" s="1">
        <v>46179</v>
      </c>
      <c r="N25" t="s">
        <v>1629</v>
      </c>
      <c r="O25">
        <v>2</v>
      </c>
      <c r="P25" t="s">
        <v>1754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t="s">
        <v>844</v>
      </c>
      <c r="H26" t="s">
        <v>829</v>
      </c>
      <c r="I26" t="s">
        <v>831</v>
      </c>
      <c r="J26" t="e">
        <f>+GD_MODULOS[[#This Row],[CANTIDAD]]+J25</f>
        <v>#VALUE!</v>
      </c>
      <c r="M26" s="1">
        <v>46182</v>
      </c>
      <c r="N26" t="s">
        <v>1629</v>
      </c>
      <c r="O26">
        <v>2</v>
      </c>
      <c r="P26" t="s">
        <v>1755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t="s">
        <v>850</v>
      </c>
      <c r="H27" t="s">
        <v>829</v>
      </c>
      <c r="I27" t="s">
        <v>830</v>
      </c>
      <c r="J27" t="e">
        <f>+GD_MODULOS[[#This Row],[CANTIDAD]]+J26</f>
        <v>#VALUE!</v>
      </c>
      <c r="M27" s="1">
        <v>46183</v>
      </c>
      <c r="N27" t="s">
        <v>1629</v>
      </c>
      <c r="O27">
        <v>2</v>
      </c>
      <c r="P27" t="s">
        <v>1756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t="s">
        <v>851</v>
      </c>
      <c r="H28" t="s">
        <v>829</v>
      </c>
      <c r="I28" t="s">
        <v>831</v>
      </c>
      <c r="J28" t="e">
        <f>+GD_MODULOS[[#This Row],[CANTIDAD]]+J27</f>
        <v>#VALUE!</v>
      </c>
      <c r="M28" s="1">
        <v>46184</v>
      </c>
      <c r="N28" t="s">
        <v>1629</v>
      </c>
      <c r="O28">
        <v>2</v>
      </c>
      <c r="P28" t="s">
        <v>1757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t="s">
        <v>838</v>
      </c>
      <c r="H29" t="s">
        <v>829</v>
      </c>
      <c r="I29" t="s">
        <v>830</v>
      </c>
      <c r="J29" t="e">
        <f>+GD_MODULOS[[#This Row],[CANTIDAD]]+J28</f>
        <v>#VALUE!</v>
      </c>
      <c r="M29" s="1">
        <v>46185</v>
      </c>
      <c r="N29" t="s">
        <v>1629</v>
      </c>
      <c r="O29">
        <v>2</v>
      </c>
      <c r="P29" t="s">
        <v>1758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t="s">
        <v>220</v>
      </c>
      <c r="H30" t="s">
        <v>829</v>
      </c>
      <c r="I30" t="s">
        <v>830</v>
      </c>
      <c r="J30" t="e">
        <f>+GD_MODULOS[[#This Row],[CANTIDAD]]+J29</f>
        <v>#VALUE!</v>
      </c>
      <c r="M30" s="1">
        <v>46186</v>
      </c>
      <c r="N30" t="s">
        <v>1629</v>
      </c>
      <c r="O30">
        <v>2</v>
      </c>
      <c r="P30" t="s">
        <v>1759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t="s">
        <v>845</v>
      </c>
      <c r="H31" t="s">
        <v>829</v>
      </c>
      <c r="I31" t="s">
        <v>831</v>
      </c>
      <c r="J31" t="e">
        <f>+GD_MODULOS[[#This Row],[CANTIDAD]]+J30</f>
        <v>#VALUE!</v>
      </c>
      <c r="M31" s="1">
        <v>46189</v>
      </c>
      <c r="N31" t="s">
        <v>1629</v>
      </c>
      <c r="O31">
        <v>2</v>
      </c>
      <c r="P31" t="s">
        <v>1760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t="s">
        <v>852</v>
      </c>
      <c r="H32" t="s">
        <v>829</v>
      </c>
      <c r="I32" t="s">
        <v>831</v>
      </c>
      <c r="J32" t="e">
        <f>+GD_MODULOS[[#This Row],[CANTIDAD]]+J31</f>
        <v>#VALUE!</v>
      </c>
      <c r="M32" s="1">
        <v>46190</v>
      </c>
      <c r="N32" t="s">
        <v>1629</v>
      </c>
      <c r="O32">
        <v>2</v>
      </c>
      <c r="P32" t="s">
        <v>1761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t="s">
        <v>853</v>
      </c>
      <c r="H33" t="s">
        <v>829</v>
      </c>
      <c r="I33" t="s">
        <v>830</v>
      </c>
      <c r="J33" t="e">
        <f>+GD_MODULOS[[#This Row],[CANTIDAD]]+J32</f>
        <v>#VALUE!</v>
      </c>
      <c r="M33" s="1">
        <v>46191</v>
      </c>
      <c r="N33" t="s">
        <v>1629</v>
      </c>
      <c r="O33">
        <v>2</v>
      </c>
      <c r="P33" t="s">
        <v>1762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t="s">
        <v>857</v>
      </c>
      <c r="H34" t="s">
        <v>854</v>
      </c>
      <c r="I34" t="s">
        <v>831</v>
      </c>
      <c r="J34" t="e">
        <f>+GD_MODULOS[[#This Row],[CANTIDAD]]+J33</f>
        <v>#VALUE!</v>
      </c>
      <c r="M34" s="1">
        <v>46192</v>
      </c>
      <c r="N34" t="s">
        <v>1629</v>
      </c>
      <c r="O34">
        <v>2</v>
      </c>
      <c r="P34" t="s">
        <v>1763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t="s">
        <v>855</v>
      </c>
      <c r="H35" t="s">
        <v>854</v>
      </c>
      <c r="I35" t="s">
        <v>830</v>
      </c>
      <c r="J35" t="e">
        <f>+GD_MODULOS[[#This Row],[CANTIDAD]]+J34</f>
        <v>#VALUE!</v>
      </c>
      <c r="M35" s="1">
        <v>46193</v>
      </c>
      <c r="N35" t="s">
        <v>1629</v>
      </c>
      <c r="O35">
        <v>2</v>
      </c>
      <c r="P35" t="s">
        <v>1764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t="s">
        <v>856</v>
      </c>
      <c r="H36" t="s">
        <v>854</v>
      </c>
      <c r="I36" t="s">
        <v>831</v>
      </c>
      <c r="J36" t="e">
        <f>+GD_MODULOS[[#This Row],[CANTIDAD]]+J35</f>
        <v>#VALUE!</v>
      </c>
      <c r="M36" s="1">
        <v>46196</v>
      </c>
      <c r="N36" t="s">
        <v>1629</v>
      </c>
      <c r="O36">
        <v>2</v>
      </c>
      <c r="P36" t="s">
        <v>1765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t="s">
        <v>858</v>
      </c>
      <c r="H37" t="s">
        <v>854</v>
      </c>
      <c r="I37" t="s">
        <v>830</v>
      </c>
      <c r="J37" t="e">
        <f>+GD_MODULOS[[#This Row],[CANTIDAD]]+J36</f>
        <v>#VALUE!</v>
      </c>
      <c r="M37" s="1">
        <v>46197</v>
      </c>
      <c r="N37" t="s">
        <v>1629</v>
      </c>
      <c r="O37">
        <v>2</v>
      </c>
      <c r="P37" t="s">
        <v>1766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t="s">
        <v>859</v>
      </c>
      <c r="H38" t="s">
        <v>854</v>
      </c>
      <c r="I38" t="s">
        <v>830</v>
      </c>
      <c r="J38" t="e">
        <f>+GD_MODULOS[[#This Row],[CANTIDAD]]+J37</f>
        <v>#VALUE!</v>
      </c>
      <c r="M38" s="1">
        <v>46198</v>
      </c>
      <c r="N38" t="s">
        <v>1629</v>
      </c>
      <c r="O38">
        <v>2</v>
      </c>
      <c r="P38" t="s">
        <v>1767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t="s">
        <v>860</v>
      </c>
      <c r="H39" t="s">
        <v>854</v>
      </c>
      <c r="I39" t="s">
        <v>831</v>
      </c>
      <c r="J39" t="e">
        <f>+GD_MODULOS[[#This Row],[CANTIDAD]]+J38</f>
        <v>#VALUE!</v>
      </c>
      <c r="M39" s="1">
        <v>46199</v>
      </c>
      <c r="N39" t="s">
        <v>1629</v>
      </c>
      <c r="O39">
        <v>2</v>
      </c>
      <c r="P39" t="s">
        <v>1768</v>
      </c>
      <c r="Q39">
        <v>70</v>
      </c>
    </row>
    <row r="40" spans="1:17" x14ac:dyDescent="0.25">
      <c r="A40" s="1">
        <v>46191</v>
      </c>
      <c r="B40" s="1">
        <v>46191</v>
      </c>
      <c r="C40">
        <v>44445</v>
      </c>
      <c r="D40">
        <v>2282600040</v>
      </c>
      <c r="E40">
        <v>1</v>
      </c>
      <c r="F40" s="48">
        <v>19980671</v>
      </c>
      <c r="G40" t="s">
        <v>862</v>
      </c>
      <c r="H40" t="s">
        <v>854</v>
      </c>
      <c r="I40" t="s">
        <v>830</v>
      </c>
      <c r="J40" t="e">
        <f>+GD_MODULOS[[#This Row],[CANTIDAD]]+J39</f>
        <v>#VALUE!</v>
      </c>
      <c r="M40" s="1">
        <v>46200</v>
      </c>
      <c r="N40" t="s">
        <v>1629</v>
      </c>
      <c r="O40">
        <v>2</v>
      </c>
      <c r="P40" t="s">
        <v>1769</v>
      </c>
      <c r="Q40">
        <v>72</v>
      </c>
    </row>
    <row r="41" spans="1:17" x14ac:dyDescent="0.25">
      <c r="A41" s="1">
        <v>46191</v>
      </c>
      <c r="B41" s="1">
        <v>46191</v>
      </c>
      <c r="C41">
        <v>44446</v>
      </c>
      <c r="D41">
        <v>2302600042</v>
      </c>
      <c r="E41">
        <v>1</v>
      </c>
      <c r="F41" s="48">
        <v>19980671</v>
      </c>
      <c r="G41" t="s">
        <v>864</v>
      </c>
      <c r="H41" t="s">
        <v>854</v>
      </c>
      <c r="I41" t="s">
        <v>831</v>
      </c>
      <c r="J41" t="e">
        <f>+GD_MODULOS[[#This Row],[CANTIDAD]]+J40</f>
        <v>#VALUE!</v>
      </c>
      <c r="M41" s="1">
        <v>46203</v>
      </c>
      <c r="N41" t="s">
        <v>1629</v>
      </c>
      <c r="O41">
        <v>2</v>
      </c>
      <c r="P41" t="s">
        <v>1770</v>
      </c>
      <c r="Q41">
        <v>74</v>
      </c>
    </row>
    <row r="42" spans="1:17" x14ac:dyDescent="0.25">
      <c r="A42" s="1">
        <v>46191</v>
      </c>
      <c r="B42" s="1">
        <v>46191</v>
      </c>
      <c r="C42">
        <v>44447</v>
      </c>
      <c r="D42">
        <v>2282600041</v>
      </c>
      <c r="E42">
        <v>1</v>
      </c>
      <c r="F42" s="48">
        <v>19980671</v>
      </c>
      <c r="G42" t="s">
        <v>863</v>
      </c>
      <c r="H42" t="s">
        <v>854</v>
      </c>
      <c r="I42" t="s">
        <v>830</v>
      </c>
      <c r="J42" t="e">
        <f>+GD_MODULOS[[#This Row],[CANTIDAD]]+J41</f>
        <v>#VALUE!</v>
      </c>
      <c r="M42" s="1">
        <v>46204</v>
      </c>
      <c r="N42" t="s">
        <v>1630</v>
      </c>
      <c r="O42">
        <v>2</v>
      </c>
      <c r="P42" t="s">
        <v>1771</v>
      </c>
      <c r="Q42">
        <v>76</v>
      </c>
    </row>
    <row r="43" spans="1:17" x14ac:dyDescent="0.25">
      <c r="M43" s="1">
        <v>46205</v>
      </c>
      <c r="N43" t="s">
        <v>1630</v>
      </c>
      <c r="O43">
        <v>2</v>
      </c>
      <c r="P43" t="s">
        <v>1772</v>
      </c>
      <c r="Q43">
        <v>78</v>
      </c>
    </row>
    <row r="44" spans="1:17" x14ac:dyDescent="0.25">
      <c r="M44" s="1">
        <v>46206</v>
      </c>
      <c r="N44" t="s">
        <v>1630</v>
      </c>
      <c r="O44">
        <v>2</v>
      </c>
      <c r="P44" t="s">
        <v>1773</v>
      </c>
      <c r="Q44">
        <v>80</v>
      </c>
    </row>
    <row r="45" spans="1:17" x14ac:dyDescent="0.25">
      <c r="M45" s="1">
        <v>46207</v>
      </c>
      <c r="N45" t="s">
        <v>1630</v>
      </c>
      <c r="O45">
        <v>2</v>
      </c>
      <c r="P45" t="s">
        <v>1774</v>
      </c>
      <c r="Q45">
        <v>82</v>
      </c>
    </row>
    <row r="46" spans="1:17" x14ac:dyDescent="0.25">
      <c r="M46" s="1">
        <v>46210</v>
      </c>
      <c r="N46" t="s">
        <v>1630</v>
      </c>
      <c r="O46">
        <v>2</v>
      </c>
      <c r="P46" t="s">
        <v>1775</v>
      </c>
      <c r="Q46">
        <v>84</v>
      </c>
    </row>
    <row r="47" spans="1:17" x14ac:dyDescent="0.25">
      <c r="M47" s="1">
        <v>46211</v>
      </c>
      <c r="N47" t="s">
        <v>1630</v>
      </c>
      <c r="O47">
        <v>2</v>
      </c>
      <c r="P47" t="s">
        <v>1776</v>
      </c>
      <c r="Q47">
        <v>86</v>
      </c>
    </row>
    <row r="48" spans="1:17" x14ac:dyDescent="0.25">
      <c r="M48" s="1">
        <v>46212</v>
      </c>
      <c r="N48" t="s">
        <v>1630</v>
      </c>
      <c r="O48">
        <v>2</v>
      </c>
      <c r="P48" t="s">
        <v>1777</v>
      </c>
      <c r="Q48">
        <v>88</v>
      </c>
    </row>
    <row r="49" spans="13:17" x14ac:dyDescent="0.25">
      <c r="M49" s="1">
        <v>46213</v>
      </c>
      <c r="N49" t="s">
        <v>1630</v>
      </c>
      <c r="O49">
        <v>2</v>
      </c>
      <c r="P49" t="s">
        <v>1778</v>
      </c>
      <c r="Q49">
        <v>90</v>
      </c>
    </row>
    <row r="50" spans="13:17" x14ac:dyDescent="0.25">
      <c r="M50" s="1">
        <v>46214</v>
      </c>
      <c r="N50" t="s">
        <v>1630</v>
      </c>
      <c r="O50">
        <v>2</v>
      </c>
      <c r="P50" t="s">
        <v>1779</v>
      </c>
      <c r="Q50">
        <v>92</v>
      </c>
    </row>
    <row r="51" spans="13:17" x14ac:dyDescent="0.25">
      <c r="M51" s="1">
        <v>46217</v>
      </c>
      <c r="N51" t="s">
        <v>1630</v>
      </c>
      <c r="O51">
        <v>2</v>
      </c>
      <c r="P51" t="s">
        <v>1780</v>
      </c>
      <c r="Q51">
        <v>94</v>
      </c>
    </row>
    <row r="52" spans="13:17" x14ac:dyDescent="0.25">
      <c r="M52" s="1">
        <v>46218</v>
      </c>
      <c r="N52" t="s">
        <v>1630</v>
      </c>
      <c r="O52">
        <v>2</v>
      </c>
      <c r="P52" t="s">
        <v>1781</v>
      </c>
      <c r="Q52">
        <v>96</v>
      </c>
    </row>
    <row r="53" spans="13:17" x14ac:dyDescent="0.25">
      <c r="M53" s="1">
        <v>46220</v>
      </c>
      <c r="N53" t="s">
        <v>1630</v>
      </c>
      <c r="O53">
        <v>2</v>
      </c>
      <c r="P53" t="s">
        <v>1782</v>
      </c>
      <c r="Q53">
        <v>98</v>
      </c>
    </row>
    <row r="54" spans="13:17" x14ac:dyDescent="0.25">
      <c r="M54" s="1">
        <v>46221</v>
      </c>
      <c r="N54" t="s">
        <v>1630</v>
      </c>
      <c r="O54">
        <v>2</v>
      </c>
      <c r="P54" t="s">
        <v>1783</v>
      </c>
      <c r="Q54">
        <v>100</v>
      </c>
    </row>
    <row r="55" spans="13:17" x14ac:dyDescent="0.25">
      <c r="M55" s="1">
        <v>46224</v>
      </c>
      <c r="N55" t="s">
        <v>1630</v>
      </c>
      <c r="O55">
        <v>2</v>
      </c>
      <c r="P55" t="s">
        <v>1784</v>
      </c>
      <c r="Q55">
        <v>102</v>
      </c>
    </row>
    <row r="56" spans="13:17" x14ac:dyDescent="0.25">
      <c r="M56" s="1">
        <v>46225</v>
      </c>
      <c r="N56" t="s">
        <v>1630</v>
      </c>
      <c r="O56">
        <v>2</v>
      </c>
      <c r="P56" t="s">
        <v>1785</v>
      </c>
      <c r="Q56">
        <v>104</v>
      </c>
    </row>
    <row r="57" spans="13:17" x14ac:dyDescent="0.25">
      <c r="M57" s="1">
        <v>46226</v>
      </c>
      <c r="N57" t="s">
        <v>1630</v>
      </c>
      <c r="O57">
        <v>2</v>
      </c>
      <c r="P57" t="s">
        <v>1786</v>
      </c>
      <c r="Q57">
        <v>106</v>
      </c>
    </row>
    <row r="58" spans="13:17" x14ac:dyDescent="0.25">
      <c r="M58" s="1">
        <v>46227</v>
      </c>
      <c r="N58" t="s">
        <v>1630</v>
      </c>
      <c r="O58">
        <v>2</v>
      </c>
      <c r="P58" t="s">
        <v>1787</v>
      </c>
      <c r="Q58">
        <v>108</v>
      </c>
    </row>
    <row r="59" spans="13:17" x14ac:dyDescent="0.25">
      <c r="M59" s="1">
        <v>46228</v>
      </c>
      <c r="N59" t="s">
        <v>1630</v>
      </c>
      <c r="O59">
        <v>2</v>
      </c>
      <c r="P59" t="s">
        <v>1788</v>
      </c>
      <c r="Q59">
        <v>110</v>
      </c>
    </row>
    <row r="60" spans="13:17" x14ac:dyDescent="0.25">
      <c r="M60" s="1">
        <v>46231</v>
      </c>
      <c r="N60" t="s">
        <v>1630</v>
      </c>
      <c r="O60">
        <v>2</v>
      </c>
      <c r="P60" t="s">
        <v>1789</v>
      </c>
      <c r="Q60">
        <v>112</v>
      </c>
    </row>
    <row r="61" spans="13:17" x14ac:dyDescent="0.25">
      <c r="M61" s="1">
        <v>46232</v>
      </c>
      <c r="N61" t="s">
        <v>1630</v>
      </c>
      <c r="O61">
        <v>2</v>
      </c>
      <c r="P61" t="s">
        <v>1790</v>
      </c>
      <c r="Q61">
        <v>114</v>
      </c>
    </row>
    <row r="62" spans="13:17" x14ac:dyDescent="0.25">
      <c r="M62" s="1">
        <v>46233</v>
      </c>
      <c r="N62" t="s">
        <v>1630</v>
      </c>
      <c r="O62">
        <v>1</v>
      </c>
      <c r="P62" t="s">
        <v>1791</v>
      </c>
      <c r="Q62">
        <v>115</v>
      </c>
    </row>
    <row r="63" spans="13:17" x14ac:dyDescent="0.25">
      <c r="M63" s="1">
        <v>46234</v>
      </c>
      <c r="N63" t="s">
        <v>1630</v>
      </c>
      <c r="O63">
        <v>1</v>
      </c>
      <c r="P63" t="s">
        <v>1792</v>
      </c>
      <c r="Q63">
        <v>116</v>
      </c>
    </row>
    <row r="64" spans="13:17" x14ac:dyDescent="0.25">
      <c r="M64" s="1">
        <v>46235</v>
      </c>
      <c r="N64" t="s">
        <v>1631</v>
      </c>
      <c r="O64">
        <v>3</v>
      </c>
      <c r="P64" t="s">
        <v>1793</v>
      </c>
      <c r="Q64">
        <v>119</v>
      </c>
    </row>
    <row r="65" spans="13:17" x14ac:dyDescent="0.25">
      <c r="M65" s="1">
        <v>46238</v>
      </c>
      <c r="N65" t="s">
        <v>1631</v>
      </c>
      <c r="O65">
        <v>3</v>
      </c>
      <c r="P65" t="s">
        <v>1794</v>
      </c>
      <c r="Q65">
        <v>122</v>
      </c>
    </row>
    <row r="66" spans="13:17" x14ac:dyDescent="0.25">
      <c r="M66" s="1">
        <v>46239</v>
      </c>
      <c r="N66" t="s">
        <v>1631</v>
      </c>
      <c r="O66">
        <v>3</v>
      </c>
      <c r="P66" t="s">
        <v>1795</v>
      </c>
      <c r="Q66">
        <v>125</v>
      </c>
    </row>
    <row r="67" spans="13:17" x14ac:dyDescent="0.25">
      <c r="M67" s="1">
        <v>46240</v>
      </c>
      <c r="N67" t="s">
        <v>1631</v>
      </c>
      <c r="O67">
        <v>3</v>
      </c>
      <c r="P67" t="s">
        <v>1796</v>
      </c>
      <c r="Q67">
        <v>128</v>
      </c>
    </row>
    <row r="68" spans="13:17" x14ac:dyDescent="0.25">
      <c r="M68" s="1">
        <v>46241</v>
      </c>
      <c r="N68" t="s">
        <v>1631</v>
      </c>
      <c r="O68">
        <v>3</v>
      </c>
      <c r="P68" t="s">
        <v>1797</v>
      </c>
      <c r="Q68">
        <v>131</v>
      </c>
    </row>
    <row r="69" spans="13:17" x14ac:dyDescent="0.25">
      <c r="M69" s="1">
        <v>46242</v>
      </c>
      <c r="N69" t="s">
        <v>1631</v>
      </c>
      <c r="O69">
        <v>3</v>
      </c>
      <c r="P69" t="s">
        <v>1798</v>
      </c>
      <c r="Q69">
        <v>134</v>
      </c>
    </row>
    <row r="70" spans="13:17" x14ac:dyDescent="0.25">
      <c r="M70" s="1">
        <v>46245</v>
      </c>
      <c r="N70" t="s">
        <v>1631</v>
      </c>
      <c r="O70">
        <v>3</v>
      </c>
      <c r="P70" t="s">
        <v>1799</v>
      </c>
      <c r="Q70">
        <v>137</v>
      </c>
    </row>
    <row r="71" spans="13:17" x14ac:dyDescent="0.25">
      <c r="M71" s="1">
        <v>46246</v>
      </c>
      <c r="N71" t="s">
        <v>1631</v>
      </c>
      <c r="O71">
        <v>3</v>
      </c>
      <c r="P71" t="s">
        <v>1800</v>
      </c>
      <c r="Q71">
        <v>140</v>
      </c>
    </row>
    <row r="72" spans="13:17" x14ac:dyDescent="0.25">
      <c r="M72" s="1">
        <v>46247</v>
      </c>
      <c r="N72" t="s">
        <v>1631</v>
      </c>
      <c r="O72">
        <v>3</v>
      </c>
      <c r="P72" t="s">
        <v>1801</v>
      </c>
      <c r="Q72">
        <v>143</v>
      </c>
    </row>
    <row r="73" spans="13:17" x14ac:dyDescent="0.25">
      <c r="M73" s="1">
        <v>46248</v>
      </c>
      <c r="N73" t="s">
        <v>1631</v>
      </c>
      <c r="O73">
        <v>3</v>
      </c>
      <c r="P73" t="s">
        <v>1802</v>
      </c>
      <c r="Q73">
        <v>146</v>
      </c>
    </row>
    <row r="74" spans="13:17" x14ac:dyDescent="0.25">
      <c r="M74" s="1">
        <v>46252</v>
      </c>
      <c r="N74" t="s">
        <v>1631</v>
      </c>
      <c r="O74">
        <v>3</v>
      </c>
      <c r="P74" t="s">
        <v>1803</v>
      </c>
      <c r="Q74">
        <v>149</v>
      </c>
    </row>
    <row r="75" spans="13:17" x14ac:dyDescent="0.25">
      <c r="M75" s="1">
        <v>46253</v>
      </c>
      <c r="N75" t="s">
        <v>1631</v>
      </c>
      <c r="O75">
        <v>3</v>
      </c>
      <c r="P75" t="s">
        <v>1804</v>
      </c>
      <c r="Q75">
        <v>152</v>
      </c>
    </row>
    <row r="76" spans="13:17" x14ac:dyDescent="0.25">
      <c r="M76" s="1">
        <v>46254</v>
      </c>
      <c r="N76" t="s">
        <v>1631</v>
      </c>
      <c r="O76">
        <v>3</v>
      </c>
      <c r="P76" t="s">
        <v>1805</v>
      </c>
      <c r="Q76">
        <v>155</v>
      </c>
    </row>
    <row r="77" spans="13:17" x14ac:dyDescent="0.25">
      <c r="M77" s="1">
        <v>46255</v>
      </c>
      <c r="N77" t="s">
        <v>1631</v>
      </c>
      <c r="O77">
        <v>3</v>
      </c>
      <c r="P77" t="s">
        <v>1806</v>
      </c>
      <c r="Q77">
        <v>158</v>
      </c>
    </row>
    <row r="78" spans="13:17" x14ac:dyDescent="0.25">
      <c r="M78" s="1">
        <v>46256</v>
      </c>
      <c r="N78" t="s">
        <v>1631</v>
      </c>
      <c r="O78">
        <v>2</v>
      </c>
      <c r="P78" t="s">
        <v>1807</v>
      </c>
      <c r="Q78">
        <v>160</v>
      </c>
    </row>
    <row r="79" spans="13:17" x14ac:dyDescent="0.25">
      <c r="M79" s="1">
        <v>46259</v>
      </c>
      <c r="N79" t="s">
        <v>1631</v>
      </c>
      <c r="O79">
        <v>2</v>
      </c>
      <c r="P79" t="s">
        <v>1808</v>
      </c>
      <c r="Q79">
        <v>162</v>
      </c>
    </row>
    <row r="80" spans="13:17" x14ac:dyDescent="0.25">
      <c r="M80" s="1">
        <v>46260</v>
      </c>
      <c r="N80" t="s">
        <v>1631</v>
      </c>
      <c r="O80">
        <v>2</v>
      </c>
      <c r="P80" t="s">
        <v>1809</v>
      </c>
      <c r="Q80">
        <v>164</v>
      </c>
    </row>
    <row r="81" spans="13:17" x14ac:dyDescent="0.25">
      <c r="M81" s="1">
        <v>46261</v>
      </c>
      <c r="N81" t="s">
        <v>1631</v>
      </c>
      <c r="O81">
        <v>2</v>
      </c>
      <c r="P81" t="s">
        <v>1810</v>
      </c>
      <c r="Q81">
        <v>166</v>
      </c>
    </row>
    <row r="82" spans="13:17" x14ac:dyDescent="0.25">
      <c r="M82" s="1">
        <v>46262</v>
      </c>
      <c r="N82" t="s">
        <v>1631</v>
      </c>
      <c r="O82">
        <v>2</v>
      </c>
      <c r="P82" t="s">
        <v>1811</v>
      </c>
      <c r="Q82">
        <v>168</v>
      </c>
    </row>
    <row r="83" spans="13:17" x14ac:dyDescent="0.25">
      <c r="M83" s="1">
        <v>46263</v>
      </c>
      <c r="N83" t="s">
        <v>1631</v>
      </c>
      <c r="O83">
        <v>2</v>
      </c>
      <c r="P83" t="s">
        <v>1812</v>
      </c>
      <c r="Q83">
        <v>170</v>
      </c>
    </row>
    <row r="84" spans="13:17" x14ac:dyDescent="0.25">
      <c r="M84" s="1">
        <v>46266</v>
      </c>
      <c r="N84" t="s">
        <v>1632</v>
      </c>
      <c r="O84">
        <v>3</v>
      </c>
      <c r="P84" t="s">
        <v>1813</v>
      </c>
      <c r="Q84">
        <v>173</v>
      </c>
    </row>
    <row r="85" spans="13:17" x14ac:dyDescent="0.25">
      <c r="M85" s="1">
        <v>46267</v>
      </c>
      <c r="N85" t="s">
        <v>1632</v>
      </c>
      <c r="O85">
        <v>3</v>
      </c>
      <c r="P85" t="s">
        <v>1814</v>
      </c>
      <c r="Q85">
        <v>176</v>
      </c>
    </row>
    <row r="86" spans="13:17" x14ac:dyDescent="0.25">
      <c r="M86" s="1">
        <v>46268</v>
      </c>
      <c r="N86" t="s">
        <v>1632</v>
      </c>
      <c r="O86">
        <v>3</v>
      </c>
      <c r="P86" t="s">
        <v>1815</v>
      </c>
      <c r="Q86">
        <v>179</v>
      </c>
    </row>
    <row r="87" spans="13:17" x14ac:dyDescent="0.25">
      <c r="M87" s="1">
        <v>46269</v>
      </c>
      <c r="N87" t="s">
        <v>1632</v>
      </c>
      <c r="O87">
        <v>3</v>
      </c>
      <c r="P87" t="s">
        <v>1816</v>
      </c>
      <c r="Q87">
        <v>182</v>
      </c>
    </row>
    <row r="88" spans="13:17" x14ac:dyDescent="0.25">
      <c r="M88" s="1">
        <v>46270</v>
      </c>
      <c r="N88" t="s">
        <v>1632</v>
      </c>
      <c r="O88">
        <v>3</v>
      </c>
      <c r="P88" t="s">
        <v>1817</v>
      </c>
      <c r="Q88">
        <v>185</v>
      </c>
    </row>
    <row r="89" spans="13:17" x14ac:dyDescent="0.25">
      <c r="M89" s="1">
        <v>46273</v>
      </c>
      <c r="N89" t="s">
        <v>1632</v>
      </c>
      <c r="O89">
        <v>3</v>
      </c>
      <c r="P89" t="s">
        <v>1818</v>
      </c>
      <c r="Q89">
        <v>188</v>
      </c>
    </row>
    <row r="90" spans="13:17" x14ac:dyDescent="0.25">
      <c r="M90" s="1">
        <v>46274</v>
      </c>
      <c r="N90" t="s">
        <v>1632</v>
      </c>
      <c r="O90">
        <v>3</v>
      </c>
      <c r="P90" t="s">
        <v>1819</v>
      </c>
      <c r="Q90">
        <v>191</v>
      </c>
    </row>
    <row r="91" spans="13:17" x14ac:dyDescent="0.25">
      <c r="M91" s="1">
        <v>46275</v>
      </c>
      <c r="N91" t="s">
        <v>1632</v>
      </c>
      <c r="O91">
        <v>3</v>
      </c>
      <c r="P91" t="s">
        <v>1820</v>
      </c>
      <c r="Q91">
        <v>194</v>
      </c>
    </row>
    <row r="92" spans="13:17" x14ac:dyDescent="0.25">
      <c r="M92" s="1">
        <v>46276</v>
      </c>
      <c r="N92" t="s">
        <v>1632</v>
      </c>
      <c r="O92">
        <v>3</v>
      </c>
      <c r="P92" t="s">
        <v>1821</v>
      </c>
      <c r="Q92">
        <v>197</v>
      </c>
    </row>
    <row r="93" spans="13:17" x14ac:dyDescent="0.25">
      <c r="M93" s="1">
        <v>46277</v>
      </c>
      <c r="N93" t="s">
        <v>1632</v>
      </c>
      <c r="O93">
        <v>3</v>
      </c>
      <c r="P93" t="s">
        <v>1822</v>
      </c>
      <c r="Q93">
        <v>200</v>
      </c>
    </row>
    <row r="94" spans="13:17" x14ac:dyDescent="0.25">
      <c r="M94" s="1">
        <v>46280</v>
      </c>
      <c r="N94" t="s">
        <v>1632</v>
      </c>
      <c r="O94">
        <v>3</v>
      </c>
      <c r="P94" t="s">
        <v>1823</v>
      </c>
      <c r="Q94">
        <v>203</v>
      </c>
    </row>
    <row r="95" spans="13:17" x14ac:dyDescent="0.25">
      <c r="M95" s="1">
        <v>46281</v>
      </c>
      <c r="N95" t="s">
        <v>1632</v>
      </c>
      <c r="O95">
        <v>3</v>
      </c>
      <c r="P95" t="s">
        <v>1824</v>
      </c>
      <c r="Q95">
        <v>206</v>
      </c>
    </row>
    <row r="96" spans="13:17" x14ac:dyDescent="0.25">
      <c r="M96" s="1">
        <v>46282</v>
      </c>
      <c r="N96" t="s">
        <v>1632</v>
      </c>
      <c r="O96">
        <v>3</v>
      </c>
      <c r="P96" t="s">
        <v>1825</v>
      </c>
      <c r="Q96">
        <v>209</v>
      </c>
    </row>
    <row r="97" spans="13:17" x14ac:dyDescent="0.25">
      <c r="M97" s="1">
        <v>46287</v>
      </c>
      <c r="N97" t="s">
        <v>1632</v>
      </c>
      <c r="O97">
        <v>3</v>
      </c>
      <c r="P97" t="s">
        <v>1826</v>
      </c>
      <c r="Q97">
        <v>212</v>
      </c>
    </row>
    <row r="98" spans="13:17" x14ac:dyDescent="0.25">
      <c r="M98" s="1">
        <v>46288</v>
      </c>
      <c r="N98" t="s">
        <v>1632</v>
      </c>
      <c r="O98">
        <v>2</v>
      </c>
      <c r="P98" t="s">
        <v>1827</v>
      </c>
      <c r="Q98">
        <v>214</v>
      </c>
    </row>
    <row r="99" spans="13:17" x14ac:dyDescent="0.25">
      <c r="M99" s="1">
        <v>46289</v>
      </c>
      <c r="N99" t="s">
        <v>1632</v>
      </c>
      <c r="O99">
        <v>2</v>
      </c>
      <c r="P99" t="s">
        <v>1828</v>
      </c>
      <c r="Q99">
        <v>216</v>
      </c>
    </row>
    <row r="100" spans="13:17" x14ac:dyDescent="0.25">
      <c r="M100" s="1">
        <v>46290</v>
      </c>
      <c r="N100" t="s">
        <v>1632</v>
      </c>
      <c r="O100">
        <v>2</v>
      </c>
      <c r="P100" t="s">
        <v>1829</v>
      </c>
      <c r="Q100">
        <v>218</v>
      </c>
    </row>
    <row r="101" spans="13:17" x14ac:dyDescent="0.25">
      <c r="M101" s="1">
        <v>46291</v>
      </c>
      <c r="N101" t="s">
        <v>1632</v>
      </c>
      <c r="O101">
        <v>2</v>
      </c>
      <c r="P101" t="s">
        <v>1830</v>
      </c>
      <c r="Q101">
        <v>220</v>
      </c>
    </row>
    <row r="102" spans="13:17" x14ac:dyDescent="0.25">
      <c r="M102" s="1">
        <v>46294</v>
      </c>
      <c r="N102" t="s">
        <v>1632</v>
      </c>
      <c r="O102">
        <v>2</v>
      </c>
      <c r="P102" t="s">
        <v>1831</v>
      </c>
      <c r="Q102">
        <v>222</v>
      </c>
    </row>
    <row r="103" spans="13:17" x14ac:dyDescent="0.25">
      <c r="M103" s="1">
        <v>46295</v>
      </c>
      <c r="N103" t="s">
        <v>1632</v>
      </c>
      <c r="O103">
        <v>2</v>
      </c>
      <c r="P103" t="s">
        <v>1832</v>
      </c>
      <c r="Q103">
        <v>224</v>
      </c>
    </row>
    <row r="104" spans="13:17" x14ac:dyDescent="0.25">
      <c r="M104" s="1">
        <v>46296</v>
      </c>
      <c r="N104" t="s">
        <v>1633</v>
      </c>
      <c r="O104">
        <v>3</v>
      </c>
      <c r="P104" t="s">
        <v>1833</v>
      </c>
      <c r="Q104">
        <v>227</v>
      </c>
    </row>
    <row r="105" spans="13:17" x14ac:dyDescent="0.25">
      <c r="M105" s="1">
        <v>46297</v>
      </c>
      <c r="N105" t="s">
        <v>1633</v>
      </c>
      <c r="O105">
        <v>3</v>
      </c>
      <c r="P105" t="s">
        <v>1834</v>
      </c>
      <c r="Q105">
        <v>230</v>
      </c>
    </row>
    <row r="106" spans="13:17" x14ac:dyDescent="0.25">
      <c r="M106" s="1">
        <v>46298</v>
      </c>
      <c r="N106" t="s">
        <v>1633</v>
      </c>
      <c r="O106">
        <v>3</v>
      </c>
      <c r="P106" t="s">
        <v>1835</v>
      </c>
      <c r="Q106">
        <v>233</v>
      </c>
    </row>
    <row r="107" spans="13:17" x14ac:dyDescent="0.25">
      <c r="M107" s="1">
        <v>46301</v>
      </c>
      <c r="N107" t="s">
        <v>1633</v>
      </c>
      <c r="O107">
        <v>3</v>
      </c>
      <c r="P107" t="s">
        <v>1836</v>
      </c>
      <c r="Q107">
        <v>236</v>
      </c>
    </row>
    <row r="108" spans="13:17" x14ac:dyDescent="0.25">
      <c r="M108" s="1">
        <v>46302</v>
      </c>
      <c r="N108" t="s">
        <v>1633</v>
      </c>
      <c r="O108">
        <v>3</v>
      </c>
      <c r="P108" t="s">
        <v>1837</v>
      </c>
      <c r="Q108">
        <v>239</v>
      </c>
    </row>
    <row r="109" spans="13:17" x14ac:dyDescent="0.25">
      <c r="M109" s="1">
        <v>46303</v>
      </c>
      <c r="N109" t="s">
        <v>1633</v>
      </c>
      <c r="O109">
        <v>3</v>
      </c>
      <c r="P109" t="s">
        <v>1838</v>
      </c>
      <c r="Q109">
        <v>242</v>
      </c>
    </row>
    <row r="110" spans="13:17" x14ac:dyDescent="0.25">
      <c r="M110" s="1">
        <v>46304</v>
      </c>
      <c r="N110" t="s">
        <v>1633</v>
      </c>
      <c r="O110">
        <v>3</v>
      </c>
      <c r="P110" t="s">
        <v>1839</v>
      </c>
      <c r="Q110">
        <v>245</v>
      </c>
    </row>
    <row r="111" spans="13:17" x14ac:dyDescent="0.25">
      <c r="M111" s="1">
        <v>46305</v>
      </c>
      <c r="N111" t="s">
        <v>1633</v>
      </c>
      <c r="O111">
        <v>3</v>
      </c>
      <c r="P111" t="s">
        <v>1840</v>
      </c>
      <c r="Q111">
        <v>248</v>
      </c>
    </row>
    <row r="112" spans="13:17" x14ac:dyDescent="0.25">
      <c r="M112" s="1">
        <v>46308</v>
      </c>
      <c r="N112" t="s">
        <v>1633</v>
      </c>
      <c r="O112">
        <v>3</v>
      </c>
      <c r="P112" t="s">
        <v>1841</v>
      </c>
      <c r="Q112">
        <v>251</v>
      </c>
    </row>
    <row r="113" spans="13:17" x14ac:dyDescent="0.25">
      <c r="M113" s="1">
        <v>46309</v>
      </c>
      <c r="N113" t="s">
        <v>1633</v>
      </c>
      <c r="O113">
        <v>3</v>
      </c>
      <c r="P113" t="s">
        <v>1842</v>
      </c>
      <c r="Q113">
        <v>254</v>
      </c>
    </row>
    <row r="114" spans="13:17" x14ac:dyDescent="0.25">
      <c r="M114" s="1">
        <v>46310</v>
      </c>
      <c r="N114" t="s">
        <v>1633</v>
      </c>
      <c r="O114">
        <v>3</v>
      </c>
      <c r="P114" t="s">
        <v>1843</v>
      </c>
      <c r="Q114">
        <v>257</v>
      </c>
    </row>
    <row r="115" spans="13:17" x14ac:dyDescent="0.25">
      <c r="M115" s="1">
        <v>46311</v>
      </c>
      <c r="N115" t="s">
        <v>1633</v>
      </c>
      <c r="O115">
        <v>3</v>
      </c>
      <c r="P115" t="s">
        <v>1844</v>
      </c>
      <c r="Q115">
        <v>260</v>
      </c>
    </row>
    <row r="116" spans="13:17" x14ac:dyDescent="0.25">
      <c r="M116" s="1">
        <v>46312</v>
      </c>
      <c r="N116" t="s">
        <v>1633</v>
      </c>
      <c r="O116">
        <v>3</v>
      </c>
      <c r="P116" t="s">
        <v>1845</v>
      </c>
      <c r="Q116">
        <v>263</v>
      </c>
    </row>
    <row r="117" spans="13:17" x14ac:dyDescent="0.25">
      <c r="M117" s="1">
        <v>46315</v>
      </c>
      <c r="N117" t="s">
        <v>1633</v>
      </c>
      <c r="O117">
        <v>3</v>
      </c>
      <c r="P117" t="s">
        <v>1846</v>
      </c>
      <c r="Q117">
        <v>266</v>
      </c>
    </row>
    <row r="118" spans="13:17" x14ac:dyDescent="0.25">
      <c r="M118" s="1">
        <v>46316</v>
      </c>
      <c r="N118" t="s">
        <v>1633</v>
      </c>
      <c r="O118">
        <v>3</v>
      </c>
      <c r="P118" t="s">
        <v>1847</v>
      </c>
      <c r="Q118">
        <v>269</v>
      </c>
    </row>
    <row r="119" spans="13:17" x14ac:dyDescent="0.25">
      <c r="M119" s="1">
        <v>46317</v>
      </c>
      <c r="N119" t="s">
        <v>1633</v>
      </c>
      <c r="O119">
        <v>3</v>
      </c>
      <c r="P119" t="s">
        <v>1848</v>
      </c>
      <c r="Q119">
        <v>272</v>
      </c>
    </row>
    <row r="120" spans="13:17" x14ac:dyDescent="0.25">
      <c r="M120" s="1">
        <v>46318</v>
      </c>
      <c r="N120" t="s">
        <v>1633</v>
      </c>
      <c r="O120">
        <v>2</v>
      </c>
      <c r="P120" t="s">
        <v>1849</v>
      </c>
      <c r="Q120">
        <v>274</v>
      </c>
    </row>
    <row r="121" spans="13:17" x14ac:dyDescent="0.25">
      <c r="M121" s="1">
        <v>46319</v>
      </c>
      <c r="N121" t="s">
        <v>1633</v>
      </c>
      <c r="O121">
        <v>2</v>
      </c>
      <c r="P121" t="s">
        <v>1850</v>
      </c>
      <c r="Q121">
        <v>276</v>
      </c>
    </row>
    <row r="122" spans="13:17" x14ac:dyDescent="0.25">
      <c r="M122" s="1">
        <v>46322</v>
      </c>
      <c r="N122" t="s">
        <v>1633</v>
      </c>
      <c r="O122">
        <v>2</v>
      </c>
      <c r="P122" t="s">
        <v>1851</v>
      </c>
      <c r="Q122">
        <v>278</v>
      </c>
    </row>
    <row r="123" spans="13:17" x14ac:dyDescent="0.25">
      <c r="M123" s="1">
        <v>46323</v>
      </c>
      <c r="N123" t="s">
        <v>1633</v>
      </c>
      <c r="O123">
        <v>2</v>
      </c>
      <c r="P123" t="s">
        <v>1852</v>
      </c>
      <c r="Q123">
        <v>280</v>
      </c>
    </row>
    <row r="124" spans="13:17" x14ac:dyDescent="0.25">
      <c r="M124" s="1">
        <v>46324</v>
      </c>
      <c r="N124" t="s">
        <v>1633</v>
      </c>
      <c r="O124">
        <v>2</v>
      </c>
      <c r="P124" t="s">
        <v>1853</v>
      </c>
      <c r="Q124">
        <v>282</v>
      </c>
    </row>
    <row r="125" spans="13:17" x14ac:dyDescent="0.25">
      <c r="M125" s="1">
        <v>46325</v>
      </c>
      <c r="N125" t="s">
        <v>1633</v>
      </c>
      <c r="O125">
        <v>2</v>
      </c>
      <c r="P125" t="s">
        <v>1854</v>
      </c>
      <c r="Q125">
        <v>284</v>
      </c>
    </row>
    <row r="126" spans="13:17" x14ac:dyDescent="0.25">
      <c r="M126" s="1">
        <v>46329</v>
      </c>
      <c r="N126" t="s">
        <v>1634</v>
      </c>
      <c r="O126">
        <v>3</v>
      </c>
      <c r="P126" t="s">
        <v>1855</v>
      </c>
      <c r="Q126">
        <v>287</v>
      </c>
    </row>
    <row r="127" spans="13:17" x14ac:dyDescent="0.25">
      <c r="M127" s="1">
        <v>46330</v>
      </c>
      <c r="N127" t="s">
        <v>1634</v>
      </c>
      <c r="O127">
        <v>3</v>
      </c>
      <c r="P127" t="s">
        <v>1856</v>
      </c>
      <c r="Q127">
        <v>290</v>
      </c>
    </row>
    <row r="128" spans="13:17" x14ac:dyDescent="0.25">
      <c r="M128" s="1">
        <v>46331</v>
      </c>
      <c r="N128" t="s">
        <v>1634</v>
      </c>
      <c r="O128">
        <v>3</v>
      </c>
      <c r="P128" t="s">
        <v>1857</v>
      </c>
      <c r="Q128">
        <v>293</v>
      </c>
    </row>
    <row r="129" spans="13:17" x14ac:dyDescent="0.25">
      <c r="M129" s="1">
        <v>46332</v>
      </c>
      <c r="N129" t="s">
        <v>1634</v>
      </c>
      <c r="O129">
        <v>3</v>
      </c>
      <c r="P129" t="s">
        <v>1858</v>
      </c>
      <c r="Q129">
        <v>296</v>
      </c>
    </row>
    <row r="130" spans="13:17" x14ac:dyDescent="0.25">
      <c r="M130" s="1">
        <v>46333</v>
      </c>
      <c r="N130" t="s">
        <v>1634</v>
      </c>
      <c r="O130">
        <v>3</v>
      </c>
      <c r="P130" t="s">
        <v>1859</v>
      </c>
      <c r="Q130">
        <v>299</v>
      </c>
    </row>
    <row r="131" spans="13:17" x14ac:dyDescent="0.25">
      <c r="M131" s="1">
        <v>46336</v>
      </c>
      <c r="N131" t="s">
        <v>1634</v>
      </c>
      <c r="O131">
        <v>3</v>
      </c>
      <c r="P131" t="s">
        <v>1860</v>
      </c>
      <c r="Q131">
        <v>302</v>
      </c>
    </row>
    <row r="132" spans="13:17" x14ac:dyDescent="0.25">
      <c r="M132" s="1">
        <v>46337</v>
      </c>
      <c r="N132" t="s">
        <v>1634</v>
      </c>
      <c r="O132">
        <v>3</v>
      </c>
      <c r="P132" t="s">
        <v>1861</v>
      </c>
      <c r="Q132">
        <v>305</v>
      </c>
    </row>
    <row r="133" spans="13:17" x14ac:dyDescent="0.25">
      <c r="M133" s="1">
        <v>46338</v>
      </c>
      <c r="N133" t="s">
        <v>1634</v>
      </c>
      <c r="O133">
        <v>3</v>
      </c>
      <c r="P133" t="s">
        <v>1862</v>
      </c>
      <c r="Q133">
        <v>308</v>
      </c>
    </row>
    <row r="134" spans="13:17" x14ac:dyDescent="0.25">
      <c r="M134" s="1">
        <v>46339</v>
      </c>
      <c r="N134" t="s">
        <v>1634</v>
      </c>
      <c r="O134">
        <v>3</v>
      </c>
      <c r="P134" t="s">
        <v>1863</v>
      </c>
      <c r="Q134">
        <v>311</v>
      </c>
    </row>
    <row r="135" spans="13:17" x14ac:dyDescent="0.25">
      <c r="M135" s="1">
        <v>46340</v>
      </c>
      <c r="N135" t="s">
        <v>1634</v>
      </c>
      <c r="O135">
        <v>3</v>
      </c>
      <c r="P135" t="s">
        <v>1864</v>
      </c>
      <c r="Q135">
        <v>314</v>
      </c>
    </row>
    <row r="136" spans="13:17" x14ac:dyDescent="0.25">
      <c r="M136" s="1">
        <v>46343</v>
      </c>
      <c r="N136" t="s">
        <v>1634</v>
      </c>
      <c r="O136">
        <v>3</v>
      </c>
      <c r="P136" t="s">
        <v>1865</v>
      </c>
      <c r="Q136">
        <v>317</v>
      </c>
    </row>
    <row r="137" spans="13:17" x14ac:dyDescent="0.25">
      <c r="M137" s="1">
        <v>46344</v>
      </c>
      <c r="N137" t="s">
        <v>1634</v>
      </c>
      <c r="O137">
        <v>3</v>
      </c>
      <c r="P137" t="s">
        <v>1866</v>
      </c>
      <c r="Q137">
        <v>320</v>
      </c>
    </row>
    <row r="138" spans="13:17" x14ac:dyDescent="0.25">
      <c r="M138" s="1">
        <v>46345</v>
      </c>
      <c r="N138" t="s">
        <v>1634</v>
      </c>
      <c r="O138">
        <v>3</v>
      </c>
      <c r="P138" t="s">
        <v>1867</v>
      </c>
      <c r="Q138">
        <v>323</v>
      </c>
    </row>
    <row r="139" spans="13:17" x14ac:dyDescent="0.25">
      <c r="M139" s="1">
        <v>46346</v>
      </c>
      <c r="N139" t="s">
        <v>1634</v>
      </c>
      <c r="O139">
        <v>3</v>
      </c>
      <c r="P139" t="s">
        <v>1868</v>
      </c>
      <c r="Q139">
        <v>326</v>
      </c>
    </row>
    <row r="140" spans="13:17" x14ac:dyDescent="0.25">
      <c r="M140" s="1">
        <v>46347</v>
      </c>
      <c r="N140" t="s">
        <v>1634</v>
      </c>
      <c r="O140">
        <v>3</v>
      </c>
      <c r="P140" t="s">
        <v>1869</v>
      </c>
      <c r="Q140">
        <v>329</v>
      </c>
    </row>
    <row r="141" spans="13:17" x14ac:dyDescent="0.25">
      <c r="M141" s="1">
        <v>46350</v>
      </c>
      <c r="N141" t="s">
        <v>1634</v>
      </c>
      <c r="O141">
        <v>3</v>
      </c>
      <c r="P141" t="s">
        <v>1870</v>
      </c>
      <c r="Q141">
        <v>332</v>
      </c>
    </row>
    <row r="142" spans="13:17" x14ac:dyDescent="0.25">
      <c r="M142" s="1">
        <v>46351</v>
      </c>
      <c r="N142" t="s">
        <v>1634</v>
      </c>
      <c r="O142">
        <v>3</v>
      </c>
      <c r="P142" t="s">
        <v>1871</v>
      </c>
      <c r="Q142">
        <v>335</v>
      </c>
    </row>
    <row r="143" spans="13:17" x14ac:dyDescent="0.25">
      <c r="M143" s="1">
        <v>46352</v>
      </c>
      <c r="N143" t="s">
        <v>1634</v>
      </c>
      <c r="O143">
        <v>3</v>
      </c>
      <c r="P143" t="s">
        <v>1872</v>
      </c>
      <c r="Q143">
        <v>338</v>
      </c>
    </row>
    <row r="144" spans="13:17" x14ac:dyDescent="0.25">
      <c r="M144" s="1">
        <v>46353</v>
      </c>
      <c r="N144" t="s">
        <v>1634</v>
      </c>
      <c r="O144">
        <v>3</v>
      </c>
      <c r="P144" t="s">
        <v>1873</v>
      </c>
      <c r="Q144">
        <v>341</v>
      </c>
    </row>
    <row r="145" spans="13:17" x14ac:dyDescent="0.25">
      <c r="M145" s="1">
        <v>46354</v>
      </c>
      <c r="N145" t="s">
        <v>1634</v>
      </c>
      <c r="O145">
        <v>3</v>
      </c>
      <c r="P145" t="s">
        <v>1874</v>
      </c>
      <c r="Q145">
        <v>344</v>
      </c>
    </row>
    <row r="146" spans="13:17" x14ac:dyDescent="0.25">
      <c r="M146" s="1">
        <v>46357</v>
      </c>
      <c r="N146" t="s">
        <v>1635</v>
      </c>
      <c r="O146">
        <v>3</v>
      </c>
      <c r="P146" t="s">
        <v>1875</v>
      </c>
      <c r="Q146">
        <v>347</v>
      </c>
    </row>
    <row r="147" spans="13:17" x14ac:dyDescent="0.25">
      <c r="M147" s="1">
        <v>46358</v>
      </c>
      <c r="N147" t="s">
        <v>1635</v>
      </c>
      <c r="O147">
        <v>3</v>
      </c>
      <c r="P147" t="s">
        <v>1876</v>
      </c>
      <c r="Q147">
        <v>350</v>
      </c>
    </row>
    <row r="148" spans="13:17" x14ac:dyDescent="0.25">
      <c r="M148" s="1">
        <v>46359</v>
      </c>
      <c r="N148" t="s">
        <v>1635</v>
      </c>
      <c r="O148">
        <v>3</v>
      </c>
      <c r="P148" t="s">
        <v>1877</v>
      </c>
      <c r="Q148">
        <v>353</v>
      </c>
    </row>
    <row r="149" spans="13:17" x14ac:dyDescent="0.25">
      <c r="M149" s="1">
        <v>46360</v>
      </c>
      <c r="N149" t="s">
        <v>1635</v>
      </c>
      <c r="O149">
        <v>3</v>
      </c>
      <c r="P149" t="s">
        <v>1878</v>
      </c>
      <c r="Q149">
        <v>356</v>
      </c>
    </row>
    <row r="150" spans="13:17" x14ac:dyDescent="0.25">
      <c r="M150" s="1">
        <v>46361</v>
      </c>
      <c r="N150" t="s">
        <v>1635</v>
      </c>
      <c r="O150">
        <v>3</v>
      </c>
      <c r="P150" t="s">
        <v>1879</v>
      </c>
      <c r="Q150">
        <v>359</v>
      </c>
    </row>
    <row r="151" spans="13:17" x14ac:dyDescent="0.25">
      <c r="M151" s="1">
        <v>46365</v>
      </c>
      <c r="N151" t="s">
        <v>1635</v>
      </c>
      <c r="O151">
        <v>3</v>
      </c>
      <c r="P151" t="s">
        <v>1880</v>
      </c>
      <c r="Q151">
        <v>362</v>
      </c>
    </row>
    <row r="152" spans="13:17" x14ac:dyDescent="0.25">
      <c r="M152" s="1">
        <v>46366</v>
      </c>
      <c r="N152" t="s">
        <v>1635</v>
      </c>
      <c r="O152">
        <v>3</v>
      </c>
      <c r="P152" t="s">
        <v>1881</v>
      </c>
      <c r="Q152">
        <v>365</v>
      </c>
    </row>
    <row r="153" spans="13:17" x14ac:dyDescent="0.25">
      <c r="M153" s="1">
        <v>46367</v>
      </c>
      <c r="N153" t="s">
        <v>1635</v>
      </c>
      <c r="O153">
        <v>3</v>
      </c>
      <c r="P153" t="s">
        <v>1882</v>
      </c>
      <c r="Q153">
        <v>368</v>
      </c>
    </row>
    <row r="154" spans="13:17" x14ac:dyDescent="0.25">
      <c r="M154" s="1">
        <v>46368</v>
      </c>
      <c r="N154" t="s">
        <v>1635</v>
      </c>
      <c r="O154">
        <v>3</v>
      </c>
      <c r="P154" t="s">
        <v>1883</v>
      </c>
      <c r="Q154">
        <v>371</v>
      </c>
    </row>
    <row r="155" spans="13:17" x14ac:dyDescent="0.25">
      <c r="M155" s="1">
        <v>46371</v>
      </c>
      <c r="N155" t="s">
        <v>1635</v>
      </c>
      <c r="O155">
        <v>3</v>
      </c>
      <c r="P155" t="s">
        <v>1884</v>
      </c>
      <c r="Q155">
        <v>374</v>
      </c>
    </row>
    <row r="156" spans="13:17" x14ac:dyDescent="0.25">
      <c r="M156" s="1">
        <v>46372</v>
      </c>
      <c r="N156" t="s">
        <v>1635</v>
      </c>
      <c r="O156">
        <v>3</v>
      </c>
      <c r="P156" t="s">
        <v>1885</v>
      </c>
      <c r="Q156">
        <v>377</v>
      </c>
    </row>
    <row r="157" spans="13:17" x14ac:dyDescent="0.25">
      <c r="M157" s="1">
        <v>46373</v>
      </c>
      <c r="N157" t="s">
        <v>1635</v>
      </c>
      <c r="O157">
        <v>3</v>
      </c>
      <c r="P157" t="s">
        <v>1886</v>
      </c>
      <c r="Q157">
        <v>380</v>
      </c>
    </row>
    <row r="158" spans="13:17" x14ac:dyDescent="0.25">
      <c r="M158" s="1">
        <v>46374</v>
      </c>
      <c r="N158" t="s">
        <v>1635</v>
      </c>
      <c r="O158">
        <v>3</v>
      </c>
      <c r="P158" t="s">
        <v>1887</v>
      </c>
      <c r="Q158">
        <v>383</v>
      </c>
    </row>
    <row r="159" spans="13:17" x14ac:dyDescent="0.25">
      <c r="M159" s="1">
        <v>46375</v>
      </c>
      <c r="N159" t="s">
        <v>1635</v>
      </c>
      <c r="O159">
        <v>3</v>
      </c>
      <c r="P159" t="s">
        <v>1888</v>
      </c>
      <c r="Q159">
        <v>386</v>
      </c>
    </row>
    <row r="160" spans="13:17" x14ac:dyDescent="0.25">
      <c r="M160" s="1">
        <v>46378</v>
      </c>
      <c r="N160" t="s">
        <v>1635</v>
      </c>
      <c r="O160">
        <v>3</v>
      </c>
      <c r="P160" t="s">
        <v>1889</v>
      </c>
      <c r="Q160">
        <v>389</v>
      </c>
    </row>
    <row r="161" spans="13:17" x14ac:dyDescent="0.25">
      <c r="M161" s="1">
        <v>46379</v>
      </c>
      <c r="N161" t="s">
        <v>1635</v>
      </c>
      <c r="O161">
        <v>3</v>
      </c>
      <c r="P161" t="s">
        <v>1890</v>
      </c>
      <c r="Q161">
        <v>392</v>
      </c>
    </row>
    <row r="162" spans="13:17" x14ac:dyDescent="0.25">
      <c r="M162" s="1">
        <v>46380</v>
      </c>
      <c r="N162" t="s">
        <v>1635</v>
      </c>
      <c r="O162">
        <v>3</v>
      </c>
      <c r="P162" t="s">
        <v>1891</v>
      </c>
      <c r="Q162">
        <v>395</v>
      </c>
    </row>
    <row r="163" spans="13:17" x14ac:dyDescent="0.25">
      <c r="M163" s="1">
        <v>46382</v>
      </c>
      <c r="N163" t="s">
        <v>1635</v>
      </c>
      <c r="O163">
        <v>3</v>
      </c>
      <c r="P163" t="s">
        <v>1892</v>
      </c>
      <c r="Q163">
        <v>398</v>
      </c>
    </row>
    <row r="164" spans="13:17" x14ac:dyDescent="0.25">
      <c r="M164" s="1">
        <v>46385</v>
      </c>
      <c r="N164" t="s">
        <v>1635</v>
      </c>
      <c r="O164">
        <v>2</v>
      </c>
      <c r="P164" t="s">
        <v>1893</v>
      </c>
      <c r="Q164">
        <v>400</v>
      </c>
    </row>
    <row r="165" spans="13:17" x14ac:dyDescent="0.25">
      <c r="M165" s="1">
        <v>46386</v>
      </c>
      <c r="N165" t="s">
        <v>1635</v>
      </c>
      <c r="O165">
        <v>2</v>
      </c>
      <c r="P165" t="s">
        <v>1894</v>
      </c>
      <c r="Q165">
        <v>402</v>
      </c>
    </row>
    <row r="166" spans="13:17" x14ac:dyDescent="0.25">
      <c r="M166" s="1">
        <v>46387</v>
      </c>
      <c r="N166" t="s">
        <v>1635</v>
      </c>
      <c r="O166">
        <v>2</v>
      </c>
      <c r="P166" t="s">
        <v>1895</v>
      </c>
      <c r="Q166">
        <v>404</v>
      </c>
    </row>
    <row r="167" spans="13:17" x14ac:dyDescent="0.25">
      <c r="M167" s="1">
        <v>46389</v>
      </c>
      <c r="N167" t="s">
        <v>1624</v>
      </c>
      <c r="O167">
        <v>3</v>
      </c>
      <c r="P167" t="s">
        <v>1896</v>
      </c>
      <c r="Q167">
        <v>407</v>
      </c>
    </row>
    <row r="168" spans="13:17" x14ac:dyDescent="0.25">
      <c r="M168" s="1">
        <v>46392</v>
      </c>
      <c r="N168" t="s">
        <v>1624</v>
      </c>
      <c r="O168">
        <v>3</v>
      </c>
      <c r="P168" t="s">
        <v>1897</v>
      </c>
      <c r="Q168">
        <v>410</v>
      </c>
    </row>
    <row r="169" spans="13:17" x14ac:dyDescent="0.25">
      <c r="M169" s="1">
        <v>46393</v>
      </c>
      <c r="N169" t="s">
        <v>1624</v>
      </c>
      <c r="O169">
        <v>3</v>
      </c>
      <c r="P169" t="s">
        <v>1898</v>
      </c>
      <c r="Q169">
        <v>413</v>
      </c>
    </row>
    <row r="170" spans="13:17" x14ac:dyDescent="0.25">
      <c r="M170" s="1">
        <v>46394</v>
      </c>
      <c r="N170" t="s">
        <v>1624</v>
      </c>
      <c r="O170">
        <v>3</v>
      </c>
      <c r="P170" t="s">
        <v>1899</v>
      </c>
      <c r="Q170">
        <v>416</v>
      </c>
    </row>
    <row r="171" spans="13:17" x14ac:dyDescent="0.25">
      <c r="M171" s="1">
        <v>46395</v>
      </c>
      <c r="N171" t="s">
        <v>1624</v>
      </c>
      <c r="O171">
        <v>3</v>
      </c>
      <c r="P171" t="s">
        <v>1900</v>
      </c>
      <c r="Q171">
        <v>419</v>
      </c>
    </row>
    <row r="172" spans="13:17" x14ac:dyDescent="0.25">
      <c r="M172" s="1">
        <v>46396</v>
      </c>
      <c r="N172" t="s">
        <v>1624</v>
      </c>
      <c r="O172">
        <v>3</v>
      </c>
      <c r="P172" t="s">
        <v>1901</v>
      </c>
      <c r="Q172">
        <v>422</v>
      </c>
    </row>
    <row r="173" spans="13:17" x14ac:dyDescent="0.25">
      <c r="M173" s="1">
        <v>46399</v>
      </c>
      <c r="N173" t="s">
        <v>1624</v>
      </c>
      <c r="O173">
        <v>3</v>
      </c>
      <c r="P173" t="s">
        <v>1902</v>
      </c>
      <c r="Q173">
        <v>425</v>
      </c>
    </row>
    <row r="174" spans="13:17" x14ac:dyDescent="0.25">
      <c r="M174" s="1">
        <v>46400</v>
      </c>
      <c r="N174" t="s">
        <v>1624</v>
      </c>
      <c r="O174">
        <v>3</v>
      </c>
      <c r="P174" t="s">
        <v>1903</v>
      </c>
      <c r="Q174">
        <v>428</v>
      </c>
    </row>
    <row r="175" spans="13:17" x14ac:dyDescent="0.25">
      <c r="M175" s="1">
        <v>46401</v>
      </c>
      <c r="N175" t="s">
        <v>1624</v>
      </c>
      <c r="O175">
        <v>3</v>
      </c>
      <c r="P175" t="s">
        <v>1904</v>
      </c>
      <c r="Q175">
        <v>431</v>
      </c>
    </row>
    <row r="176" spans="13:17" x14ac:dyDescent="0.25">
      <c r="M176" s="1">
        <v>46402</v>
      </c>
      <c r="N176" t="s">
        <v>1624</v>
      </c>
      <c r="O176">
        <v>3</v>
      </c>
      <c r="P176" t="s">
        <v>1905</v>
      </c>
      <c r="Q176">
        <v>434</v>
      </c>
    </row>
    <row r="177" spans="13:17" x14ac:dyDescent="0.25">
      <c r="M177" s="1">
        <v>46403</v>
      </c>
      <c r="N177" t="s">
        <v>1624</v>
      </c>
      <c r="O177">
        <v>3</v>
      </c>
      <c r="P177" t="s">
        <v>1906</v>
      </c>
      <c r="Q177">
        <v>437</v>
      </c>
    </row>
    <row r="178" spans="13:17" x14ac:dyDescent="0.25">
      <c r="M178" s="1">
        <v>46406</v>
      </c>
      <c r="N178" t="s">
        <v>1624</v>
      </c>
      <c r="O178">
        <v>3</v>
      </c>
      <c r="P178" t="s">
        <v>1907</v>
      </c>
      <c r="Q178">
        <v>440</v>
      </c>
    </row>
    <row r="179" spans="13:17" x14ac:dyDescent="0.25">
      <c r="M179" s="1">
        <v>46407</v>
      </c>
      <c r="N179" t="s">
        <v>1624</v>
      </c>
      <c r="O179">
        <v>3</v>
      </c>
      <c r="P179" t="s">
        <v>1908</v>
      </c>
      <c r="Q179">
        <v>443</v>
      </c>
    </row>
    <row r="180" spans="13:17" x14ac:dyDescent="0.25">
      <c r="M180" s="1">
        <v>46408</v>
      </c>
      <c r="N180" t="s">
        <v>1624</v>
      </c>
      <c r="O180">
        <v>3</v>
      </c>
      <c r="P180" t="s">
        <v>1909</v>
      </c>
      <c r="Q180">
        <v>446</v>
      </c>
    </row>
    <row r="181" spans="13:17" x14ac:dyDescent="0.25">
      <c r="M181" s="1">
        <v>46409</v>
      </c>
      <c r="N181" t="s">
        <v>1624</v>
      </c>
      <c r="O181">
        <v>3</v>
      </c>
      <c r="P181" t="s">
        <v>1910</v>
      </c>
      <c r="Q181">
        <v>449</v>
      </c>
    </row>
    <row r="182" spans="13:17" x14ac:dyDescent="0.25">
      <c r="M182" s="1">
        <v>46410</v>
      </c>
      <c r="N182" t="s">
        <v>1624</v>
      </c>
      <c r="O182">
        <v>3</v>
      </c>
      <c r="P182" t="s">
        <v>1911</v>
      </c>
      <c r="Q182">
        <v>452</v>
      </c>
    </row>
    <row r="183" spans="13:17" x14ac:dyDescent="0.25">
      <c r="M183" s="1">
        <v>46413</v>
      </c>
      <c r="N183" t="s">
        <v>1624</v>
      </c>
      <c r="O183">
        <v>3</v>
      </c>
      <c r="P183" t="s">
        <v>1912</v>
      </c>
      <c r="Q183">
        <v>455</v>
      </c>
    </row>
    <row r="184" spans="13:17" x14ac:dyDescent="0.25">
      <c r="M184" s="1">
        <v>46414</v>
      </c>
      <c r="N184" t="s">
        <v>1624</v>
      </c>
      <c r="O184">
        <v>3</v>
      </c>
      <c r="P184" t="s">
        <v>1913</v>
      </c>
      <c r="Q184">
        <v>458</v>
      </c>
    </row>
    <row r="185" spans="13:17" x14ac:dyDescent="0.25">
      <c r="M185" s="1">
        <v>46415</v>
      </c>
      <c r="N185" t="s">
        <v>1624</v>
      </c>
      <c r="O185">
        <v>2</v>
      </c>
      <c r="P185" t="s">
        <v>1914</v>
      </c>
      <c r="Q185">
        <v>460</v>
      </c>
    </row>
    <row r="186" spans="13:17" x14ac:dyDescent="0.25">
      <c r="M186" s="1">
        <v>46416</v>
      </c>
      <c r="N186" t="s">
        <v>1624</v>
      </c>
      <c r="O186">
        <v>2</v>
      </c>
      <c r="P186" t="s">
        <v>1915</v>
      </c>
      <c r="Q186">
        <v>462</v>
      </c>
    </row>
    <row r="187" spans="13:17" x14ac:dyDescent="0.25">
      <c r="M187" s="1">
        <v>46417</v>
      </c>
      <c r="N187" t="s">
        <v>1624</v>
      </c>
      <c r="O187">
        <v>2</v>
      </c>
      <c r="P187" t="s">
        <v>1916</v>
      </c>
      <c r="Q187">
        <v>464</v>
      </c>
    </row>
    <row r="188" spans="13:17" x14ac:dyDescent="0.25">
      <c r="M188" s="1">
        <v>46420</v>
      </c>
      <c r="N188" t="s">
        <v>1625</v>
      </c>
      <c r="O188">
        <v>3</v>
      </c>
      <c r="P188" t="s">
        <v>1917</v>
      </c>
      <c r="Q188">
        <v>467</v>
      </c>
    </row>
    <row r="189" spans="13:17" x14ac:dyDescent="0.25">
      <c r="M189" s="1">
        <v>46421</v>
      </c>
      <c r="N189" t="s">
        <v>1625</v>
      </c>
      <c r="O189">
        <v>3</v>
      </c>
      <c r="P189" t="s">
        <v>1918</v>
      </c>
      <c r="Q189">
        <v>470</v>
      </c>
    </row>
    <row r="190" spans="13:17" x14ac:dyDescent="0.25">
      <c r="M190" s="1">
        <v>46422</v>
      </c>
      <c r="N190" t="s">
        <v>1625</v>
      </c>
      <c r="O190">
        <v>3</v>
      </c>
      <c r="P190" t="s">
        <v>1919</v>
      </c>
      <c r="Q190">
        <v>473</v>
      </c>
    </row>
    <row r="191" spans="13:17" x14ac:dyDescent="0.25">
      <c r="M191" s="1">
        <v>46423</v>
      </c>
      <c r="N191" t="s">
        <v>1625</v>
      </c>
      <c r="O191">
        <v>3</v>
      </c>
      <c r="P191" t="s">
        <v>1920</v>
      </c>
      <c r="Q191">
        <v>476</v>
      </c>
    </row>
    <row r="192" spans="13:17" x14ac:dyDescent="0.25">
      <c r="M192" s="1">
        <v>46424</v>
      </c>
      <c r="N192" t="s">
        <v>1625</v>
      </c>
      <c r="O192">
        <v>3</v>
      </c>
      <c r="P192" t="s">
        <v>1921</v>
      </c>
      <c r="Q192">
        <v>479</v>
      </c>
    </row>
    <row r="193" spans="13:17" x14ac:dyDescent="0.25">
      <c r="M193" s="1">
        <v>46427</v>
      </c>
      <c r="N193" t="s">
        <v>1625</v>
      </c>
      <c r="O193">
        <v>3</v>
      </c>
      <c r="P193" t="s">
        <v>1922</v>
      </c>
      <c r="Q193">
        <v>482</v>
      </c>
    </row>
    <row r="194" spans="13:17" x14ac:dyDescent="0.25">
      <c r="M194" s="1">
        <v>46428</v>
      </c>
      <c r="N194" t="s">
        <v>1625</v>
      </c>
      <c r="O194">
        <v>3</v>
      </c>
      <c r="P194" t="s">
        <v>1923</v>
      </c>
      <c r="Q194">
        <v>485</v>
      </c>
    </row>
    <row r="195" spans="13:17" x14ac:dyDescent="0.25">
      <c r="M195" s="1">
        <v>46429</v>
      </c>
      <c r="N195" t="s">
        <v>1625</v>
      </c>
      <c r="O195">
        <v>3</v>
      </c>
      <c r="P195" t="s">
        <v>1924</v>
      </c>
      <c r="Q195">
        <v>488</v>
      </c>
    </row>
    <row r="196" spans="13:17" x14ac:dyDescent="0.25">
      <c r="M196" s="1">
        <v>46430</v>
      </c>
      <c r="N196" t="s">
        <v>1625</v>
      </c>
      <c r="O196">
        <v>3</v>
      </c>
      <c r="P196" t="s">
        <v>1925</v>
      </c>
      <c r="Q196">
        <v>491</v>
      </c>
    </row>
    <row r="197" spans="13:17" x14ac:dyDescent="0.25">
      <c r="M197" s="1">
        <v>46431</v>
      </c>
      <c r="N197" t="s">
        <v>1625</v>
      </c>
      <c r="O197">
        <v>3</v>
      </c>
      <c r="P197" t="s">
        <v>1926</v>
      </c>
      <c r="Q197">
        <v>494</v>
      </c>
    </row>
    <row r="198" spans="13:17" x14ac:dyDescent="0.25">
      <c r="M198" s="1">
        <v>46434</v>
      </c>
      <c r="N198" t="s">
        <v>1625</v>
      </c>
      <c r="O198">
        <v>3</v>
      </c>
      <c r="P198" t="s">
        <v>1927</v>
      </c>
      <c r="Q198">
        <v>497</v>
      </c>
    </row>
    <row r="199" spans="13:17" x14ac:dyDescent="0.25">
      <c r="M199" s="1">
        <v>46435</v>
      </c>
      <c r="N199" t="s">
        <v>1625</v>
      </c>
      <c r="O199">
        <v>3</v>
      </c>
      <c r="P199" t="s">
        <v>1928</v>
      </c>
      <c r="Q199">
        <v>500</v>
      </c>
    </row>
    <row r="200" spans="13:17" x14ac:dyDescent="0.25">
      <c r="M200" s="1">
        <v>46436</v>
      </c>
      <c r="N200" t="s">
        <v>1625</v>
      </c>
      <c r="O200">
        <v>3</v>
      </c>
      <c r="P200" t="s">
        <v>1929</v>
      </c>
      <c r="Q200">
        <v>503</v>
      </c>
    </row>
    <row r="201" spans="13:17" x14ac:dyDescent="0.25">
      <c r="M201" s="1">
        <v>46437</v>
      </c>
      <c r="N201" t="s">
        <v>1625</v>
      </c>
      <c r="O201">
        <v>3</v>
      </c>
      <c r="P201" t="s">
        <v>1930</v>
      </c>
      <c r="Q201">
        <v>506</v>
      </c>
    </row>
    <row r="202" spans="13:17" x14ac:dyDescent="0.25">
      <c r="M202" s="1">
        <v>46438</v>
      </c>
      <c r="N202" t="s">
        <v>1625</v>
      </c>
      <c r="O202">
        <v>3</v>
      </c>
      <c r="P202" t="s">
        <v>1931</v>
      </c>
      <c r="Q202">
        <v>509</v>
      </c>
    </row>
    <row r="203" spans="13:17" x14ac:dyDescent="0.25">
      <c r="M203" s="1">
        <v>46441</v>
      </c>
      <c r="N203" t="s">
        <v>1625</v>
      </c>
      <c r="O203">
        <v>3</v>
      </c>
      <c r="P203" t="s">
        <v>1932</v>
      </c>
      <c r="Q203">
        <v>512</v>
      </c>
    </row>
    <row r="204" spans="13:17" x14ac:dyDescent="0.25">
      <c r="M204" s="1">
        <v>46442</v>
      </c>
      <c r="N204" t="s">
        <v>1625</v>
      </c>
      <c r="O204">
        <v>3</v>
      </c>
      <c r="P204" t="s">
        <v>1933</v>
      </c>
      <c r="Q204">
        <v>515</v>
      </c>
    </row>
    <row r="205" spans="13:17" x14ac:dyDescent="0.25">
      <c r="M205" s="1">
        <v>46443</v>
      </c>
      <c r="N205" t="s">
        <v>1625</v>
      </c>
      <c r="O205">
        <v>3</v>
      </c>
      <c r="P205" t="s">
        <v>1934</v>
      </c>
      <c r="Q205">
        <v>518</v>
      </c>
    </row>
    <row r="206" spans="13:17" x14ac:dyDescent="0.25">
      <c r="M206" s="1">
        <v>46444</v>
      </c>
      <c r="N206" t="s">
        <v>1625</v>
      </c>
      <c r="O206">
        <v>3</v>
      </c>
      <c r="P206" t="s">
        <v>1935</v>
      </c>
      <c r="Q206">
        <v>521</v>
      </c>
    </row>
    <row r="207" spans="13:17" x14ac:dyDescent="0.25">
      <c r="M207" s="1">
        <v>46445</v>
      </c>
      <c r="N207" t="s">
        <v>1625</v>
      </c>
      <c r="O207">
        <v>3</v>
      </c>
      <c r="P207" t="s">
        <v>1936</v>
      </c>
      <c r="Q207">
        <v>524</v>
      </c>
    </row>
    <row r="208" spans="13:17" x14ac:dyDescent="0.25">
      <c r="M208" s="1">
        <v>46448</v>
      </c>
      <c r="N208" t="s">
        <v>1626</v>
      </c>
      <c r="O208">
        <v>3</v>
      </c>
      <c r="P208" t="s">
        <v>1937</v>
      </c>
      <c r="Q208">
        <v>527</v>
      </c>
    </row>
    <row r="209" spans="13:17" x14ac:dyDescent="0.25">
      <c r="M209" s="1">
        <v>46449</v>
      </c>
      <c r="N209" t="s">
        <v>1626</v>
      </c>
      <c r="O209">
        <v>3</v>
      </c>
      <c r="P209" t="s">
        <v>1938</v>
      </c>
      <c r="Q209">
        <v>530</v>
      </c>
    </row>
    <row r="210" spans="13:17" x14ac:dyDescent="0.25">
      <c r="M210" s="1">
        <v>46450</v>
      </c>
      <c r="N210" t="s">
        <v>1626</v>
      </c>
      <c r="O210">
        <v>3</v>
      </c>
      <c r="P210" t="s">
        <v>1939</v>
      </c>
      <c r="Q210">
        <v>533</v>
      </c>
    </row>
    <row r="211" spans="13:17" x14ac:dyDescent="0.25">
      <c r="M211" s="1">
        <v>46451</v>
      </c>
      <c r="N211" t="s">
        <v>1626</v>
      </c>
      <c r="O211">
        <v>3</v>
      </c>
      <c r="P211" t="s">
        <v>1940</v>
      </c>
      <c r="Q211">
        <v>536</v>
      </c>
    </row>
    <row r="212" spans="13:17" x14ac:dyDescent="0.25">
      <c r="M212" s="1">
        <v>46452</v>
      </c>
      <c r="N212" t="s">
        <v>1626</v>
      </c>
      <c r="O212">
        <v>3</v>
      </c>
      <c r="P212" t="s">
        <v>1941</v>
      </c>
      <c r="Q212">
        <v>539</v>
      </c>
    </row>
    <row r="213" spans="13:17" x14ac:dyDescent="0.25">
      <c r="M213" s="1">
        <v>46455</v>
      </c>
      <c r="N213" t="s">
        <v>1626</v>
      </c>
      <c r="O213">
        <v>3</v>
      </c>
      <c r="P213" t="s">
        <v>1942</v>
      </c>
      <c r="Q213">
        <v>542</v>
      </c>
    </row>
    <row r="214" spans="13:17" x14ac:dyDescent="0.25">
      <c r="M214" s="1">
        <v>46456</v>
      </c>
      <c r="N214" t="s">
        <v>1626</v>
      </c>
      <c r="O214">
        <v>3</v>
      </c>
      <c r="P214" t="s">
        <v>1943</v>
      </c>
      <c r="Q214">
        <v>545</v>
      </c>
    </row>
    <row r="215" spans="13:17" x14ac:dyDescent="0.25">
      <c r="M215" s="1">
        <v>46457</v>
      </c>
      <c r="N215" t="s">
        <v>1626</v>
      </c>
      <c r="O215">
        <v>3</v>
      </c>
      <c r="P215" t="s">
        <v>1944</v>
      </c>
      <c r="Q215">
        <v>548</v>
      </c>
    </row>
    <row r="216" spans="13:17" x14ac:dyDescent="0.25">
      <c r="M216" s="1">
        <v>46458</v>
      </c>
      <c r="N216" t="s">
        <v>1626</v>
      </c>
      <c r="O216">
        <v>3</v>
      </c>
      <c r="P216" t="s">
        <v>1945</v>
      </c>
      <c r="Q216">
        <v>551</v>
      </c>
    </row>
    <row r="217" spans="13:17" x14ac:dyDescent="0.25">
      <c r="M217" s="1">
        <v>46459</v>
      </c>
      <c r="N217" t="s">
        <v>1626</v>
      </c>
      <c r="O217">
        <v>3</v>
      </c>
      <c r="P217" t="s">
        <v>1946</v>
      </c>
      <c r="Q217">
        <v>554</v>
      </c>
    </row>
    <row r="218" spans="13:17" x14ac:dyDescent="0.25">
      <c r="M218" s="1">
        <v>46462</v>
      </c>
      <c r="N218" t="s">
        <v>1626</v>
      </c>
      <c r="O218">
        <v>3</v>
      </c>
      <c r="P218" t="s">
        <v>1947</v>
      </c>
      <c r="Q218">
        <v>557</v>
      </c>
    </row>
    <row r="219" spans="13:17" x14ac:dyDescent="0.25">
      <c r="M219" s="1">
        <v>46463</v>
      </c>
      <c r="N219" t="s">
        <v>1626</v>
      </c>
      <c r="O219">
        <v>3</v>
      </c>
      <c r="P219" t="s">
        <v>1948</v>
      </c>
      <c r="Q219">
        <v>560</v>
      </c>
    </row>
    <row r="220" spans="13:17" x14ac:dyDescent="0.25">
      <c r="M220" s="1">
        <v>46464</v>
      </c>
      <c r="N220" t="s">
        <v>1626</v>
      </c>
      <c r="O220">
        <v>3</v>
      </c>
      <c r="P220" t="s">
        <v>1949</v>
      </c>
      <c r="Q220">
        <v>563</v>
      </c>
    </row>
    <row r="221" spans="13:17" x14ac:dyDescent="0.25">
      <c r="M221" s="1">
        <v>46465</v>
      </c>
      <c r="N221" t="s">
        <v>1626</v>
      </c>
      <c r="O221">
        <v>3</v>
      </c>
      <c r="P221" t="s">
        <v>1950</v>
      </c>
      <c r="Q221">
        <v>566</v>
      </c>
    </row>
    <row r="222" spans="13:17" x14ac:dyDescent="0.25">
      <c r="M222" s="1">
        <v>46466</v>
      </c>
      <c r="N222" t="s">
        <v>1626</v>
      </c>
      <c r="O222">
        <v>3</v>
      </c>
      <c r="P222" t="s">
        <v>1951</v>
      </c>
      <c r="Q222">
        <v>569</v>
      </c>
    </row>
    <row r="223" spans="13:17" x14ac:dyDescent="0.25">
      <c r="M223" s="1">
        <v>46469</v>
      </c>
      <c r="N223" t="s">
        <v>1626</v>
      </c>
      <c r="O223">
        <v>3</v>
      </c>
      <c r="P223" t="s">
        <v>1952</v>
      </c>
      <c r="Q223">
        <v>572</v>
      </c>
    </row>
    <row r="224" spans="13:17" x14ac:dyDescent="0.25">
      <c r="M224" s="1">
        <v>46470</v>
      </c>
      <c r="N224" t="s">
        <v>1626</v>
      </c>
      <c r="O224">
        <v>2</v>
      </c>
      <c r="P224" t="s">
        <v>1953</v>
      </c>
      <c r="Q224">
        <v>574</v>
      </c>
    </row>
    <row r="225" spans="13:17" x14ac:dyDescent="0.25">
      <c r="M225" s="1">
        <v>46471</v>
      </c>
      <c r="N225" t="s">
        <v>1626</v>
      </c>
      <c r="O225">
        <v>2</v>
      </c>
      <c r="P225" t="s">
        <v>1954</v>
      </c>
      <c r="Q225">
        <v>576</v>
      </c>
    </row>
    <row r="226" spans="13:17" x14ac:dyDescent="0.25">
      <c r="M226" s="1">
        <v>46472</v>
      </c>
      <c r="N226" t="s">
        <v>1626</v>
      </c>
      <c r="O226">
        <v>2</v>
      </c>
      <c r="P226" t="s">
        <v>1955</v>
      </c>
      <c r="Q226">
        <v>578</v>
      </c>
    </row>
    <row r="227" spans="13:17" x14ac:dyDescent="0.25">
      <c r="M227" s="1">
        <v>46473</v>
      </c>
      <c r="N227" t="s">
        <v>1626</v>
      </c>
      <c r="O227">
        <v>2</v>
      </c>
      <c r="P227" t="s">
        <v>1956</v>
      </c>
      <c r="Q227">
        <v>580</v>
      </c>
    </row>
    <row r="228" spans="13:17" x14ac:dyDescent="0.25">
      <c r="M228" s="1">
        <v>46476</v>
      </c>
      <c r="N228" t="s">
        <v>1626</v>
      </c>
      <c r="O228">
        <v>2</v>
      </c>
      <c r="P228" t="s">
        <v>1957</v>
      </c>
      <c r="Q228">
        <v>582</v>
      </c>
    </row>
    <row r="229" spans="13:17" x14ac:dyDescent="0.25">
      <c r="M229" s="1">
        <v>46477</v>
      </c>
      <c r="N229" t="s">
        <v>1626</v>
      </c>
      <c r="O229">
        <v>2</v>
      </c>
      <c r="P229" t="s">
        <v>1958</v>
      </c>
      <c r="Q229">
        <v>584</v>
      </c>
    </row>
    <row r="230" spans="13:17" x14ac:dyDescent="0.25">
      <c r="M230" s="1">
        <v>46478</v>
      </c>
      <c r="N230" t="s">
        <v>1627</v>
      </c>
      <c r="O230">
        <v>3</v>
      </c>
      <c r="P230" t="s">
        <v>1959</v>
      </c>
      <c r="Q230">
        <v>587</v>
      </c>
    </row>
    <row r="231" spans="13:17" x14ac:dyDescent="0.25">
      <c r="M231" s="1">
        <v>46479</v>
      </c>
      <c r="N231" t="s">
        <v>1627</v>
      </c>
      <c r="O231">
        <v>3</v>
      </c>
      <c r="P231" t="s">
        <v>1960</v>
      </c>
      <c r="Q231">
        <v>590</v>
      </c>
    </row>
    <row r="232" spans="13:17" x14ac:dyDescent="0.25">
      <c r="M232" s="1">
        <v>46483</v>
      </c>
      <c r="N232" t="s">
        <v>1627</v>
      </c>
      <c r="O232">
        <v>3</v>
      </c>
      <c r="P232" t="s">
        <v>1961</v>
      </c>
      <c r="Q232">
        <v>593</v>
      </c>
    </row>
    <row r="233" spans="13:17" x14ac:dyDescent="0.25">
      <c r="M233" s="1">
        <v>46484</v>
      </c>
      <c r="N233" t="s">
        <v>1627</v>
      </c>
      <c r="O233">
        <v>3</v>
      </c>
      <c r="P233" t="s">
        <v>1962</v>
      </c>
      <c r="Q233">
        <v>596</v>
      </c>
    </row>
    <row r="234" spans="13:17" x14ac:dyDescent="0.25">
      <c r="M234" s="1">
        <v>46485</v>
      </c>
      <c r="N234" t="s">
        <v>1627</v>
      </c>
      <c r="O234">
        <v>3</v>
      </c>
      <c r="P234" t="s">
        <v>1963</v>
      </c>
      <c r="Q234">
        <v>599</v>
      </c>
    </row>
    <row r="235" spans="13:17" x14ac:dyDescent="0.25">
      <c r="M235" s="1">
        <v>46486</v>
      </c>
      <c r="N235" t="s">
        <v>1627</v>
      </c>
      <c r="O235">
        <v>3</v>
      </c>
      <c r="P235" t="s">
        <v>1964</v>
      </c>
      <c r="Q235">
        <v>602</v>
      </c>
    </row>
    <row r="236" spans="13:17" x14ac:dyDescent="0.25">
      <c r="M236" s="1">
        <v>46487</v>
      </c>
      <c r="N236" t="s">
        <v>1627</v>
      </c>
      <c r="O236">
        <v>3</v>
      </c>
      <c r="P236" t="s">
        <v>1965</v>
      </c>
      <c r="Q236">
        <v>605</v>
      </c>
    </row>
    <row r="237" spans="13:17" x14ac:dyDescent="0.25">
      <c r="M237" s="1">
        <v>46490</v>
      </c>
      <c r="N237" t="s">
        <v>1627</v>
      </c>
      <c r="O237">
        <v>3</v>
      </c>
      <c r="P237" t="s">
        <v>1966</v>
      </c>
      <c r="Q237">
        <v>608</v>
      </c>
    </row>
    <row r="238" spans="13:17" x14ac:dyDescent="0.25">
      <c r="M238" s="1">
        <v>46491</v>
      </c>
      <c r="N238" t="s">
        <v>1627</v>
      </c>
      <c r="O238">
        <v>3</v>
      </c>
      <c r="P238" t="s">
        <v>1967</v>
      </c>
      <c r="Q238">
        <v>611</v>
      </c>
    </row>
    <row r="239" spans="13:17" x14ac:dyDescent="0.25">
      <c r="M239" s="1">
        <v>46492</v>
      </c>
      <c r="N239" t="s">
        <v>1627</v>
      </c>
      <c r="O239">
        <v>3</v>
      </c>
      <c r="P239" t="s">
        <v>1968</v>
      </c>
      <c r="Q239">
        <v>614</v>
      </c>
    </row>
    <row r="240" spans="13:17" x14ac:dyDescent="0.25">
      <c r="M240" s="1">
        <v>46493</v>
      </c>
      <c r="N240" t="s">
        <v>1627</v>
      </c>
      <c r="O240">
        <v>3</v>
      </c>
      <c r="P240" t="s">
        <v>1969</v>
      </c>
      <c r="Q240">
        <v>617</v>
      </c>
    </row>
    <row r="241" spans="13:17" x14ac:dyDescent="0.25">
      <c r="M241" s="1">
        <v>46494</v>
      </c>
      <c r="N241" t="s">
        <v>1627</v>
      </c>
      <c r="O241">
        <v>3</v>
      </c>
      <c r="P241" t="s">
        <v>1970</v>
      </c>
      <c r="Q241">
        <v>620</v>
      </c>
    </row>
    <row r="242" spans="13:17" x14ac:dyDescent="0.25">
      <c r="M242" s="1">
        <v>46497</v>
      </c>
      <c r="N242" t="s">
        <v>1627</v>
      </c>
      <c r="O242">
        <v>3</v>
      </c>
      <c r="P242" t="s">
        <v>1971</v>
      </c>
      <c r="Q242">
        <v>623</v>
      </c>
    </row>
    <row r="243" spans="13:17" x14ac:dyDescent="0.25">
      <c r="M243" s="1">
        <v>46498</v>
      </c>
      <c r="N243" t="s">
        <v>1627</v>
      </c>
      <c r="O243">
        <v>3</v>
      </c>
      <c r="P243" t="s">
        <v>1972</v>
      </c>
      <c r="Q243">
        <v>626</v>
      </c>
    </row>
    <row r="244" spans="13:17" x14ac:dyDescent="0.25">
      <c r="M244" s="1">
        <v>46499</v>
      </c>
      <c r="N244" t="s">
        <v>1627</v>
      </c>
      <c r="O244">
        <v>3</v>
      </c>
      <c r="P244" t="s">
        <v>1973</v>
      </c>
      <c r="Q244">
        <v>629</v>
      </c>
    </row>
    <row r="245" spans="13:17" x14ac:dyDescent="0.25">
      <c r="M245" s="1">
        <v>46500</v>
      </c>
      <c r="N245" t="s">
        <v>1627</v>
      </c>
      <c r="O245">
        <v>3</v>
      </c>
      <c r="P245" t="s">
        <v>1974</v>
      </c>
      <c r="Q245">
        <v>632</v>
      </c>
    </row>
    <row r="246" spans="13:17" x14ac:dyDescent="0.25">
      <c r="M246" s="1">
        <v>46501</v>
      </c>
      <c r="N246" t="s">
        <v>1627</v>
      </c>
      <c r="O246">
        <v>3</v>
      </c>
      <c r="P246" t="s">
        <v>1975</v>
      </c>
      <c r="Q246">
        <v>635</v>
      </c>
    </row>
    <row r="247" spans="13:17" x14ac:dyDescent="0.25">
      <c r="M247" s="1">
        <v>46504</v>
      </c>
      <c r="N247" t="s">
        <v>1627</v>
      </c>
      <c r="O247">
        <v>3</v>
      </c>
      <c r="P247" t="s">
        <v>1976</v>
      </c>
      <c r="Q247">
        <v>638</v>
      </c>
    </row>
    <row r="248" spans="13:17" x14ac:dyDescent="0.25">
      <c r="M248" s="1">
        <v>46505</v>
      </c>
      <c r="N248" t="s">
        <v>1627</v>
      </c>
      <c r="O248">
        <v>2</v>
      </c>
      <c r="P248" t="s">
        <v>1977</v>
      </c>
      <c r="Q248">
        <v>640</v>
      </c>
    </row>
    <row r="249" spans="13:17" x14ac:dyDescent="0.25">
      <c r="M249" s="1">
        <v>46506</v>
      </c>
      <c r="N249" t="s">
        <v>1627</v>
      </c>
      <c r="O249">
        <v>2</v>
      </c>
      <c r="P249" t="s">
        <v>1978</v>
      </c>
      <c r="Q249">
        <v>642</v>
      </c>
    </row>
    <row r="250" spans="13:17" x14ac:dyDescent="0.25">
      <c r="M250" s="1">
        <v>46507</v>
      </c>
      <c r="N250" t="s">
        <v>1627</v>
      </c>
      <c r="O250">
        <v>2</v>
      </c>
      <c r="P250" t="s">
        <v>1979</v>
      </c>
      <c r="Q250">
        <v>644</v>
      </c>
    </row>
    <row r="251" spans="13:17" x14ac:dyDescent="0.25">
      <c r="M251" s="1">
        <v>46511</v>
      </c>
      <c r="N251" t="s">
        <v>1980</v>
      </c>
      <c r="O251">
        <v>3</v>
      </c>
      <c r="P251" t="s">
        <v>1981</v>
      </c>
      <c r="Q251">
        <v>647</v>
      </c>
    </row>
    <row r="252" spans="13:17" x14ac:dyDescent="0.25">
      <c r="M252" s="1">
        <v>46512</v>
      </c>
      <c r="N252" t="s">
        <v>1980</v>
      </c>
      <c r="O252">
        <v>3</v>
      </c>
      <c r="P252" t="s">
        <v>1982</v>
      </c>
      <c r="Q252">
        <v>650</v>
      </c>
    </row>
    <row r="253" spans="13:17" x14ac:dyDescent="0.25">
      <c r="M253" s="1">
        <v>46513</v>
      </c>
      <c r="N253" t="s">
        <v>1980</v>
      </c>
      <c r="O253">
        <v>3</v>
      </c>
      <c r="P253" t="s">
        <v>1983</v>
      </c>
      <c r="Q253">
        <v>653</v>
      </c>
    </row>
    <row r="254" spans="13:17" x14ac:dyDescent="0.25">
      <c r="M254" s="1">
        <v>46514</v>
      </c>
      <c r="N254" t="s">
        <v>1980</v>
      </c>
      <c r="O254">
        <v>3</v>
      </c>
      <c r="P254" t="s">
        <v>1984</v>
      </c>
      <c r="Q254">
        <v>656</v>
      </c>
    </row>
    <row r="255" spans="13:17" x14ac:dyDescent="0.25">
      <c r="M255" s="1">
        <v>46515</v>
      </c>
      <c r="N255" t="s">
        <v>1980</v>
      </c>
      <c r="O255">
        <v>3</v>
      </c>
      <c r="P255" t="s">
        <v>1985</v>
      </c>
      <c r="Q255">
        <v>659</v>
      </c>
    </row>
    <row r="256" spans="13:17" x14ac:dyDescent="0.25">
      <c r="M256" s="1">
        <v>46518</v>
      </c>
      <c r="N256" t="s">
        <v>1980</v>
      </c>
      <c r="O256">
        <v>3</v>
      </c>
      <c r="P256" t="s">
        <v>1986</v>
      </c>
      <c r="Q256">
        <v>662</v>
      </c>
    </row>
    <row r="257" spans="13:17" x14ac:dyDescent="0.25">
      <c r="M257" s="1">
        <v>46519</v>
      </c>
      <c r="N257" t="s">
        <v>1980</v>
      </c>
      <c r="O257">
        <v>3</v>
      </c>
      <c r="P257" t="s">
        <v>1987</v>
      </c>
      <c r="Q257">
        <v>665</v>
      </c>
    </row>
    <row r="258" spans="13:17" x14ac:dyDescent="0.25">
      <c r="M258" s="1">
        <v>46520</v>
      </c>
      <c r="N258" t="s">
        <v>1980</v>
      </c>
      <c r="O258">
        <v>3</v>
      </c>
      <c r="P258" t="s">
        <v>1988</v>
      </c>
      <c r="Q258">
        <v>668</v>
      </c>
    </row>
    <row r="259" spans="13:17" x14ac:dyDescent="0.25">
      <c r="M259" s="1">
        <v>46521</v>
      </c>
      <c r="N259" t="s">
        <v>1980</v>
      </c>
      <c r="O259">
        <v>3</v>
      </c>
      <c r="P259" t="s">
        <v>1989</v>
      </c>
      <c r="Q259">
        <v>671</v>
      </c>
    </row>
    <row r="260" spans="13:17" x14ac:dyDescent="0.25">
      <c r="M260" s="1">
        <v>46522</v>
      </c>
      <c r="N260" t="s">
        <v>1980</v>
      </c>
      <c r="O260">
        <v>3</v>
      </c>
      <c r="P260" t="s">
        <v>1990</v>
      </c>
      <c r="Q260">
        <v>674</v>
      </c>
    </row>
    <row r="261" spans="13:17" x14ac:dyDescent="0.25">
      <c r="M261" s="1">
        <v>46525</v>
      </c>
      <c r="N261" t="s">
        <v>1980</v>
      </c>
      <c r="O261">
        <v>3</v>
      </c>
      <c r="P261" t="s">
        <v>1991</v>
      </c>
      <c r="Q261">
        <v>677</v>
      </c>
    </row>
    <row r="262" spans="13:17" x14ac:dyDescent="0.25">
      <c r="M262" s="1">
        <v>46526</v>
      </c>
      <c r="N262" t="s">
        <v>1980</v>
      </c>
      <c r="O262">
        <v>3</v>
      </c>
      <c r="P262" t="s">
        <v>1992</v>
      </c>
      <c r="Q262">
        <v>680</v>
      </c>
    </row>
    <row r="263" spans="13:17" x14ac:dyDescent="0.25">
      <c r="M263" s="1">
        <v>46527</v>
      </c>
      <c r="N263" t="s">
        <v>1980</v>
      </c>
      <c r="O263">
        <v>3</v>
      </c>
      <c r="P263" t="s">
        <v>1993</v>
      </c>
      <c r="Q263">
        <v>683</v>
      </c>
    </row>
    <row r="264" spans="13:17" x14ac:dyDescent="0.25">
      <c r="M264" s="1">
        <v>46528</v>
      </c>
      <c r="N264" t="s">
        <v>1980</v>
      </c>
      <c r="O264">
        <v>3</v>
      </c>
      <c r="P264" t="s">
        <v>1994</v>
      </c>
      <c r="Q264">
        <v>686</v>
      </c>
    </row>
    <row r="265" spans="13:17" x14ac:dyDescent="0.25">
      <c r="M265" s="1">
        <v>46529</v>
      </c>
      <c r="N265" t="s">
        <v>1980</v>
      </c>
      <c r="O265">
        <v>3</v>
      </c>
      <c r="P265" t="s">
        <v>1995</v>
      </c>
      <c r="Q265">
        <v>689</v>
      </c>
    </row>
    <row r="266" spans="13:17" x14ac:dyDescent="0.25">
      <c r="M266" s="1">
        <v>46532</v>
      </c>
      <c r="N266" t="s">
        <v>1980</v>
      </c>
      <c r="O266">
        <v>3</v>
      </c>
      <c r="P266" t="s">
        <v>1996</v>
      </c>
      <c r="Q266">
        <v>692</v>
      </c>
    </row>
    <row r="267" spans="13:17" x14ac:dyDescent="0.25">
      <c r="M267" s="1">
        <v>46533</v>
      </c>
      <c r="N267" t="s">
        <v>1980</v>
      </c>
      <c r="O267">
        <v>3</v>
      </c>
      <c r="P267" t="s">
        <v>1997</v>
      </c>
      <c r="Q267">
        <v>695</v>
      </c>
    </row>
    <row r="268" spans="13:17" x14ac:dyDescent="0.25">
      <c r="M268" s="1">
        <v>46534</v>
      </c>
      <c r="N268" t="s">
        <v>1980</v>
      </c>
      <c r="O268">
        <v>3</v>
      </c>
      <c r="P268" t="s">
        <v>1998</v>
      </c>
      <c r="Q268">
        <v>698</v>
      </c>
    </row>
    <row r="269" spans="13:17" x14ac:dyDescent="0.25">
      <c r="M269" s="1">
        <v>46535</v>
      </c>
      <c r="N269" t="s">
        <v>1980</v>
      </c>
      <c r="O269">
        <v>3</v>
      </c>
      <c r="P269" t="s">
        <v>1999</v>
      </c>
      <c r="Q269">
        <v>701</v>
      </c>
    </row>
    <row r="270" spans="13:17" x14ac:dyDescent="0.25">
      <c r="M270" s="1">
        <v>46536</v>
      </c>
      <c r="N270" t="s">
        <v>1980</v>
      </c>
      <c r="O270">
        <v>3</v>
      </c>
      <c r="P270" t="s">
        <v>2000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1" ht="15.75" hidden="1" customHeight="1" x14ac:dyDescent="0.25"/>
    <row r="2" spans="2:11" ht="15.75" hidden="1" customHeight="1" x14ac:dyDescent="0.25">
      <c r="B2" t="s">
        <v>1589</v>
      </c>
    </row>
    <row r="3" spans="2:11" ht="15.75" hidden="1" customHeight="1" x14ac:dyDescent="0.25">
      <c r="B3" s="47">
        <v>1042308852</v>
      </c>
    </row>
    <row r="4" spans="2:11" ht="15.75" hidden="1" customHeight="1" x14ac:dyDescent="0.25"/>
    <row r="5" spans="2:11" ht="15.75" hidden="1" customHeight="1" x14ac:dyDescent="0.25"/>
    <row r="6" spans="2:11" ht="15.75" hidden="1" customHeight="1" x14ac:dyDescent="0.25"/>
    <row r="7" spans="2:11" ht="15.75" hidden="1" customHeight="1" x14ac:dyDescent="0.25"/>
    <row r="8" spans="2:11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1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1" ht="15.75" hidden="1" customHeight="1" x14ac:dyDescent="0.25">
      <c r="C10" s="8" t="s">
        <v>1624</v>
      </c>
    </row>
    <row r="11" spans="2:11" ht="15.75" hidden="1" customHeight="1" x14ac:dyDescent="0.25">
      <c r="C11" t="s">
        <v>1586</v>
      </c>
      <c r="D11" t="s">
        <v>420</v>
      </c>
    </row>
    <row r="12" spans="2:11" ht="15.75" hidden="1" customHeight="1" x14ac:dyDescent="0.25">
      <c r="B12" t="s">
        <v>1587</v>
      </c>
      <c r="C12" s="13">
        <v>0</v>
      </c>
      <c r="D12" s="13">
        <v>0</v>
      </c>
    </row>
    <row r="13" spans="2:11" ht="15.75" hidden="1" customHeight="1" x14ac:dyDescent="0.25"/>
    <row r="14" spans="2:11" ht="15.75" hidden="1" customHeight="1" x14ac:dyDescent="0.25">
      <c r="C14" s="8" t="s">
        <v>1625</v>
      </c>
    </row>
    <row r="15" spans="2:11" ht="15.75" hidden="1" customHeight="1" x14ac:dyDescent="0.25">
      <c r="C15" t="s">
        <v>1586</v>
      </c>
      <c r="D15" t="s">
        <v>422</v>
      </c>
      <c r="E15" t="s">
        <v>420</v>
      </c>
    </row>
    <row r="16" spans="2:11" ht="15.75" hidden="1" customHeight="1" x14ac:dyDescent="0.25">
      <c r="B16" t="s">
        <v>1587</v>
      </c>
      <c r="C16" s="13">
        <v>0</v>
      </c>
      <c r="D16" s="13">
        <v>0.99999999999999978</v>
      </c>
      <c r="E16" s="13">
        <v>1.8050541516245484E-2</v>
      </c>
    </row>
    <row r="17" spans="2:9" ht="15.75" hidden="1" customHeight="1" x14ac:dyDescent="0.25"/>
    <row r="18" spans="2:9" ht="15.75" hidden="1" customHeight="1" x14ac:dyDescent="0.25">
      <c r="C18" s="8" t="s">
        <v>1626</v>
      </c>
    </row>
    <row r="19" spans="2:9" ht="15.75" hidden="1" customHeight="1" x14ac:dyDescent="0.25">
      <c r="C19" t="s">
        <v>1586</v>
      </c>
      <c r="D19" t="s">
        <v>422</v>
      </c>
      <c r="E19" t="s">
        <v>423</v>
      </c>
      <c r="F19" t="s">
        <v>420</v>
      </c>
    </row>
    <row r="20" spans="2:9" ht="15.75" hidden="1" customHeight="1" x14ac:dyDescent="0.25">
      <c r="B20" t="s">
        <v>1587</v>
      </c>
      <c r="C20" s="13">
        <v>0</v>
      </c>
      <c r="D20" s="13">
        <v>0.99999999999999978</v>
      </c>
      <c r="E20" s="13">
        <v>0.99999999999999978</v>
      </c>
      <c r="F20" s="13">
        <v>5.2264808362369332E-2</v>
      </c>
    </row>
    <row r="21" spans="2:9" ht="15.75" hidden="1" customHeight="1" x14ac:dyDescent="0.25"/>
    <row r="22" spans="2:9" ht="15.75" hidden="1" customHeight="1" x14ac:dyDescent="0.25">
      <c r="C22" s="8" t="s">
        <v>1627</v>
      </c>
    </row>
    <row r="23" spans="2:9" ht="15.75" hidden="1" customHeight="1" x14ac:dyDescent="0.25">
      <c r="C23" t="s">
        <v>1586</v>
      </c>
      <c r="D23" t="s">
        <v>422</v>
      </c>
      <c r="E23" t="s">
        <v>423</v>
      </c>
      <c r="F23" t="s">
        <v>453</v>
      </c>
      <c r="G23" t="s">
        <v>420</v>
      </c>
    </row>
    <row r="24" spans="2:9" ht="15.75" hidden="1" customHeight="1" x14ac:dyDescent="0.25">
      <c r="B24" t="s">
        <v>1587</v>
      </c>
      <c r="C24" s="13">
        <v>0</v>
      </c>
      <c r="D24" s="13">
        <v>0.99999999999999978</v>
      </c>
      <c r="E24" s="13">
        <v>0.99999999999999978</v>
      </c>
      <c r="F24" s="13">
        <v>0.99999999999999989</v>
      </c>
      <c r="G24" s="13">
        <v>9.3333333333333324E-2</v>
      </c>
    </row>
    <row r="25" spans="2:9" ht="15.75" hidden="1" customHeight="1" x14ac:dyDescent="0.25"/>
    <row r="26" spans="2:9" ht="15.75" hidden="1" customHeight="1" x14ac:dyDescent="0.25">
      <c r="C26" s="8" t="s">
        <v>1628</v>
      </c>
    </row>
    <row r="27" spans="2:9" ht="15.75" hidden="1" customHeight="1" x14ac:dyDescent="0.25">
      <c r="C27" t="s">
        <v>1586</v>
      </c>
      <c r="D27" t="s">
        <v>422</v>
      </c>
      <c r="E27" t="s">
        <v>423</v>
      </c>
      <c r="F27" t="s">
        <v>453</v>
      </c>
      <c r="G27" t="s">
        <v>778</v>
      </c>
      <c r="H27" t="s">
        <v>420</v>
      </c>
    </row>
    <row r="28" spans="2:9" ht="15.75" hidden="1" customHeight="1" x14ac:dyDescent="0.25">
      <c r="B28" t="s">
        <v>1587</v>
      </c>
      <c r="C28" s="13">
        <v>0</v>
      </c>
      <c r="D28" s="13">
        <v>0.99999999999999978</v>
      </c>
      <c r="E28" s="13">
        <v>0.99999999999999978</v>
      </c>
      <c r="F28" s="13">
        <v>0.99999999999999989</v>
      </c>
      <c r="G28" s="13">
        <v>0.99999999999999989</v>
      </c>
      <c r="H28" s="13">
        <v>0.13650793650793649</v>
      </c>
    </row>
    <row r="29" spans="2:9" ht="15.75" hidden="1" customHeight="1" x14ac:dyDescent="0.25"/>
    <row r="30" spans="2:9" ht="15.75" hidden="1" customHeight="1" x14ac:dyDescent="0.25">
      <c r="C30" s="8" t="s">
        <v>1629</v>
      </c>
    </row>
    <row r="31" spans="2:9" ht="15.75" hidden="1" customHeight="1" x14ac:dyDescent="0.25">
      <c r="C31" t="s">
        <v>1586</v>
      </c>
      <c r="D31" t="s">
        <v>422</v>
      </c>
      <c r="E31" t="s">
        <v>423</v>
      </c>
      <c r="F31" t="s">
        <v>453</v>
      </c>
      <c r="G31" t="s">
        <v>778</v>
      </c>
      <c r="H31" t="s">
        <v>1593</v>
      </c>
      <c r="I31" t="s">
        <v>420</v>
      </c>
    </row>
    <row r="32" spans="2:9" ht="15.75" hidden="1" customHeight="1" x14ac:dyDescent="0.25">
      <c r="B32" t="s">
        <v>1587</v>
      </c>
      <c r="C32" s="13">
        <v>0</v>
      </c>
      <c r="D32" s="13">
        <v>0.99999999999999978</v>
      </c>
      <c r="E32" s="13">
        <v>0.99999999999999978</v>
      </c>
      <c r="F32" s="13">
        <v>0.99999999999999989</v>
      </c>
      <c r="G32" s="13">
        <v>0.99999999999999989</v>
      </c>
      <c r="H32" s="13">
        <v>0.9832352941176471</v>
      </c>
      <c r="I32" s="13">
        <v>0.17986445783132526</v>
      </c>
    </row>
    <row r="33" spans="2:10" ht="15.75" hidden="1" customHeight="1" x14ac:dyDescent="0.25"/>
    <row r="34" spans="2:10" ht="15.75" hidden="1" customHeight="1" x14ac:dyDescent="0.25">
      <c r="C34" s="8" t="s">
        <v>1630</v>
      </c>
    </row>
    <row r="35" spans="2:10" ht="15.75" hidden="1" customHeight="1" x14ac:dyDescent="0.25">
      <c r="C35" t="s">
        <v>1586</v>
      </c>
      <c r="D35" t="s">
        <v>422</v>
      </c>
      <c r="E35" t="s">
        <v>423</v>
      </c>
      <c r="F35" t="s">
        <v>453</v>
      </c>
      <c r="G35" t="s">
        <v>778</v>
      </c>
      <c r="H35" t="s">
        <v>1593</v>
      </c>
      <c r="I35" t="s">
        <v>1594</v>
      </c>
      <c r="J35" t="s">
        <v>420</v>
      </c>
    </row>
    <row r="36" spans="2:10" ht="15.75" hidden="1" customHeight="1" x14ac:dyDescent="0.25">
      <c r="B36" t="s">
        <v>1587</v>
      </c>
      <c r="C36" s="13">
        <v>0</v>
      </c>
      <c r="D36" s="13">
        <v>0.99999999999999978</v>
      </c>
      <c r="E36" s="13">
        <v>0.99999999999999978</v>
      </c>
      <c r="F36" s="13">
        <v>0.99999999999999989</v>
      </c>
      <c r="G36" s="13">
        <v>0.99999999999999989</v>
      </c>
      <c r="H36" s="13">
        <v>0.9832352941176471</v>
      </c>
      <c r="I36" s="13">
        <v>0.66875000000000007</v>
      </c>
      <c r="J36" s="13">
        <v>0.20764204545454532</v>
      </c>
    </row>
    <row r="37" spans="2:10" ht="15.75" hidden="1" customHeight="1" x14ac:dyDescent="0.25"/>
    <row r="38" spans="2:10" ht="15.75" hidden="1" customHeight="1" x14ac:dyDescent="0.25">
      <c r="C38" s="8" t="s">
        <v>1631</v>
      </c>
    </row>
    <row r="39" spans="2:10" ht="15.75" hidden="1" customHeight="1" x14ac:dyDescent="0.25">
      <c r="C39" t="s">
        <v>1586</v>
      </c>
      <c r="D39" t="s">
        <v>422</v>
      </c>
      <c r="E39" t="s">
        <v>423</v>
      </c>
      <c r="F39" t="s">
        <v>453</v>
      </c>
      <c r="G39" t="s">
        <v>778</v>
      </c>
      <c r="H39" t="s">
        <v>1593</v>
      </c>
      <c r="I39" t="s">
        <v>1594</v>
      </c>
      <c r="J39" t="s">
        <v>420</v>
      </c>
    </row>
    <row r="40" spans="2:10" ht="15.75" hidden="1" customHeight="1" x14ac:dyDescent="0.25">
      <c r="B40" t="s">
        <v>1587</v>
      </c>
      <c r="C40" s="13">
        <v>0</v>
      </c>
      <c r="D40" s="13">
        <v>0.99999999999999978</v>
      </c>
      <c r="E40" s="13">
        <v>0.99999999999999978</v>
      </c>
      <c r="F40" s="13">
        <v>0.99999999999999989</v>
      </c>
      <c r="G40" s="13">
        <v>0.99999999999999989</v>
      </c>
      <c r="H40" s="13">
        <v>0.9832352941176471</v>
      </c>
      <c r="I40" s="13">
        <v>0.66875000000000007</v>
      </c>
      <c r="J40" s="13">
        <v>0.20764204545454532</v>
      </c>
    </row>
    <row r="41" spans="2:10" ht="15.75" hidden="1" customHeight="1" x14ac:dyDescent="0.25"/>
    <row r="42" spans="2:10" ht="15.75" hidden="1" customHeight="1" x14ac:dyDescent="0.25">
      <c r="C42" s="8" t="s">
        <v>1632</v>
      </c>
    </row>
    <row r="43" spans="2:10" ht="15.75" hidden="1" customHeight="1" x14ac:dyDescent="0.25">
      <c r="C43" t="s">
        <v>1586</v>
      </c>
      <c r="D43" t="s">
        <v>422</v>
      </c>
      <c r="E43" t="s">
        <v>423</v>
      </c>
      <c r="F43" t="s">
        <v>453</v>
      </c>
      <c r="G43" t="s">
        <v>778</v>
      </c>
      <c r="H43" t="s">
        <v>1593</v>
      </c>
      <c r="I43" t="s">
        <v>1594</v>
      </c>
      <c r="J43" t="s">
        <v>420</v>
      </c>
    </row>
    <row r="44" spans="2:10" ht="15.75" hidden="1" customHeight="1" x14ac:dyDescent="0.25">
      <c r="B44" t="s">
        <v>1587</v>
      </c>
      <c r="C44" s="13">
        <v>0</v>
      </c>
      <c r="D44" s="13">
        <v>0.99999999999999978</v>
      </c>
      <c r="E44" s="13">
        <v>0.99999999999999978</v>
      </c>
      <c r="F44" s="13">
        <v>0.99999999999999989</v>
      </c>
      <c r="G44" s="13">
        <v>0.99999999999999989</v>
      </c>
      <c r="H44" s="13">
        <v>0.9832352941176471</v>
      </c>
      <c r="I44" s="13">
        <v>0.66875000000000007</v>
      </c>
      <c r="J44" s="13">
        <v>0.20764204545454532</v>
      </c>
    </row>
    <row r="45" spans="2:10" ht="15.75" hidden="1" customHeight="1" x14ac:dyDescent="0.25"/>
    <row r="46" spans="2:10" ht="15.75" hidden="1" customHeight="1" x14ac:dyDescent="0.25">
      <c r="C46" s="8" t="s">
        <v>1633</v>
      </c>
    </row>
    <row r="47" spans="2:10" ht="15.75" hidden="1" customHeight="1" x14ac:dyDescent="0.25">
      <c r="C47" t="s">
        <v>1586</v>
      </c>
      <c r="D47" t="s">
        <v>422</v>
      </c>
      <c r="E47" t="s">
        <v>423</v>
      </c>
      <c r="F47" t="s">
        <v>453</v>
      </c>
      <c r="G47" t="s">
        <v>778</v>
      </c>
      <c r="H47" t="s">
        <v>1593</v>
      </c>
      <c r="I47" t="s">
        <v>420</v>
      </c>
    </row>
    <row r="48" spans="2:10" ht="15.75" hidden="1" customHeight="1" x14ac:dyDescent="0.25">
      <c r="B48" t="s">
        <v>1587</v>
      </c>
      <c r="C48" s="13">
        <v>0</v>
      </c>
      <c r="D48" s="13">
        <v>0.99999999999999978</v>
      </c>
      <c r="E48" s="13">
        <v>0.99999999999999978</v>
      </c>
      <c r="F48" s="13">
        <v>0.99999999999999989</v>
      </c>
      <c r="G48" s="13">
        <v>0.99999999999999989</v>
      </c>
      <c r="H48" s="13">
        <v>0.9832352941176471</v>
      </c>
      <c r="I48" s="13">
        <v>0.17986445783132526</v>
      </c>
    </row>
    <row r="49" spans="2:10" ht="15.75" hidden="1" customHeight="1" x14ac:dyDescent="0.25"/>
    <row r="50" spans="2:10" ht="15.75" hidden="1" customHeight="1" x14ac:dyDescent="0.25">
      <c r="C50" s="8" t="s">
        <v>1634</v>
      </c>
    </row>
    <row r="51" spans="2:10" ht="15.75" hidden="1" customHeight="1" x14ac:dyDescent="0.25">
      <c r="C51" t="s">
        <v>1586</v>
      </c>
      <c r="D51" t="s">
        <v>422</v>
      </c>
      <c r="E51" t="s">
        <v>423</v>
      </c>
      <c r="F51" t="s">
        <v>453</v>
      </c>
      <c r="G51" t="s">
        <v>778</v>
      </c>
      <c r="H51" t="s">
        <v>1593</v>
      </c>
      <c r="I51" t="s">
        <v>1594</v>
      </c>
      <c r="J51" t="s">
        <v>420</v>
      </c>
    </row>
    <row r="52" spans="2:10" ht="15.75" hidden="1" customHeight="1" x14ac:dyDescent="0.25">
      <c r="B52" t="s">
        <v>1587</v>
      </c>
      <c r="C52" s="13">
        <v>0</v>
      </c>
      <c r="D52" s="13">
        <v>0.99999999999999978</v>
      </c>
      <c r="E52" s="13">
        <v>0.99999999999999978</v>
      </c>
      <c r="F52" s="13">
        <v>0.99999999999999989</v>
      </c>
      <c r="G52" s="13">
        <v>0.99999999999999989</v>
      </c>
      <c r="H52" s="13">
        <v>0.9832352941176471</v>
      </c>
      <c r="I52" s="13">
        <v>0.66875000000000007</v>
      </c>
      <c r="J52" s="13">
        <v>0.20764204545454532</v>
      </c>
    </row>
    <row r="53" spans="2:10" ht="15.75" hidden="1" customHeight="1" x14ac:dyDescent="0.25"/>
    <row r="54" spans="2:10" ht="15.75" hidden="1" customHeight="1" x14ac:dyDescent="0.25">
      <c r="C54" s="8" t="s">
        <v>1635</v>
      </c>
    </row>
    <row r="55" spans="2:10" ht="15.75" hidden="1" customHeight="1" x14ac:dyDescent="0.25">
      <c r="C55" t="s">
        <v>1586</v>
      </c>
      <c r="D55" t="s">
        <v>422</v>
      </c>
      <c r="E55" t="s">
        <v>423</v>
      </c>
      <c r="F55" t="s">
        <v>453</v>
      </c>
      <c r="G55" t="s">
        <v>778</v>
      </c>
      <c r="H55" t="s">
        <v>1593</v>
      </c>
      <c r="I55" t="s">
        <v>1594</v>
      </c>
      <c r="J55" t="s">
        <v>420</v>
      </c>
    </row>
    <row r="56" spans="2:10" ht="15.75" hidden="1" customHeight="1" x14ac:dyDescent="0.25">
      <c r="B56" t="s">
        <v>1587</v>
      </c>
      <c r="C56" s="13">
        <v>0</v>
      </c>
      <c r="D56" s="13">
        <v>0.99999999999999978</v>
      </c>
      <c r="E56" s="13">
        <v>0.99999999999999978</v>
      </c>
      <c r="F56" s="13">
        <v>0.99999999999999989</v>
      </c>
      <c r="G56" s="13">
        <v>0.99999999999999989</v>
      </c>
      <c r="H56" s="13">
        <v>0.9832352941176471</v>
      </c>
      <c r="I56" s="13">
        <v>0.66875000000000007</v>
      </c>
      <c r="J56" s="13">
        <v>0.20764204545454532</v>
      </c>
    </row>
    <row r="57" spans="2:10" ht="15.75" hidden="1" customHeight="1" x14ac:dyDescent="0.25"/>
    <row r="58" spans="2:10" ht="15.75" hidden="1" customHeight="1" x14ac:dyDescent="0.25"/>
    <row r="59" spans="2:10" ht="15.75" hidden="1" customHeight="1" x14ac:dyDescent="0.25"/>
    <row r="60" spans="2:10" ht="15.75" hidden="1" customHeight="1" x14ac:dyDescent="0.25">
      <c r="B60" t="s">
        <v>1590</v>
      </c>
      <c r="C60" s="48">
        <v>6579000000</v>
      </c>
    </row>
    <row r="61" spans="2:10" ht="15.75" hidden="1" customHeight="1" x14ac:dyDescent="0.25">
      <c r="B61" t="s">
        <v>1592</v>
      </c>
      <c r="C61" s="48" t="e">
        <f>+SUM(C67:AC67)+C96</f>
        <v>#REF!</v>
      </c>
    </row>
    <row r="62" spans="2:10" ht="15.75" hidden="1" customHeight="1" x14ac:dyDescent="0.25"/>
    <row r="63" spans="2:10" ht="15.75" hidden="1" customHeight="1" x14ac:dyDescent="0.25"/>
    <row r="64" spans="2:10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1610</v>
      </c>
      <c r="C66" s="18" t="s">
        <v>421</v>
      </c>
      <c r="D66" s="18" t="s">
        <v>422</v>
      </c>
      <c r="E66" s="18" t="s">
        <v>423</v>
      </c>
      <c r="F66" s="18" t="s">
        <v>453</v>
      </c>
      <c r="G66" s="18" t="s">
        <v>778</v>
      </c>
      <c r="H66" s="18" t="s">
        <v>1593</v>
      </c>
      <c r="I66" s="18" t="s">
        <v>1594</v>
      </c>
      <c r="J66" s="18" t="s">
        <v>1595</v>
      </c>
      <c r="K66" s="18" t="s">
        <v>1596</v>
      </c>
      <c r="L66" s="18" t="s">
        <v>424</v>
      </c>
      <c r="M66" s="18" t="s">
        <v>425</v>
      </c>
      <c r="N66" s="18" t="s">
        <v>426</v>
      </c>
    </row>
    <row r="67" spans="2:14" ht="15.75" hidden="1" customHeight="1" x14ac:dyDescent="0.25">
      <c r="B67" t="s">
        <v>1589</v>
      </c>
      <c r="C67" s="48" t="e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#REF!</v>
      </c>
      <c r="D67" s="48" t="e">
        <f>+GETPIVOTDATA("VALOR TOTAL POR ITEM GD",$B$2,"Meses (FECHA SOLICITUD)",2,"Años (FECHA SOLICITUD)",2026)</f>
        <v>#REF!</v>
      </c>
      <c r="E67" s="48" t="e">
        <f>+GETPIVOTDATA("VALOR TOTAL POR ITEM GD",$B$2,"Meses (FECHA SOLICITUD)",3,"Años (FECHA SOLICITUD)",2026)</f>
        <v>#REF!</v>
      </c>
      <c r="F67" s="48" t="e">
        <f>+GETPIVOTDATA("VALOR TOTAL POR ITEM GD",$B$2,"Meses (FECHA SOLICITUD)",4,"Años (FECHA SOLICITUD)",2026)</f>
        <v>#REF!</v>
      </c>
      <c r="G67" s="48" t="e">
        <f>+GETPIVOTDATA("VALOR TOTAL POR ITEM GD",$B$2,"Meses (FECHA SOLICITUD)",5,"Años (FECHA SOLICITUD)",2026)</f>
        <v>#REF!</v>
      </c>
      <c r="H67" s="48" t="e">
        <f>+GETPIVOTDATA("VALOR TOTAL POR ITEM GD",$B$2,"Meses (FECHA SOLICITUD)",6,"Años (FECHA SOLICITUD)",2026)</f>
        <v>#REF!</v>
      </c>
    </row>
    <row r="68" spans="2:14" ht="15.75" hidden="1" customHeight="1" x14ac:dyDescent="0.25">
      <c r="B68" t="s">
        <v>1609</v>
      </c>
      <c r="C68" s="48" t="e">
        <f>+C67</f>
        <v>#REF!</v>
      </c>
      <c r="D68" s="48" t="e">
        <f>+C68+D67</f>
        <v>#REF!</v>
      </c>
      <c r="E68" s="48" t="e">
        <f t="shared" ref="E68:G68" si="0">+D68+E67</f>
        <v>#REF!</v>
      </c>
      <c r="F68" s="48" t="e">
        <f t="shared" si="0"/>
        <v>#REF!</v>
      </c>
      <c r="G68" s="48" t="e">
        <f t="shared" si="0"/>
        <v>#REF!</v>
      </c>
      <c r="H68" s="48" t="e">
        <f t="shared" ref="H68" si="1">+G68+H67</f>
        <v>#REF!</v>
      </c>
      <c r="I68" s="48" t="e">
        <f t="shared" ref="I68" si="2">+H68+I67</f>
        <v>#REF!</v>
      </c>
      <c r="J68" s="48" t="e">
        <f t="shared" ref="J68" si="3">+I68+J67</f>
        <v>#REF!</v>
      </c>
      <c r="K68" s="48" t="e">
        <f t="shared" ref="K68" si="4">+J68+K67</f>
        <v>#REF!</v>
      </c>
      <c r="L68" s="48" t="e">
        <f t="shared" ref="L68" si="5">+K68+L67</f>
        <v>#REF!</v>
      </c>
      <c r="M68" s="48" t="e">
        <f t="shared" ref="M68" si="6">+L68+M67</f>
        <v>#REF!</v>
      </c>
      <c r="N68" s="48" t="e">
        <f t="shared" ref="N68" si="7">+M68+N67</f>
        <v>#REF!</v>
      </c>
    </row>
    <row r="69" spans="2:14" ht="15.75" hidden="1" customHeight="1" x14ac:dyDescent="0.25">
      <c r="B69" t="s">
        <v>1603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1604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1591</v>
      </c>
      <c r="C71" s="7" t="e">
        <f>+C67/$C$60</f>
        <v>#REF!</v>
      </c>
      <c r="D71" s="7" t="e">
        <f>+D67/$C$60</f>
        <v>#REF!</v>
      </c>
      <c r="E71" s="7" t="e">
        <f>+E67/$C$60</f>
        <v>#REF!</v>
      </c>
      <c r="F71" s="7" t="e">
        <f>+F67/$C$60</f>
        <v>#REF!</v>
      </c>
      <c r="G71" s="7" t="e">
        <f>+G67/$C$60</f>
        <v>#REF!</v>
      </c>
    </row>
    <row r="72" spans="2:14" ht="15.75" hidden="1" customHeight="1" x14ac:dyDescent="0.25">
      <c r="B72" t="s">
        <v>1597</v>
      </c>
      <c r="C72" s="7"/>
      <c r="D72" s="7" t="e">
        <f>+C71+D71</f>
        <v>#REF!</v>
      </c>
      <c r="E72" s="7" t="e">
        <f>+D72+E71</f>
        <v>#REF!</v>
      </c>
      <c r="F72" s="7" t="e">
        <f>+E72+F71</f>
        <v>#REF!</v>
      </c>
      <c r="G72" s="7" t="e">
        <f>+F72+G71</f>
        <v>#REF!</v>
      </c>
    </row>
    <row r="73" spans="2:14" ht="15.75" hidden="1" customHeight="1" x14ac:dyDescent="0.25">
      <c r="B73" t="s">
        <v>1605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1606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1601</v>
      </c>
      <c r="C75" s="7">
        <f>+GETPIVOTDATA("% AVANCE",$B$10)</f>
        <v>0</v>
      </c>
      <c r="D75" s="7">
        <f>+GETPIVOTDATA("% AVANCE",$B$14)</f>
        <v>1.8050541516245484E-2</v>
      </c>
      <c r="E75" s="7">
        <f>+GETPIVOTDATA("% AVANCE",$B$18)</f>
        <v>5.2264808362369332E-2</v>
      </c>
      <c r="F75" s="7">
        <f>+GETPIVOTDATA("% AVANCE",$B$22)</f>
        <v>9.3333333333333324E-2</v>
      </c>
      <c r="G75" s="7">
        <f>+GETPIVOTDATA("% AVANCE",$B$26)</f>
        <v>0.13650793650793649</v>
      </c>
      <c r="H75" s="7">
        <f>+GETPIVOTDATA("% AVANCE",$B$30)</f>
        <v>0.17986445783132526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1602</v>
      </c>
      <c r="C76" s="7"/>
      <c r="D76" s="7">
        <f>+D75-C75</f>
        <v>1.8050541516245484E-2</v>
      </c>
      <c r="E76" s="7">
        <f>+E75-D76</f>
        <v>3.4214266846123845E-2</v>
      </c>
      <c r="F76" s="7">
        <f>+F75-E76</f>
        <v>5.9119066487209479E-2</v>
      </c>
      <c r="G76" s="7">
        <f>+G75-F76</f>
        <v>7.7388870020727016E-2</v>
      </c>
      <c r="H76" s="7">
        <f>+H75-G76</f>
        <v>0.10247558781059825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1608</v>
      </c>
      <c r="C77" s="13" t="e">
        <f>+C73-C71</f>
        <v>#REF!</v>
      </c>
      <c r="D77" s="13" t="e">
        <f t="shared" ref="D77:N77" si="10">+D73-D71</f>
        <v>#REF!</v>
      </c>
      <c r="E77" s="13" t="e">
        <f t="shared" si="10"/>
        <v>#REF!</v>
      </c>
      <c r="F77" s="13" t="e">
        <f t="shared" si="10"/>
        <v>#REF!</v>
      </c>
      <c r="G77" s="13" t="e">
        <f t="shared" si="10"/>
        <v>#REF!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1611</v>
      </c>
      <c r="C80" t="s">
        <v>1589</v>
      </c>
      <c r="D80" t="s">
        <v>1609</v>
      </c>
      <c r="E80" t="s">
        <v>1603</v>
      </c>
      <c r="F80" t="s">
        <v>1604</v>
      </c>
      <c r="G80" t="s">
        <v>1591</v>
      </c>
      <c r="H80" t="s">
        <v>1597</v>
      </c>
      <c r="I80" t="s">
        <v>1605</v>
      </c>
      <c r="J80" t="s">
        <v>1606</v>
      </c>
      <c r="K80" t="s">
        <v>1601</v>
      </c>
      <c r="L80" t="s">
        <v>1602</v>
      </c>
      <c r="M80" t="s">
        <v>1608</v>
      </c>
    </row>
    <row r="81" spans="2:14" ht="15.75" customHeight="1" x14ac:dyDescent="0.25">
      <c r="B81" s="18" t="s">
        <v>1612</v>
      </c>
      <c r="C81" s="48" t="e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#REF!</v>
      </c>
      <c r="D81" s="48" t="e">
        <f>+C81</f>
        <v>#REF!</v>
      </c>
      <c r="E81" s="48">
        <v>204967292.05585891</v>
      </c>
      <c r="F81" s="48">
        <f>+E81</f>
        <v>204967292.05585891</v>
      </c>
      <c r="G81" s="7" t="e">
        <f t="shared" ref="G81:G86" si="11">+C81/$C$60</f>
        <v>#REF!</v>
      </c>
      <c r="H81" s="7" t="e">
        <f>+comparativa[[#This Row],[% AVANCE ECONOMICO]]</f>
        <v>#REF!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 t="e">
        <f t="shared" ref="M81:M92" si="12">+I81-G81</f>
        <v>#REF!</v>
      </c>
    </row>
    <row r="82" spans="2:14" ht="15.75" customHeight="1" x14ac:dyDescent="0.25">
      <c r="B82" s="18" t="s">
        <v>1613</v>
      </c>
      <c r="C82" s="48" t="e">
        <f>+GETPIVOTDATA("VALOR TOTAL POR ITEM GD",$B$2,"Meses (FECHA SOLICITUD)",2,"Años (FECHA SOLICITUD)",2026)</f>
        <v>#REF!</v>
      </c>
      <c r="D82" s="48" t="e">
        <f t="shared" ref="D82:D92" si="13">+D81+C82</f>
        <v>#REF!</v>
      </c>
      <c r="E82" s="48">
        <v>169945010.7783491</v>
      </c>
      <c r="F82" s="48">
        <f t="shared" ref="F82:F92" si="14">+F81+E82</f>
        <v>374912302.83420801</v>
      </c>
      <c r="G82" s="7" t="e">
        <f t="shared" si="11"/>
        <v>#REF!</v>
      </c>
      <c r="H82" s="7" t="e">
        <f>+G81+G82</f>
        <v>#REF!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1.8050541516245484E-2</v>
      </c>
      <c r="L82" s="7">
        <f>+K82-K81</f>
        <v>1.8050541516245484E-2</v>
      </c>
      <c r="M82" s="13" t="e">
        <f t="shared" si="12"/>
        <v>#REF!</v>
      </c>
      <c r="N82" s="13"/>
    </row>
    <row r="83" spans="2:14" ht="15.75" customHeight="1" x14ac:dyDescent="0.25">
      <c r="B83" s="18" t="s">
        <v>1614</v>
      </c>
      <c r="C83" s="48" t="e">
        <f>+GETPIVOTDATA("VALOR TOTAL POR ITEM GD",$B$2,"Meses (FECHA SOLICITUD)",3,"Años (FECHA SOLICITUD)",2026)</f>
        <v>#REF!</v>
      </c>
      <c r="D83" s="48" t="e">
        <f t="shared" si="13"/>
        <v>#REF!</v>
      </c>
      <c r="E83" s="48">
        <v>194823331</v>
      </c>
      <c r="F83" s="48">
        <f t="shared" si="14"/>
        <v>569735633.83420801</v>
      </c>
      <c r="G83" s="7" t="e">
        <f t="shared" si="11"/>
        <v>#REF!</v>
      </c>
      <c r="H83" s="7" t="e">
        <f>+H82+G83</f>
        <v>#REF!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5.2264808362369332E-2</v>
      </c>
      <c r="L83" s="7">
        <f>+K83-L82</f>
        <v>3.4214266846123845E-2</v>
      </c>
      <c r="M83" s="13" t="e">
        <f t="shared" si="12"/>
        <v>#REF!</v>
      </c>
      <c r="N83" s="13"/>
    </row>
    <row r="84" spans="2:14" ht="15.75" customHeight="1" x14ac:dyDescent="0.25">
      <c r="B84" s="18" t="s">
        <v>1615</v>
      </c>
      <c r="C84" s="48" t="e">
        <f>+GETPIVOTDATA("VALOR TOTAL POR ITEM GD",$B$2,"Meses (FECHA SOLICITUD)",4,"Años (FECHA SOLICITUD)",2026)</f>
        <v>#REF!</v>
      </c>
      <c r="D84" s="48" t="e">
        <f t="shared" si="13"/>
        <v>#REF!</v>
      </c>
      <c r="E84" s="48">
        <v>496626584.60417128</v>
      </c>
      <c r="F84" s="48">
        <f t="shared" si="14"/>
        <v>1066362218.4383793</v>
      </c>
      <c r="G84" s="7" t="e">
        <f t="shared" si="11"/>
        <v>#REF!</v>
      </c>
      <c r="H84" s="7" t="e">
        <f>+H83+G84</f>
        <v>#REF!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9.3333333333333324E-2</v>
      </c>
      <c r="L84" s="7">
        <f>+K84-L83</f>
        <v>5.9119066487209479E-2</v>
      </c>
      <c r="M84" s="13" t="e">
        <f t="shared" si="12"/>
        <v>#REF!</v>
      </c>
      <c r="N84" s="13"/>
    </row>
    <row r="85" spans="2:14" ht="15.75" customHeight="1" x14ac:dyDescent="0.25">
      <c r="B85" s="18" t="s">
        <v>1616</v>
      </c>
      <c r="C85" s="48" t="e">
        <f>+GETPIVOTDATA("VALOR TOTAL POR ITEM GD",$B$2,"Meses (FECHA SOLICITUD)",5,"Años (FECHA SOLICITUD)",2026)+C96</f>
        <v>#REF!</v>
      </c>
      <c r="D85" s="48" t="e">
        <f t="shared" si="13"/>
        <v>#REF!</v>
      </c>
      <c r="E85" s="48">
        <v>938410822.2954545</v>
      </c>
      <c r="F85" s="48">
        <f t="shared" si="14"/>
        <v>2004773040.7338338</v>
      </c>
      <c r="G85" s="7" t="e">
        <f t="shared" si="11"/>
        <v>#REF!</v>
      </c>
      <c r="H85" s="7" t="e">
        <f>+H84+G85</f>
        <v>#REF!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0.13650793650793649</v>
      </c>
      <c r="L85" s="7">
        <f>+K85-L84</f>
        <v>7.7388870020727016E-2</v>
      </c>
      <c r="M85" s="13" t="e">
        <f t="shared" si="12"/>
        <v>#REF!</v>
      </c>
    </row>
    <row r="86" spans="2:14" ht="15.75" customHeight="1" x14ac:dyDescent="0.25">
      <c r="B86" s="18" t="s">
        <v>1617</v>
      </c>
      <c r="C86" s="49" t="e">
        <f>+H67</f>
        <v>#REF!</v>
      </c>
      <c r="D86" s="48" t="e">
        <f t="shared" si="13"/>
        <v>#REF!</v>
      </c>
      <c r="E86" s="48">
        <v>1173013527.8693182</v>
      </c>
      <c r="F86" s="48">
        <f t="shared" si="14"/>
        <v>3177786568.6031523</v>
      </c>
      <c r="G86" s="7" t="e">
        <f t="shared" si="11"/>
        <v>#REF!</v>
      </c>
      <c r="H86" s="7" t="e">
        <f t="shared" ref="H86:H92" si="15">+H85+G86</f>
        <v>#REF!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0.17986445783132526</v>
      </c>
      <c r="L86" s="7">
        <f>+K86-L85</f>
        <v>0.10247558781059825</v>
      </c>
      <c r="M86" s="13" t="e">
        <f t="shared" si="12"/>
        <v>#REF!</v>
      </c>
    </row>
    <row r="87" spans="2:14" ht="15.75" customHeight="1" x14ac:dyDescent="0.25">
      <c r="B87" s="18" t="s">
        <v>1618</v>
      </c>
      <c r="D87" s="48" t="e">
        <f t="shared" si="13"/>
        <v>#REF!</v>
      </c>
      <c r="E87" s="48">
        <v>1173013527.8693182</v>
      </c>
      <c r="F87" s="48">
        <f t="shared" si="14"/>
        <v>4350800096.4724703</v>
      </c>
      <c r="H87" s="7" t="e">
        <f t="shared" si="15"/>
        <v>#REF!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0.20764204545454532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1619</v>
      </c>
      <c r="D88" s="48" t="e">
        <f t="shared" si="13"/>
        <v>#REF!</v>
      </c>
      <c r="E88" s="48">
        <v>1173013527.8693182</v>
      </c>
      <c r="F88" s="48">
        <f t="shared" si="14"/>
        <v>5523813624.3417883</v>
      </c>
      <c r="H88" s="7" t="e">
        <f t="shared" si="15"/>
        <v>#REF!</v>
      </c>
      <c r="I88" s="7">
        <v>8.5227272727272721E-2</v>
      </c>
      <c r="J88" s="13">
        <f>+J87+I88</f>
        <v>0.39811363636363628</v>
      </c>
      <c r="K88" s="7">
        <f>+GETPIVOTDATA("% AVANCE",$B$38)</f>
        <v>0.20764204545454532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1620</v>
      </c>
      <c r="D89" s="48" t="e">
        <f t="shared" si="13"/>
        <v>#REF!</v>
      </c>
      <c r="E89" s="48">
        <v>1173013527.8693182</v>
      </c>
      <c r="F89" s="48">
        <f t="shared" si="14"/>
        <v>6696827152.2111063</v>
      </c>
      <c r="H89" s="7" t="e">
        <f t="shared" si="15"/>
        <v>#REF!</v>
      </c>
      <c r="I89" s="7">
        <v>8.5227272727272721E-2</v>
      </c>
      <c r="J89" s="13">
        <f>+J88+I89</f>
        <v>0.48334090909090899</v>
      </c>
      <c r="K89" s="7">
        <f>+GETPIVOTDATA("% AVANCE",$B$42)</f>
        <v>0.20764204545454532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1621</v>
      </c>
      <c r="D90" s="48" t="e">
        <f t="shared" si="13"/>
        <v>#REF!</v>
      </c>
      <c r="E90" s="48">
        <v>1173013527.8693182</v>
      </c>
      <c r="F90" s="48">
        <f t="shared" si="14"/>
        <v>7869840680.0804243</v>
      </c>
      <c r="H90" s="7" t="e">
        <f t="shared" si="15"/>
        <v>#REF!</v>
      </c>
      <c r="I90" s="7">
        <v>8.5227272727272721E-2</v>
      </c>
      <c r="J90" s="13">
        <f>+J89+I90</f>
        <v>0.56856818181818169</v>
      </c>
      <c r="K90" s="7">
        <f>+GETPIVOTDATA("% AVANCE",$B$46)</f>
        <v>0.17986445783132526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1622</v>
      </c>
      <c r="D91" s="48" t="e">
        <f t="shared" si="13"/>
        <v>#REF!</v>
      </c>
      <c r="E91" s="48">
        <v>1173013527.8693182</v>
      </c>
      <c r="F91" s="48">
        <f t="shared" si="14"/>
        <v>9042854207.9497433</v>
      </c>
      <c r="H91" s="7" t="e">
        <f t="shared" si="15"/>
        <v>#REF!</v>
      </c>
      <c r="I91" s="7">
        <v>8.5227272727272721E-2</v>
      </c>
      <c r="J91" s="13">
        <f>+J90+I91</f>
        <v>0.6537954545454544</v>
      </c>
      <c r="K91" s="7">
        <f>+GETPIVOTDATA("% AVANCE",$B$50)</f>
        <v>0.20764204545454532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1623</v>
      </c>
      <c r="D92" s="48" t="e">
        <f t="shared" si="13"/>
        <v>#REF!</v>
      </c>
      <c r="E92" s="48">
        <v>1173013527.8693182</v>
      </c>
      <c r="F92" s="48">
        <f t="shared" si="14"/>
        <v>10215867735.819061</v>
      </c>
      <c r="H92" s="7" t="e">
        <f t="shared" si="15"/>
        <v>#REF!</v>
      </c>
      <c r="I92" s="7">
        <v>8.5227272727272721E-2</v>
      </c>
      <c r="J92" s="13">
        <f>+J91+I92</f>
        <v>0.73902272727272711</v>
      </c>
      <c r="K92" s="7">
        <f>+GETPIVOTDATA("% AVANCE",$B$54)</f>
        <v>0.20764204545454532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1636</v>
      </c>
      <c r="D101" t="s">
        <v>1637</v>
      </c>
      <c r="F101" s="8" t="s">
        <v>419</v>
      </c>
      <c r="G101" t="s">
        <v>1643</v>
      </c>
      <c r="H101" t="s">
        <v>1644</v>
      </c>
      <c r="J101" s="8" t="s">
        <v>419</v>
      </c>
      <c r="K101" t="s">
        <v>1636</v>
      </c>
      <c r="L101" t="s">
        <v>1638</v>
      </c>
      <c r="N101" s="8" t="s">
        <v>419</v>
      </c>
      <c r="O101" t="s">
        <v>1647</v>
      </c>
      <c r="P101" t="s">
        <v>1694</v>
      </c>
    </row>
    <row r="102" spans="2:16" ht="15.75" customHeight="1" x14ac:dyDescent="0.25">
      <c r="B102" s="9" t="s">
        <v>1612</v>
      </c>
      <c r="C102" s="13" t="e">
        <v>#REF!</v>
      </c>
      <c r="D102" s="13">
        <v>0</v>
      </c>
      <c r="F102" s="9" t="s">
        <v>1612</v>
      </c>
      <c r="G102" s="49" t="e">
        <v>#REF!</v>
      </c>
      <c r="H102" s="49">
        <v>204967292.05585891</v>
      </c>
      <c r="J102" s="9" t="s">
        <v>1612</v>
      </c>
      <c r="K102" s="13" t="e">
        <v>#REF!</v>
      </c>
      <c r="L102" s="13">
        <v>0</v>
      </c>
      <c r="N102" s="9" t="s">
        <v>1612</v>
      </c>
      <c r="O102" s="13" t="e">
        <v>#REF!</v>
      </c>
      <c r="P102" s="13">
        <v>0</v>
      </c>
    </row>
    <row r="103" spans="2:16" ht="15.75" customHeight="1" x14ac:dyDescent="0.25">
      <c r="B103" s="9" t="s">
        <v>1613</v>
      </c>
      <c r="C103" s="13" t="e">
        <v>#REF!</v>
      </c>
      <c r="D103" s="13">
        <v>1.8050541516245484E-2</v>
      </c>
      <c r="F103" s="9" t="s">
        <v>1613</v>
      </c>
      <c r="G103" s="49" t="e">
        <v>#REF!</v>
      </c>
      <c r="H103" s="49">
        <v>374912302.83420801</v>
      </c>
      <c r="J103" s="9" t="s">
        <v>1613</v>
      </c>
      <c r="K103" s="13" t="e">
        <v>#REF!</v>
      </c>
      <c r="L103" s="13">
        <v>0.02</v>
      </c>
      <c r="N103" s="9" t="s">
        <v>1613</v>
      </c>
      <c r="O103" s="13" t="e">
        <v>#REF!</v>
      </c>
      <c r="P103" s="13">
        <v>0.02</v>
      </c>
    </row>
    <row r="104" spans="2:16" ht="15.75" customHeight="1" x14ac:dyDescent="0.25">
      <c r="B104" s="9" t="s">
        <v>1614</v>
      </c>
      <c r="C104" s="13" t="e">
        <v>#REF!</v>
      </c>
      <c r="D104" s="13">
        <v>5.2264808362369332E-2</v>
      </c>
      <c r="F104" s="9" t="s">
        <v>1614</v>
      </c>
      <c r="G104" s="49" t="e">
        <v>#REF!</v>
      </c>
      <c r="H104" s="49">
        <v>569735633.83420801</v>
      </c>
      <c r="J104" s="9" t="s">
        <v>1614</v>
      </c>
      <c r="K104" s="13" t="e">
        <v>#REF!</v>
      </c>
      <c r="L104" s="13">
        <v>4.2999999999999997E-2</v>
      </c>
      <c r="N104" s="9" t="s">
        <v>1614</v>
      </c>
      <c r="O104" s="13" t="e">
        <v>#REF!</v>
      </c>
      <c r="P104" s="13">
        <v>2.3E-2</v>
      </c>
    </row>
    <row r="105" spans="2:16" ht="15.75" customHeight="1" x14ac:dyDescent="0.25">
      <c r="B105" s="9" t="s">
        <v>1615</v>
      </c>
      <c r="C105" s="13" t="e">
        <v>#REF!</v>
      </c>
      <c r="D105" s="13">
        <v>9.3333333333333324E-2</v>
      </c>
      <c r="F105" s="9" t="s">
        <v>1615</v>
      </c>
      <c r="G105" s="49" t="e">
        <v>#REF!</v>
      </c>
      <c r="H105" s="49">
        <v>1066362218.4383793</v>
      </c>
      <c r="J105" s="9" t="s">
        <v>1615</v>
      </c>
      <c r="K105" s="13" t="e">
        <v>#REF!</v>
      </c>
      <c r="L105" s="13">
        <v>7.4249999999999997E-2</v>
      </c>
      <c r="N105" s="9" t="s">
        <v>1615</v>
      </c>
      <c r="O105" s="13" t="e">
        <v>#REF!</v>
      </c>
      <c r="P105" s="13">
        <v>3.125E-2</v>
      </c>
    </row>
    <row r="106" spans="2:16" ht="15.75" customHeight="1" x14ac:dyDescent="0.25">
      <c r="B106" s="9" t="s">
        <v>1616</v>
      </c>
      <c r="C106" s="13" t="e">
        <v>#REF!</v>
      </c>
      <c r="D106" s="13">
        <v>0.13650793650793649</v>
      </c>
      <c r="E106" s="13"/>
      <c r="F106" s="9" t="s">
        <v>1616</v>
      </c>
      <c r="G106" s="49" t="e">
        <v>#REF!</v>
      </c>
      <c r="H106" s="49">
        <v>2004773040.7338338</v>
      </c>
      <c r="I106" s="13"/>
      <c r="J106" s="9" t="s">
        <v>1616</v>
      </c>
      <c r="K106" s="13" t="e">
        <v>#REF!</v>
      </c>
      <c r="L106" s="13">
        <v>0.14243181818181816</v>
      </c>
      <c r="M106" s="13"/>
      <c r="N106" s="9" t="s">
        <v>1616</v>
      </c>
      <c r="O106" s="13" t="e">
        <v>#REF!</v>
      </c>
      <c r="P106" s="13">
        <v>6.8181818181818177E-2</v>
      </c>
    </row>
    <row r="107" spans="2:16" ht="15.75" customHeight="1" x14ac:dyDescent="0.25">
      <c r="B107" s="9" t="s">
        <v>1617</v>
      </c>
      <c r="C107" s="13" t="e">
        <v>#REF!</v>
      </c>
      <c r="D107" s="13">
        <v>0.17927710843373487</v>
      </c>
      <c r="F107" s="9" t="s">
        <v>1617</v>
      </c>
      <c r="G107" s="49" t="e">
        <v>#REF!</v>
      </c>
      <c r="H107" s="49">
        <v>3177786568.6031523</v>
      </c>
      <c r="J107" s="9" t="s">
        <v>1617</v>
      </c>
      <c r="K107" s="13" t="e">
        <v>#REF!</v>
      </c>
      <c r="L107" s="13">
        <v>0.22765909090909087</v>
      </c>
      <c r="N107" s="9" t="s">
        <v>1617</v>
      </c>
      <c r="O107" s="13" t="e">
        <v>#REF!</v>
      </c>
      <c r="P107" s="13">
        <v>8.5227272727272721E-2</v>
      </c>
    </row>
    <row r="108" spans="2:16" ht="15.75" customHeight="1" x14ac:dyDescent="0.25">
      <c r="N108" s="9" t="s">
        <v>420</v>
      </c>
      <c r="O108" s="13" t="e">
        <v>#REF!</v>
      </c>
      <c r="P108" s="13">
        <v>0.22765909090909087</v>
      </c>
    </row>
    <row r="139" spans="33:38" ht="15.75" customHeight="1" x14ac:dyDescent="0.25">
      <c r="AG139" s="54" t="s">
        <v>1646</v>
      </c>
      <c r="AH139" s="55" t="e">
        <f>+GETPIVOTDATA(" % AVANCE ECONOMICO",$N$101)</f>
        <v>#REF!</v>
      </c>
      <c r="AI139" s="56" t="e">
        <f>+AJ139-AH139</f>
        <v>#REF!</v>
      </c>
      <c r="AJ139" s="57">
        <v>1</v>
      </c>
      <c r="AK139" s="54"/>
      <c r="AL139" s="23"/>
    </row>
    <row r="140" spans="33:38" ht="15.75" customHeight="1" x14ac:dyDescent="0.25">
      <c r="AG140" s="54" t="s">
        <v>1600</v>
      </c>
      <c r="AH140" s="56">
        <f>+K92</f>
        <v>0.20764204545454532</v>
      </c>
      <c r="AI140" s="56">
        <f>+AJ140-AH140</f>
        <v>0.79235795454545466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1607</v>
      </c>
      <c r="AH142" s="55" t="e">
        <f>+(GETPIVOTDATA("% FORECAST",$N$101)-GETPIVOTDATA(" % AVANCE ECONOMICO",$N$101))</f>
        <v>#REF!</v>
      </c>
      <c r="AI142" s="57" t="e">
        <f>+AJ142-AH142</f>
        <v>#REF!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B4:BK594"/>
  <sheetViews>
    <sheetView showGridLines="0" topLeftCell="G451" zoomScale="180" zoomScaleNormal="180" workbookViewId="0">
      <selection activeCell="L465" sqref="L465"/>
    </sheetView>
  </sheetViews>
  <sheetFormatPr baseColWidth="10" defaultRowHeight="15" x14ac:dyDescent="0.25"/>
  <cols>
    <col min="1" max="1" width="11.42578125" customWidth="1"/>
    <col min="2" max="2" width="12.42578125" customWidth="1"/>
    <col min="3" max="3" width="34" bestFit="1" customWidth="1"/>
    <col min="4" max="4" width="20.7109375" bestFit="1" customWidth="1"/>
    <col min="5" max="5" width="11.5703125" bestFit="1" customWidth="1"/>
    <col min="6" max="6" width="12.85546875" bestFit="1" customWidth="1"/>
    <col min="7" max="7" width="12.85546875" customWidth="1"/>
    <col min="8" max="8" width="13.5703125" customWidth="1"/>
    <col min="9" max="9" width="16.7109375" customWidth="1"/>
    <col min="10" max="10" width="18.7109375" customWidth="1"/>
    <col min="11" max="31" width="16.85546875" customWidth="1"/>
    <col min="32" max="32" width="16.42578125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t="s">
        <v>414</v>
      </c>
      <c r="D4" t="s">
        <v>427</v>
      </c>
    </row>
    <row r="5" spans="3:31" x14ac:dyDescent="0.25">
      <c r="C5" s="11">
        <v>1042308852</v>
      </c>
      <c r="D5" s="11">
        <v>1051453247.3219019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F14" s="42" t="e">
        <f>+G14-GETPIVOTDATA("COMPRAS",$C$4,"Meses (FECHA SOLICITUD)",5,"Años (FECHA SOLICITUD)",2026)</f>
        <v>#REF!</v>
      </c>
      <c r="G14">
        <v>295517185</v>
      </c>
    </row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hidden="1" x14ac:dyDescent="0.25">
      <c r="C42" s="9"/>
      <c r="D42" s="11"/>
      <c r="E42" s="11"/>
    </row>
    <row r="43" spans="3:27" hidden="1" x14ac:dyDescent="0.25"/>
    <row r="44" spans="3:27" hidden="1" x14ac:dyDescent="0.25"/>
    <row r="45" spans="3:27" x14ac:dyDescent="0.25">
      <c r="C45" t="s">
        <v>414</v>
      </c>
      <c r="D45" t="s">
        <v>427</v>
      </c>
    </row>
    <row r="46" spans="3:27" x14ac:dyDescent="0.25">
      <c r="C46" s="5">
        <v>1042308852</v>
      </c>
      <c r="D46" s="5">
        <v>1051453247.3219019</v>
      </c>
    </row>
    <row r="48" spans="3:27" x14ac:dyDescent="0.25">
      <c r="C48" t="s">
        <v>418</v>
      </c>
    </row>
    <row r="49" spans="3:4" x14ac:dyDescent="0.25">
      <c r="C49" s="5">
        <v>1042308852</v>
      </c>
    </row>
    <row r="59" spans="3:4" hidden="1" x14ac:dyDescent="0.25"/>
    <row r="60" spans="3:4" hidden="1" x14ac:dyDescent="0.25"/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429</v>
      </c>
    </row>
    <row r="84" spans="3:63" x14ac:dyDescent="0.25">
      <c r="C84" s="9" t="s">
        <v>428</v>
      </c>
      <c r="D84" s="5">
        <v>225899000</v>
      </c>
      <c r="E84" s="4">
        <f>+GETPIVOTDATA("VALOR TOTAL POR ITEM GD",$C$83,"TIPO PRODUCTO","NO CRITICO")/GETPIVOTDATA("VALOR TOTAL POR ITEM GD",$C$83)</f>
        <v>0.21672942675920015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816409852</v>
      </c>
      <c r="E85" s="4">
        <f>+GETPIVOTDATA("VALOR TOTAL POR ITEM GD",$C$83,"TIPO PRODUCTO","PRODUCTO CRITICO")/GETPIVOTDATA("VALOR TOTAL POR ITEM GD",$C$83)</f>
        <v>0.78327057324079985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1042308852</v>
      </c>
    </row>
    <row r="87" spans="3:63" x14ac:dyDescent="0.25">
      <c r="BK87" t="s">
        <v>772</v>
      </c>
    </row>
    <row r="88" spans="3:63" x14ac:dyDescent="0.25">
      <c r="C88" s="8" t="s">
        <v>416</v>
      </c>
      <c r="D88" t="s">
        <v>319</v>
      </c>
    </row>
    <row r="90" spans="3:63" x14ac:dyDescent="0.25">
      <c r="C90" t="s">
        <v>435</v>
      </c>
    </row>
    <row r="91" spans="3:63" x14ac:dyDescent="0.25">
      <c r="C91" s="11">
        <v>8735605.4357000012</v>
      </c>
    </row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459</v>
      </c>
    </row>
    <row r="201" spans="3:51" x14ac:dyDescent="0.25">
      <c r="C201" s="9" t="s">
        <v>278</v>
      </c>
      <c r="D201" s="13">
        <v>0.18998780636912507</v>
      </c>
    </row>
    <row r="202" spans="3:51" x14ac:dyDescent="0.25">
      <c r="C202" s="9" t="s">
        <v>279</v>
      </c>
      <c r="D202" s="13">
        <v>0.15014427084895252</v>
      </c>
      <c r="AY202" t="s">
        <v>390</v>
      </c>
    </row>
    <row r="203" spans="3:51" x14ac:dyDescent="0.25">
      <c r="C203" s="9" t="s">
        <v>39</v>
      </c>
      <c r="D203" s="13">
        <v>8.7486240028267395E-2</v>
      </c>
    </row>
    <row r="204" spans="3:51" x14ac:dyDescent="0.25">
      <c r="C204" s="9" t="s">
        <v>83</v>
      </c>
      <c r="D204" s="13">
        <v>2.3573007962962095E-2</v>
      </c>
    </row>
    <row r="205" spans="3:51" x14ac:dyDescent="0.25">
      <c r="C205" s="9" t="s">
        <v>249</v>
      </c>
      <c r="D205" s="13">
        <v>8.1124945153969882E-2</v>
      </c>
    </row>
    <row r="206" spans="3:51" x14ac:dyDescent="0.25">
      <c r="C206" s="9" t="s">
        <v>40</v>
      </c>
      <c r="D206" s="13">
        <v>0.20051970550021656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0.15716768600460004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>
        <v>0.1337838580297786</v>
      </c>
    </row>
    <row r="212" spans="3:4" x14ac:dyDescent="0.25">
      <c r="C212" s="9" t="s">
        <v>356</v>
      </c>
      <c r="D212" s="13">
        <v>2.7351477545002139</v>
      </c>
    </row>
    <row r="213" spans="3:4" x14ac:dyDescent="0.25">
      <c r="C213" s="9" t="s">
        <v>246</v>
      </c>
      <c r="D213" s="13">
        <v>0.10106177798463206</v>
      </c>
    </row>
    <row r="214" spans="3:4" x14ac:dyDescent="0.25">
      <c r="C214" s="9" t="s">
        <v>323</v>
      </c>
      <c r="D214" s="13">
        <v>0.19623875715453787</v>
      </c>
    </row>
    <row r="215" spans="3:4" x14ac:dyDescent="0.25">
      <c r="C215" s="9" t="s">
        <v>115</v>
      </c>
      <c r="D215" s="13">
        <v>0.24733338105805713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0.1754693805930865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0.18435604268331449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0.27159249496045906</v>
      </c>
    </row>
    <row r="222" spans="3:4" x14ac:dyDescent="0.25">
      <c r="C222" s="9" t="s">
        <v>197</v>
      </c>
      <c r="D222" s="13">
        <v>0.27493867538838912</v>
      </c>
    </row>
    <row r="223" spans="3:4" x14ac:dyDescent="0.25">
      <c r="C223" s="9" t="s">
        <v>204</v>
      </c>
      <c r="D223" s="13">
        <v>0.15335235378031387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0.19207867542545418</v>
      </c>
    </row>
    <row r="226" spans="3:4" hidden="1" x14ac:dyDescent="0.25">
      <c r="C226" s="9" t="s">
        <v>30</v>
      </c>
      <c r="D226" s="13">
        <v>0.19759065423805308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4.0817397426186654E-3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0.23021892672016503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D273" s="8" t="s">
        <v>430</v>
      </c>
    </row>
    <row r="274" spans="3:5" x14ac:dyDescent="0.25">
      <c r="D274" t="s">
        <v>544</v>
      </c>
      <c r="E274" t="s">
        <v>420</v>
      </c>
    </row>
    <row r="275" spans="3:5" x14ac:dyDescent="0.25">
      <c r="C275" t="s">
        <v>742</v>
      </c>
      <c r="D275" s="11">
        <v>10231.493994736842</v>
      </c>
      <c r="E275" s="11">
        <v>10231.493994736842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t="s">
        <v>466</v>
      </c>
      <c r="D452" t="s">
        <v>427</v>
      </c>
      <c r="E452" t="s">
        <v>464</v>
      </c>
      <c r="F452" t="s">
        <v>465</v>
      </c>
      <c r="L452">
        <v>815689</v>
      </c>
    </row>
    <row r="453" spans="2:44" x14ac:dyDescent="0.25">
      <c r="C453" s="5">
        <v>1042308852</v>
      </c>
      <c r="D453" s="5">
        <v>1051453247.3219019</v>
      </c>
      <c r="E453" s="13">
        <v>-8.6969110088280788E-3</v>
      </c>
      <c r="F453" s="5">
        <v>-9144395.3219019175</v>
      </c>
    </row>
    <row r="454" spans="2:44" x14ac:dyDescent="0.25">
      <c r="B454" t="s">
        <v>748</v>
      </c>
      <c r="I454" s="18" t="s">
        <v>464</v>
      </c>
      <c r="J454" s="7">
        <f>+GETPIVOTDATA("VARIACIÓN ",$C$452)</f>
        <v>-8.6969110088280788E-3</v>
      </c>
    </row>
    <row r="455" spans="2:44" x14ac:dyDescent="0.25">
      <c r="B455" t="s">
        <v>748</v>
      </c>
      <c r="I455" s="18" t="s">
        <v>465</v>
      </c>
      <c r="J455" s="2">
        <f>+GETPIVOTDATA("DESVIACIÓN ",$C$452)</f>
        <v>-9144395.3219019175</v>
      </c>
      <c r="L455">
        <v>272338374</v>
      </c>
    </row>
    <row r="456" spans="2:44" x14ac:dyDescent="0.25">
      <c r="B456" t="s">
        <v>748</v>
      </c>
      <c r="I456" s="18" t="s">
        <v>466</v>
      </c>
      <c r="J456" s="2">
        <f>+GETPIVOTDATA("VALOR COMPRA",$C$452)+815689+K465+K466</f>
        <v>1043124541</v>
      </c>
      <c r="K456" s="7">
        <f>+J456/J457</f>
        <v>0.15855366180270558</v>
      </c>
      <c r="L456" s="5">
        <f>+L455-J456</f>
        <v>-770786167</v>
      </c>
      <c r="M456">
        <v>806388757</v>
      </c>
    </row>
    <row r="457" spans="2:44" x14ac:dyDescent="0.25">
      <c r="I457" s="19" t="s">
        <v>415</v>
      </c>
      <c r="J457" s="2">
        <v>6579000000</v>
      </c>
      <c r="K457" s="12">
        <v>1</v>
      </c>
      <c r="M457" s="5">
        <f>+J456-M456</f>
        <v>236735784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753</v>
      </c>
      <c r="I458" s="19" t="s">
        <v>714</v>
      </c>
      <c r="J458" s="6">
        <v>9160767</v>
      </c>
      <c r="K458" s="3">
        <f>+J456/J458</f>
        <v>113.86869036184416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753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753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J462" s="5">
        <f>+J461-J456</f>
        <v>-533394527</v>
      </c>
      <c r="AM462" s="41"/>
      <c r="AN462" s="41"/>
      <c r="AO462" s="41"/>
      <c r="AP462" s="41"/>
      <c r="AQ462" s="41"/>
      <c r="AR462" s="41"/>
    </row>
    <row r="463" spans="2:44" x14ac:dyDescent="0.25">
      <c r="AM463" s="41"/>
      <c r="AN463" s="41"/>
      <c r="AO463" s="41"/>
      <c r="AP463" s="41"/>
      <c r="AQ463" s="41"/>
      <c r="AR463" s="41"/>
    </row>
    <row r="464" spans="2:44" x14ac:dyDescent="0.25">
      <c r="AM464" s="41"/>
      <c r="AN464" s="41"/>
      <c r="AO464" s="41"/>
      <c r="AP464" s="41"/>
      <c r="AQ464" s="41"/>
      <c r="AR464" s="41"/>
    </row>
    <row r="465" spans="9:44" x14ac:dyDescent="0.25">
      <c r="J465" t="s">
        <v>1692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1693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238935460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0.15855366180270558</v>
      </c>
      <c r="AH472" s="21">
        <f>+K457-AG472</f>
        <v>0.84144633819729442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0.15855366180270558</v>
      </c>
      <c r="AO545" s="59">
        <f>+AP545-AN545</f>
        <v>0.84144633819729442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470</v>
      </c>
      <c r="D583" t="s">
        <v>471</v>
      </c>
    </row>
    <row r="584" spans="3:44" x14ac:dyDescent="0.25">
      <c r="C584" s="25">
        <v>9324548873.6322556</v>
      </c>
      <c r="D584" s="25">
        <v>11469916082.543779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0.5735874571927051</v>
      </c>
    </row>
    <row r="587" spans="3:44" x14ac:dyDescent="0.25">
      <c r="D587" s="5">
        <f>+GETPIVOTDATA(" PPTO TOTAL",$C$583)-J457</f>
        <v>4890916082.5437794</v>
      </c>
      <c r="E587" s="7">
        <f>+D587/GETPIVOTDATA(" PPTO TOTAL",$C$583)</f>
        <v>0.4264125428072949</v>
      </c>
    </row>
    <row r="588" spans="3:44" x14ac:dyDescent="0.25">
      <c r="C588" s="2">
        <f>+GETPIVOTDATA(" PROYECCION COMPRA",$C$583)-C586</f>
        <v>2784548873.6322556</v>
      </c>
      <c r="D588" s="2">
        <f>+GETPIVOTDATA(" PPTO TOTAL",$C$583)-GETPIVOTDATA(" PROYECCION COMPRA",$C$583)</f>
        <v>2145367208.9115238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topLeftCell="A115" workbookViewId="0">
      <selection activeCell="E138" sqref="E13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798</v>
      </c>
      <c r="B1" t="s">
        <v>799</v>
      </c>
      <c r="C1" t="s">
        <v>800</v>
      </c>
      <c r="D1" t="s">
        <v>801</v>
      </c>
      <c r="E1" t="s">
        <v>802</v>
      </c>
      <c r="F1" t="s">
        <v>803</v>
      </c>
      <c r="G1" t="s">
        <v>804</v>
      </c>
      <c r="H1" t="s">
        <v>805</v>
      </c>
      <c r="I1" t="s">
        <v>806</v>
      </c>
      <c r="J1" t="s">
        <v>776</v>
      </c>
      <c r="K1" t="s">
        <v>1551</v>
      </c>
      <c r="L1" t="s">
        <v>1553</v>
      </c>
      <c r="M1" t="s">
        <v>1555</v>
      </c>
      <c r="N1" t="s">
        <v>1566</v>
      </c>
      <c r="O1" t="s">
        <v>1567</v>
      </c>
      <c r="P1" t="s">
        <v>1639</v>
      </c>
      <c r="Q1" s="7" t="s">
        <v>1650</v>
      </c>
      <c r="R1" s="7" t="s">
        <v>1649</v>
      </c>
      <c r="S1" t="s">
        <v>1651</v>
      </c>
      <c r="T1" t="s">
        <v>1652</v>
      </c>
      <c r="U1" t="s">
        <v>1653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807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807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807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807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807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807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807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807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807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807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807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807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807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808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808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808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808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808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808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808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808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808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808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808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808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808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808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808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808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808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808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808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808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808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808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808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808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808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808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808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808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808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808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808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809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809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809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809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809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809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809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809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809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809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809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809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809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809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809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809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809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809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809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809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809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809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809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809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809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809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809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809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809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809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810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810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810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810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4</v>
      </c>
      <c r="G80">
        <v>20</v>
      </c>
      <c r="H80">
        <v>0</v>
      </c>
      <c r="I80">
        <v>0</v>
      </c>
      <c r="J80" t="s">
        <v>810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20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2.8409090909090908E-2</v>
      </c>
      <c r="T80" s="7">
        <f t="shared" si="3"/>
        <v>0</v>
      </c>
      <c r="U80" s="7">
        <f>+(AV_PLAN[[#This Row],[%AVANCE INICIO PLANIFICADO]]+AV_PLAN[[#This Row],[%AVANCE TERMINO PLANIFICADO]])/2</f>
        <v>5.6818181818181816E-2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4</v>
      </c>
      <c r="G81">
        <v>24</v>
      </c>
      <c r="H81">
        <v>0</v>
      </c>
      <c r="I81">
        <v>0</v>
      </c>
      <c r="J81" t="s">
        <v>810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24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3.4090909090909088E-2</v>
      </c>
      <c r="T81" s="7">
        <f t="shared" si="3"/>
        <v>0</v>
      </c>
      <c r="U81" s="7">
        <f>+(AV_PLAN[[#This Row],[%AVANCE INICIO PLANIFICADO]]+AV_PLAN[[#This Row],[%AVANCE TERMINO PLANIFICADO]])/2</f>
        <v>6.1079545454545456E-2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26</v>
      </c>
      <c r="H82">
        <v>0</v>
      </c>
      <c r="I82">
        <v>0</v>
      </c>
      <c r="J82" t="s">
        <v>810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26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3.6931818181818184E-2</v>
      </c>
      <c r="T82" s="7">
        <f t="shared" si="3"/>
        <v>0</v>
      </c>
      <c r="U82" s="7">
        <f>+(AV_PLAN[[#This Row],[%AVANCE INICIO PLANIFICADO]]+AV_PLAN[[#This Row],[%AVANCE TERMINO PLANIFICADO]])/2</f>
        <v>6.3920454545454544E-2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28</v>
      </c>
      <c r="H83">
        <v>1</v>
      </c>
      <c r="I83">
        <v>1</v>
      </c>
      <c r="J83" t="s">
        <v>810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3.5714285714285712E-2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27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3.9772727272727272E-2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6.6761363636363633E-2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1</v>
      </c>
      <c r="G84">
        <v>29</v>
      </c>
      <c r="H84">
        <v>0</v>
      </c>
      <c r="I84">
        <v>1</v>
      </c>
      <c r="J84" t="s">
        <v>810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3.4482758620689655E-2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28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4.1193181818181816E-2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6.7471590909090912E-2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1</v>
      </c>
      <c r="G85">
        <v>30</v>
      </c>
      <c r="H85">
        <v>0</v>
      </c>
      <c r="I85">
        <v>1</v>
      </c>
      <c r="J85" t="s">
        <v>810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3.3333333333333333E-2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29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4.261363636363636E-2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6.8181818181818177E-2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3</v>
      </c>
      <c r="G86">
        <v>33</v>
      </c>
      <c r="H86">
        <v>1</v>
      </c>
      <c r="I86">
        <v>2</v>
      </c>
      <c r="J86" t="s">
        <v>810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6.0606060606060608E-2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31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4.6875E-2</v>
      </c>
      <c r="T86" s="7">
        <f t="shared" si="3"/>
        <v>2.840909090909091E-3</v>
      </c>
      <c r="U86" s="7">
        <f>+(AV_PLAN[[#This Row],[%AVANCE INICIO PLANIFICADO]]+AV_PLAN[[#This Row],[%AVANCE TERMINO PLANIFICADO]])/2</f>
        <v>7.1732954545454544E-2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35</v>
      </c>
      <c r="H87">
        <v>0</v>
      </c>
      <c r="I87">
        <v>2</v>
      </c>
      <c r="J87" t="s">
        <v>810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5.7142857142857141E-2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33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4.9715909090909088E-2</v>
      </c>
      <c r="T87" s="7">
        <f t="shared" si="3"/>
        <v>2.840909090909091E-3</v>
      </c>
      <c r="U87" s="7">
        <f>+(AV_PLAN[[#This Row],[%AVANCE INICIO PLANIFICADO]]+AV_PLAN[[#This Row],[%AVANCE TERMINO PLANIFICADO]])/2</f>
        <v>7.4573863636363633E-2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3</v>
      </c>
      <c r="G88">
        <v>38</v>
      </c>
      <c r="H88">
        <v>0</v>
      </c>
      <c r="I88">
        <v>2</v>
      </c>
      <c r="J88" t="s">
        <v>810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5.2631578947368418E-2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36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5.3977272727272728E-2</v>
      </c>
      <c r="T88" s="7">
        <f t="shared" si="3"/>
        <v>2.840909090909091E-3</v>
      </c>
      <c r="U88" s="7">
        <f>+(AV_PLAN[[#This Row],[%AVANCE INICIO PLANIFICADO]]+AV_PLAN[[#This Row],[%AVANCE TERMINO PLANIFICADO]])/2</f>
        <v>7.8125E-2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1</v>
      </c>
      <c r="G89">
        <v>39</v>
      </c>
      <c r="H89">
        <v>8</v>
      </c>
      <c r="I89">
        <v>10</v>
      </c>
      <c r="J89" t="s">
        <v>810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0.25641025641025639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29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5.5397727272727272E-2</v>
      </c>
      <c r="T89" s="7">
        <f t="shared" si="3"/>
        <v>1.4204545454545454E-2</v>
      </c>
      <c r="U89" s="7">
        <f>+(AV_PLAN[[#This Row],[%AVANCE INICIO PLANIFICADO]]+AV_PLAN[[#This Row],[%AVANCE TERMINO PLANIFICADO]])/2</f>
        <v>8.0255681818181823E-2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0</v>
      </c>
      <c r="G90">
        <v>39</v>
      </c>
      <c r="H90">
        <v>2</v>
      </c>
      <c r="I90">
        <v>12</v>
      </c>
      <c r="J90" t="s">
        <v>810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0.30769230769230771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27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5.5397727272727272E-2</v>
      </c>
      <c r="T90" s="7">
        <f t="shared" si="3"/>
        <v>1.7045454545454544E-2</v>
      </c>
      <c r="U90" s="7">
        <f>+(AV_PLAN[[#This Row],[%AVANCE INICIO PLANIFICADO]]+AV_PLAN[[#This Row],[%AVANCE TERMINO PLANIFICADO]])/2</f>
        <v>8.1676136363636367E-2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39</v>
      </c>
      <c r="H91">
        <v>0</v>
      </c>
      <c r="I91">
        <v>12</v>
      </c>
      <c r="J91" t="s">
        <v>810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0.30769230769230771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27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5.5397727272727272E-2</v>
      </c>
      <c r="T91" s="7">
        <f t="shared" si="3"/>
        <v>1.7045454545454544E-2</v>
      </c>
      <c r="U91" s="7">
        <f>+(AV_PLAN[[#This Row],[%AVANCE INICIO PLANIFICADO]]+AV_PLAN[[#This Row],[%AVANCE TERMINO PLANIFICADO]])/2</f>
        <v>8.1676136363636367E-2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2</v>
      </c>
      <c r="G92">
        <v>41</v>
      </c>
      <c r="H92">
        <v>0</v>
      </c>
      <c r="I92">
        <v>12</v>
      </c>
      <c r="J92" t="s">
        <v>810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0.29268292682926828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29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5.823863636363636E-2</v>
      </c>
      <c r="T92" s="7">
        <f t="shared" si="3"/>
        <v>1.7045454545454544E-2</v>
      </c>
      <c r="U92" s="7">
        <f>+(AV_PLAN[[#This Row],[%AVANCE INICIO PLANIFICADO]]+AV_PLAN[[#This Row],[%AVANCE TERMINO PLANIFICADO]])/2</f>
        <v>8.3096590909090912E-2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0</v>
      </c>
      <c r="G93">
        <v>41</v>
      </c>
      <c r="H93">
        <v>2</v>
      </c>
      <c r="I93">
        <v>14</v>
      </c>
      <c r="J93" t="s">
        <v>810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0.34146341463414637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27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5.823863636363636E-2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8.4517045454545456E-2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1</v>
      </c>
      <c r="G94">
        <v>42</v>
      </c>
      <c r="H94">
        <v>1</v>
      </c>
      <c r="I94">
        <v>15</v>
      </c>
      <c r="J94" t="s">
        <v>810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0.35714285714285715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27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5.9659090909090912E-2</v>
      </c>
      <c r="T94" s="7">
        <f t="shared" si="3"/>
        <v>2.130681818181818E-2</v>
      </c>
      <c r="U94" s="7">
        <f>+(AV_PLAN[[#This Row],[%AVANCE INICIO PLANIFICADO]]+AV_PLAN[[#This Row],[%AVANCE TERMINO PLANIFICADO]])/2</f>
        <v>8.6647727272727265E-2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1</v>
      </c>
      <c r="G95">
        <v>43</v>
      </c>
      <c r="H95">
        <v>2</v>
      </c>
      <c r="I95">
        <v>17</v>
      </c>
      <c r="J95" t="s">
        <v>810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0.39534883720930231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26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6.1079545454545456E-2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8.8778409090909088E-2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4</v>
      </c>
      <c r="G96">
        <v>47</v>
      </c>
      <c r="H96">
        <v>0</v>
      </c>
      <c r="I96">
        <v>17</v>
      </c>
      <c r="J96" t="s">
        <v>810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0.36170212765957449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30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6.6761363636363633E-2</v>
      </c>
      <c r="T96" s="7">
        <f t="shared" si="3"/>
        <v>2.4147727272727272E-2</v>
      </c>
      <c r="U96" s="7">
        <f>+(AV_PLAN[[#This Row],[%AVANCE INICIO PLANIFICADO]]+AV_PLAN[[#This Row],[%AVANCE TERMINO PLANIFICADO]])/2</f>
        <v>9.1619318181818177E-2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0</v>
      </c>
      <c r="G97">
        <v>47</v>
      </c>
      <c r="H97">
        <v>0</v>
      </c>
      <c r="I97">
        <v>17</v>
      </c>
      <c r="J97" t="s">
        <v>810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0.36170212765957449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30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6.6761363636363633E-2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9.3039772727272735E-2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47</v>
      </c>
      <c r="H98">
        <v>0</v>
      </c>
      <c r="I98">
        <v>17</v>
      </c>
      <c r="J98" t="s">
        <v>810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0.36170212765957449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30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6.6761363636363633E-2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9.3039772727272735E-2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1</v>
      </c>
      <c r="G99">
        <v>48</v>
      </c>
      <c r="H99">
        <v>0</v>
      </c>
      <c r="I99">
        <v>17</v>
      </c>
      <c r="J99" t="s">
        <v>810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0.35416666666666669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31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6.8181818181818177E-2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9.375E-2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50</v>
      </c>
      <c r="H100">
        <v>0</v>
      </c>
      <c r="I100">
        <v>17</v>
      </c>
      <c r="J100" t="s">
        <v>810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0.34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33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7.1022727272727279E-2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9.6590909090909088E-2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1</v>
      </c>
      <c r="G101">
        <v>51</v>
      </c>
      <c r="H101">
        <v>0</v>
      </c>
      <c r="I101">
        <v>17</v>
      </c>
      <c r="J101" t="s">
        <v>810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0.33333333333333331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34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7.2443181818181823E-2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9.8721590909090912E-2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1</v>
      </c>
      <c r="G102">
        <v>52</v>
      </c>
      <c r="H102">
        <v>4</v>
      </c>
      <c r="I102">
        <v>21</v>
      </c>
      <c r="J102" t="s">
        <v>810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0.40384615384615385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31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7.3863636363636367E-2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0.10085227272727273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0</v>
      </c>
      <c r="G103">
        <v>52</v>
      </c>
      <c r="H103">
        <v>0</v>
      </c>
      <c r="I103">
        <v>21</v>
      </c>
      <c r="J103" t="s">
        <v>810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0</v>
      </c>
      <c r="G104">
        <v>52</v>
      </c>
      <c r="H104">
        <v>0</v>
      </c>
      <c r="I104">
        <v>21</v>
      </c>
      <c r="J104" t="s">
        <v>810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0.40384615384615385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31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7.3863636363636367E-2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0.10369318181818182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52</v>
      </c>
      <c r="H105">
        <v>0</v>
      </c>
      <c r="I105">
        <v>21</v>
      </c>
      <c r="J105" t="s">
        <v>810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0.40384615384615385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31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7.3863636363636367E-2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0.10369318181818182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52</v>
      </c>
      <c r="H106">
        <v>0</v>
      </c>
      <c r="I106">
        <v>21</v>
      </c>
      <c r="J106" t="s">
        <v>810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0.40384615384615385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31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7.3863636363636367E-2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0.10369318181818182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0</v>
      </c>
      <c r="G107">
        <v>52</v>
      </c>
      <c r="H107">
        <v>2</v>
      </c>
      <c r="I107">
        <v>23</v>
      </c>
      <c r="J107" t="s">
        <v>811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0.44230769230769229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29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7.3863636363636367E-2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0.10511363636363635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1</v>
      </c>
      <c r="G108">
        <v>53</v>
      </c>
      <c r="H108">
        <v>0</v>
      </c>
      <c r="I108">
        <v>23</v>
      </c>
      <c r="J108" t="s">
        <v>811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0.43396226415094341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30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7.5284090909090912E-2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0.10724431818181818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4</v>
      </c>
      <c r="G109">
        <v>57</v>
      </c>
      <c r="H109">
        <v>0</v>
      </c>
      <c r="I109">
        <v>23</v>
      </c>
      <c r="J109" t="s">
        <v>811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1</v>
      </c>
      <c r="G110">
        <v>58</v>
      </c>
      <c r="H110">
        <v>1</v>
      </c>
      <c r="I110">
        <v>24</v>
      </c>
      <c r="J110" t="s">
        <v>811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0.41379310344827586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34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8.2386363636363633E-2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0.11363636363636365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1</v>
      </c>
      <c r="G111">
        <v>59</v>
      </c>
      <c r="H111">
        <v>2</v>
      </c>
      <c r="I111">
        <v>26</v>
      </c>
      <c r="J111" t="s">
        <v>811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0.44067796610169491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33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8.3806818181818177E-2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0.11576704545454546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60</v>
      </c>
      <c r="H112">
        <v>0</v>
      </c>
      <c r="I112">
        <v>26</v>
      </c>
      <c r="J112" t="s">
        <v>811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0.43333333333333335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34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8.5227272727272721E-2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0.11647727272727273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2</v>
      </c>
      <c r="G113">
        <v>62</v>
      </c>
      <c r="H113">
        <v>0</v>
      </c>
      <c r="I113">
        <v>26</v>
      </c>
      <c r="J113" t="s">
        <v>811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0.41935483870967744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36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8.8068181818181823E-2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0.11789772727272728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2</v>
      </c>
      <c r="G114">
        <v>64</v>
      </c>
      <c r="H114">
        <v>4</v>
      </c>
      <c r="I114">
        <v>30</v>
      </c>
      <c r="J114" t="s">
        <v>811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0.46875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34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9.0909090909090912E-2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0.12073863636363637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65</v>
      </c>
      <c r="H115">
        <v>2</v>
      </c>
      <c r="I115">
        <v>32</v>
      </c>
      <c r="J115" t="s">
        <v>811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0.49230769230769234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33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9.2329545454545456E-2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0.12286931818181818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1</v>
      </c>
      <c r="G116">
        <v>66</v>
      </c>
      <c r="H116">
        <v>0</v>
      </c>
      <c r="I116">
        <v>32</v>
      </c>
      <c r="J116" t="s">
        <v>811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0.48484848484848486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34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9.375E-2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0.125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0</v>
      </c>
      <c r="G117">
        <v>66</v>
      </c>
      <c r="H117">
        <v>1</v>
      </c>
      <c r="I117">
        <v>33</v>
      </c>
      <c r="J117" t="s">
        <v>811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0</v>
      </c>
      <c r="G118">
        <v>66</v>
      </c>
      <c r="H118">
        <v>5</v>
      </c>
      <c r="I118">
        <v>38</v>
      </c>
      <c r="J118" t="s">
        <v>811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0.5757575757575758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28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9.375E-2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0.12784090909090909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3</v>
      </c>
      <c r="G119">
        <v>69</v>
      </c>
      <c r="H119">
        <v>0</v>
      </c>
      <c r="I119">
        <v>38</v>
      </c>
      <c r="J119" t="s">
        <v>811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0.55072463768115942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31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9.8011363636363633E-2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0.12997159090909091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2</v>
      </c>
      <c r="G120">
        <v>71</v>
      </c>
      <c r="H120">
        <v>0</v>
      </c>
      <c r="I120">
        <v>38</v>
      </c>
      <c r="J120" t="s">
        <v>811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0.53521126760563376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33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0.10085227272727272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0.13139204545454544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2</v>
      </c>
      <c r="G121">
        <v>73</v>
      </c>
      <c r="H121">
        <v>1</v>
      </c>
      <c r="I121">
        <v>39</v>
      </c>
      <c r="J121" t="s">
        <v>811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0.53424657534246578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34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0.10369318181818182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0.13423295454545453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2</v>
      </c>
      <c r="G122">
        <v>75</v>
      </c>
      <c r="H122">
        <v>0</v>
      </c>
      <c r="I122">
        <v>39</v>
      </c>
      <c r="J122" t="s">
        <v>811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811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811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2</v>
      </c>
      <c r="E125">
        <v>108</v>
      </c>
      <c r="F125">
        <v>1</v>
      </c>
      <c r="G125">
        <v>79</v>
      </c>
      <c r="H125">
        <v>1</v>
      </c>
      <c r="I125">
        <v>45</v>
      </c>
      <c r="J125" t="s">
        <v>811</v>
      </c>
      <c r="K125">
        <f>+WEEKNUM(AV_PLAN[[#This Row],[Días]])</f>
        <v>25</v>
      </c>
      <c r="L125" s="4">
        <f>IFERROR(AV_PLAN[[#This Row],[INICIO REAL ACUMULADO]]/AV_PLAN[[#This Row],[PLAN ACUMULADO]],"")</f>
        <v>0.87096774193548387</v>
      </c>
      <c r="M125" s="4">
        <f>IFERROR(AV_PLAN[[#This Row],[TERMINO REAL ACUMULADO]]/AV_PLAN[[#This Row],[TERMINO PLAN ACUMULADO]],"")</f>
        <v>0.569620253164557</v>
      </c>
      <c r="N125">
        <f>+AV_PLAN[[#This Row],[PLAN ACUMULADO]]-AV_PLAN[[#This Row],[INICIO REAL ACUMULADO]]</f>
        <v>16</v>
      </c>
      <c r="O125">
        <f>+AV_PLAN[[#This Row],[TERMINO PLAN ACUMULADO]]-AV_PLAN[[#This Row],[TERMINO REAL ACUMULADO]]</f>
        <v>34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0.15340909090909091</v>
      </c>
      <c r="S125" s="7">
        <f>+AV_PLAN[[#This Row],[TERMINO PLAN ACUMULADO]]/$G$471</f>
        <v>0.11221590909090909</v>
      </c>
      <c r="T125" s="7">
        <f t="shared" si="3"/>
        <v>6.3920454545454544E-2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108</v>
      </c>
      <c r="F126">
        <v>2</v>
      </c>
      <c r="G126">
        <v>81</v>
      </c>
      <c r="H126">
        <v>0</v>
      </c>
      <c r="I126">
        <v>45</v>
      </c>
      <c r="J126" t="s">
        <v>811</v>
      </c>
      <c r="K126">
        <f>+WEEKNUM(AV_PLAN[[#This Row],[Días]])</f>
        <v>25</v>
      </c>
      <c r="L126" s="4">
        <f>IFERROR(AV_PLAN[[#This Row],[INICIO REAL ACUMULADO]]/AV_PLAN[[#This Row],[PLAN ACUMULADO]],"")</f>
        <v>0.87096774193548387</v>
      </c>
      <c r="M126" s="4">
        <f>IFERROR(AV_PLAN[[#This Row],[TERMINO REAL ACUMULADO]]/AV_PLAN[[#This Row],[TERMINO PLAN ACUMULADO]],"")</f>
        <v>0.55555555555555558</v>
      </c>
      <c r="N126">
        <f>+AV_PLAN[[#This Row],[PLAN ACUMULADO]]-AV_PLAN[[#This Row],[INICIO REAL ACUMULADO]]</f>
        <v>16</v>
      </c>
      <c r="O126">
        <f>+AV_PLAN[[#This Row],[TERMINO PLAN ACUMULADO]]-AV_PLAN[[#This Row],[TERMINO REAL ACUMULADO]]</f>
        <v>36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0.15340909090909091</v>
      </c>
      <c r="S126" s="7">
        <f>+AV_PLAN[[#This Row],[TERMINO PLAN ACUMULADO]]/$G$471</f>
        <v>0.11505681818181818</v>
      </c>
      <c r="T126" s="7">
        <f t="shared" si="3"/>
        <v>6.3920454545454544E-2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108</v>
      </c>
      <c r="F127">
        <v>1</v>
      </c>
      <c r="G127">
        <v>82</v>
      </c>
      <c r="H127">
        <v>0</v>
      </c>
      <c r="I127">
        <v>45</v>
      </c>
      <c r="J127" t="s">
        <v>811</v>
      </c>
      <c r="K127">
        <f>+WEEKNUM(AV_PLAN[[#This Row],[Días]])</f>
        <v>26</v>
      </c>
      <c r="L127" s="4">
        <f>IFERROR(AV_PLAN[[#This Row],[INICIO REAL ACUMULADO]]/AV_PLAN[[#This Row],[PLAN ACUMULADO]],"")</f>
        <v>0.87096774193548387</v>
      </c>
      <c r="M127" s="4">
        <f>IFERROR(AV_PLAN[[#This Row],[TERMINO REAL ACUMULADO]]/AV_PLAN[[#This Row],[TERMINO PLAN ACUMULADO]],"")</f>
        <v>0.54878048780487809</v>
      </c>
      <c r="N127">
        <f>+AV_PLAN[[#This Row],[PLAN ACUMULADO]]-AV_PLAN[[#This Row],[INICIO REAL ACUMULADO]]</f>
        <v>16</v>
      </c>
      <c r="O127">
        <f>+AV_PLAN[[#This Row],[TERMINO PLAN ACUMULADO]]-AV_PLAN[[#This Row],[TERMINO REAL ACUMULADO]]</f>
        <v>37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0.15340909090909091</v>
      </c>
      <c r="S127" s="7">
        <f>+AV_PLAN[[#This Row],[TERMINO PLAN ACUMULADO]]/$G$471</f>
        <v>0.11647727272727272</v>
      </c>
      <c r="T127" s="7">
        <f t="shared" si="3"/>
        <v>6.3920454545454544E-2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108</v>
      </c>
      <c r="F128">
        <v>1</v>
      </c>
      <c r="G128">
        <v>83</v>
      </c>
      <c r="H128">
        <v>5</v>
      </c>
      <c r="I128">
        <v>50</v>
      </c>
      <c r="J128" t="s">
        <v>811</v>
      </c>
      <c r="K128">
        <f>+WEEKNUM(AV_PLAN[[#This Row],[Días]])</f>
        <v>26</v>
      </c>
      <c r="L128" s="4">
        <f>IFERROR(AV_PLAN[[#This Row],[INICIO REAL ACUMULADO]]/AV_PLAN[[#This Row],[PLAN ACUMULADO]],"")</f>
        <v>0.8571428571428571</v>
      </c>
      <c r="M128" s="4">
        <f>IFERROR(AV_PLAN[[#This Row],[TERMINO REAL ACUMULADO]]/AV_PLAN[[#This Row],[TERMINO PLAN ACUMULADO]],"")</f>
        <v>0.60240963855421692</v>
      </c>
      <c r="N128">
        <f>+AV_PLAN[[#This Row],[PLAN ACUMULADO]]-AV_PLAN[[#This Row],[INICIO REAL ACUMULADO]]</f>
        <v>18</v>
      </c>
      <c r="O128">
        <f>+AV_PLAN[[#This Row],[TERMINO PLAN ACUMULADO]]-AV_PLAN[[#This Row],[TERMINO REAL ACUMULADO]]</f>
        <v>33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0.15340909090909091</v>
      </c>
      <c r="S128" s="7">
        <f>+AV_PLAN[[#This Row],[TERMINO PLAN ACUMULADO]]/$G$471</f>
        <v>0.11789772727272728</v>
      </c>
      <c r="T128" s="7">
        <f t="shared" si="3"/>
        <v>7.1022727272727279E-2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3</v>
      </c>
      <c r="E129">
        <v>111</v>
      </c>
      <c r="F129">
        <v>2</v>
      </c>
      <c r="G129">
        <v>85</v>
      </c>
      <c r="H129">
        <v>2</v>
      </c>
      <c r="I129">
        <v>52</v>
      </c>
      <c r="J129" t="s">
        <v>811</v>
      </c>
      <c r="K129">
        <f>+WEEKNUM(AV_PLAN[[#This Row],[Días]])</f>
        <v>26</v>
      </c>
      <c r="L129" s="4">
        <f>IFERROR(AV_PLAN[[#This Row],[INICIO REAL ACUMULADO]]/AV_PLAN[[#This Row],[PLAN ACUMULADO]],"")</f>
        <v>0.8671875</v>
      </c>
      <c r="M129" s="4">
        <f>IFERROR(AV_PLAN[[#This Row],[TERMINO REAL ACUMULADO]]/AV_PLAN[[#This Row],[TERMINO PLAN ACUMULADO]],"")</f>
        <v>0.61176470588235299</v>
      </c>
      <c r="N129">
        <f>+AV_PLAN[[#This Row],[PLAN ACUMULADO]]-AV_PLAN[[#This Row],[INICIO REAL ACUMULADO]]</f>
        <v>17</v>
      </c>
      <c r="O129">
        <f>+AV_PLAN[[#This Row],[TERMINO PLAN ACUMULADO]]-AV_PLAN[[#This Row],[TERMINO REAL ACUMULADO]]</f>
        <v>33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0.15767045454545456</v>
      </c>
      <c r="S129" s="7">
        <f>+AV_PLAN[[#This Row],[TERMINO PLAN ACUMULADO]]/$G$471</f>
        <v>0.12073863636363637</v>
      </c>
      <c r="T129" s="7">
        <f t="shared" si="3"/>
        <v>7.3863636363636367E-2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1</v>
      </c>
      <c r="E130">
        <v>112</v>
      </c>
      <c r="F130">
        <v>2</v>
      </c>
      <c r="G130">
        <v>87</v>
      </c>
      <c r="H130">
        <v>1</v>
      </c>
      <c r="I130">
        <v>53</v>
      </c>
      <c r="J130" t="s">
        <v>811</v>
      </c>
      <c r="K130">
        <f>+WEEKNUM(AV_PLAN[[#This Row],[Días]])</f>
        <v>26</v>
      </c>
      <c r="L130" s="4">
        <f>IFERROR(AV_PLAN[[#This Row],[INICIO REAL ACUMULADO]]/AV_PLAN[[#This Row],[PLAN ACUMULADO]],"")</f>
        <v>0.86153846153846159</v>
      </c>
      <c r="M130" s="4">
        <f>IFERROR(AV_PLAN[[#This Row],[TERMINO REAL ACUMULADO]]/AV_PLAN[[#This Row],[TERMINO PLAN ACUMULADO]],"")</f>
        <v>0.60919540229885061</v>
      </c>
      <c r="N130">
        <f>+AV_PLAN[[#This Row],[PLAN ACUMULADO]]-AV_PLAN[[#This Row],[INICIO REAL ACUMULADO]]</f>
        <v>18</v>
      </c>
      <c r="O130">
        <f>+AV_PLAN[[#This Row],[TERMINO PLAN ACUMULADO]]-AV_PLAN[[#This Row],[TERMINO REAL ACUMULADO]]</f>
        <v>34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0.15909090909090909</v>
      </c>
      <c r="S130" s="7">
        <f>+AV_PLAN[[#This Row],[TERMINO PLAN ACUMULADO]]/$G$471</f>
        <v>0.12357954545454546</v>
      </c>
      <c r="T130" s="7">
        <f t="shared" ref="T130:T193" si="5">IF(H130="",NA(),I130/$G$471)</f>
        <v>7.5284090909090912E-2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3</v>
      </c>
      <c r="E131">
        <v>115</v>
      </c>
      <c r="F131">
        <v>1</v>
      </c>
      <c r="G131">
        <v>88</v>
      </c>
      <c r="H131">
        <v>2</v>
      </c>
      <c r="I131">
        <v>55</v>
      </c>
      <c r="J131" t="s">
        <v>811</v>
      </c>
      <c r="K131">
        <f>+WEEKNUM(AV_PLAN[[#This Row],[Días]])</f>
        <v>26</v>
      </c>
      <c r="L131" s="4">
        <f>IFERROR(AV_PLAN[[#This Row],[INICIO REAL ACUMULADO]]/AV_PLAN[[#This Row],[PLAN ACUMULADO]],"")</f>
        <v>0.86466165413533835</v>
      </c>
      <c r="M131" s="4">
        <f>IFERROR(AV_PLAN[[#This Row],[TERMINO REAL ACUMULADO]]/AV_PLAN[[#This Row],[TERMINO PLAN ACUMULADO]],"")</f>
        <v>0.625</v>
      </c>
      <c r="N131">
        <f>+AV_PLAN[[#This Row],[PLAN ACUMULADO]]-AV_PLAN[[#This Row],[INICIO REAL ACUMULADO]]</f>
        <v>18</v>
      </c>
      <c r="O131">
        <f>+AV_PLAN[[#This Row],[TERMINO PLAN ACUMULADO]]-AV_PLAN[[#This Row],[TERMINO REAL ACUMULADO]]</f>
        <v>33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0.16335227272727273</v>
      </c>
      <c r="S131" s="7">
        <f>+AV_PLAN[[#This Row],[TERMINO PLAN ACUMULADO]]/$G$471</f>
        <v>0.125</v>
      </c>
      <c r="T131" s="7">
        <f t="shared" si="5"/>
        <v>7.8125E-2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5</v>
      </c>
      <c r="E132">
        <v>120</v>
      </c>
      <c r="F132">
        <v>1</v>
      </c>
      <c r="G132">
        <v>89</v>
      </c>
      <c r="H132">
        <v>1</v>
      </c>
      <c r="I132">
        <v>56</v>
      </c>
      <c r="J132" t="s">
        <v>811</v>
      </c>
      <c r="K132">
        <f>+WEEKNUM(AV_PLAN[[#This Row],[Días]])</f>
        <v>26</v>
      </c>
      <c r="L132" s="4">
        <f>IFERROR(AV_PLAN[[#This Row],[INICIO REAL ACUMULADO]]/AV_PLAN[[#This Row],[PLAN ACUMULADO]],"")</f>
        <v>0.88888888888888884</v>
      </c>
      <c r="M132" s="4">
        <f>IFERROR(AV_PLAN[[#This Row],[TERMINO REAL ACUMULADO]]/AV_PLAN[[#This Row],[TERMINO PLAN ACUMULADO]],"")</f>
        <v>0.6292134831460674</v>
      </c>
      <c r="N132">
        <f>+AV_PLAN[[#This Row],[PLAN ACUMULADO]]-AV_PLAN[[#This Row],[INICIO REAL ACUMULADO]]</f>
        <v>15</v>
      </c>
      <c r="O132">
        <f>+AV_PLAN[[#This Row],[TERMINO PLAN ACUMULADO]]-AV_PLAN[[#This Row],[TERMINO REAL ACUMULADO]]</f>
        <v>33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0.17045454545454544</v>
      </c>
      <c r="S132" s="7">
        <f>+AV_PLAN[[#This Row],[TERMINO PLAN ACUMULADO]]/$G$471</f>
        <v>0.12642045454545456</v>
      </c>
      <c r="T132" s="7">
        <f t="shared" si="5"/>
        <v>7.9545454545454544E-2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120</v>
      </c>
      <c r="F133">
        <v>3</v>
      </c>
      <c r="G133">
        <v>92</v>
      </c>
      <c r="H133">
        <v>0</v>
      </c>
      <c r="I133">
        <v>56</v>
      </c>
      <c r="J133" t="s">
        <v>811</v>
      </c>
      <c r="K133">
        <f>+WEEKNUM(AV_PLAN[[#This Row],[Días]])</f>
        <v>26</v>
      </c>
      <c r="L133" s="4">
        <f>IFERROR(AV_PLAN[[#This Row],[INICIO REAL ACUMULADO]]/AV_PLAN[[#This Row],[PLAN ACUMULADO]],"")</f>
        <v>0.88888888888888884</v>
      </c>
      <c r="M133" s="4">
        <f>IFERROR(AV_PLAN[[#This Row],[TERMINO REAL ACUMULADO]]/AV_PLAN[[#This Row],[TERMINO PLAN ACUMULADO]],"")</f>
        <v>0.60869565217391308</v>
      </c>
      <c r="N133">
        <f>+AV_PLAN[[#This Row],[PLAN ACUMULADO]]-AV_PLAN[[#This Row],[INICIO REAL ACUMULADO]]</f>
        <v>15</v>
      </c>
      <c r="O133">
        <f>+AV_PLAN[[#This Row],[TERMINO PLAN ACUMULADO]]-AV_PLAN[[#This Row],[TERMINO REAL ACUMULADO]]</f>
        <v>36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0.17045454545454544</v>
      </c>
      <c r="S133" s="7">
        <f>+AV_PLAN[[#This Row],[TERMINO PLAN ACUMULADO]]/$G$471</f>
        <v>0.13068181818181818</v>
      </c>
      <c r="T133" s="7">
        <f t="shared" si="5"/>
        <v>7.9545454545454544E-2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120</v>
      </c>
      <c r="F134">
        <v>1</v>
      </c>
      <c r="G134">
        <v>93</v>
      </c>
      <c r="H134">
        <v>0</v>
      </c>
      <c r="I134">
        <v>56</v>
      </c>
      <c r="J134" t="s">
        <v>811</v>
      </c>
      <c r="K134">
        <f>+WEEKNUM(AV_PLAN[[#This Row],[Días]])</f>
        <v>27</v>
      </c>
      <c r="L134" s="4">
        <f>IFERROR(AV_PLAN[[#This Row],[INICIO REAL ACUMULADO]]/AV_PLAN[[#This Row],[PLAN ACUMULADO]],"")</f>
        <v>0.88888888888888884</v>
      </c>
      <c r="M134" s="4">
        <f>IFERROR(AV_PLAN[[#This Row],[TERMINO REAL ACUMULADO]]/AV_PLAN[[#This Row],[TERMINO PLAN ACUMULADO]],"")</f>
        <v>0.60215053763440862</v>
      </c>
      <c r="N134">
        <f>+AV_PLAN[[#This Row],[PLAN ACUMULADO]]-AV_PLAN[[#This Row],[INICIO REAL ACUMULADO]]</f>
        <v>15</v>
      </c>
      <c r="O134">
        <f>+AV_PLAN[[#This Row],[TERMINO PLAN ACUMULADO]]-AV_PLAN[[#This Row],[TERMINO REAL ACUMULADO]]</f>
        <v>37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0.17045454545454544</v>
      </c>
      <c r="S134" s="7">
        <f>+AV_PLAN[[#This Row],[TERMINO PLAN ACUMULADO]]/$G$471</f>
        <v>0.13210227272727273</v>
      </c>
      <c r="T134" s="7">
        <f t="shared" si="5"/>
        <v>7.9545454545454544E-2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120</v>
      </c>
      <c r="F135">
        <v>1</v>
      </c>
      <c r="G135">
        <v>94</v>
      </c>
      <c r="H135">
        <v>0</v>
      </c>
      <c r="I135">
        <v>56</v>
      </c>
      <c r="J135" t="s">
        <v>811</v>
      </c>
      <c r="K135">
        <f>+WEEKNUM(AV_PLAN[[#This Row],[Días]])</f>
        <v>27</v>
      </c>
      <c r="L135" s="4">
        <f>IFERROR(AV_PLAN[[#This Row],[INICIO REAL ACUMULADO]]/AV_PLAN[[#This Row],[PLAN ACUMULADO]],"")</f>
        <v>0.86956521739130432</v>
      </c>
      <c r="M135" s="4">
        <f>IFERROR(AV_PLAN[[#This Row],[TERMINO REAL ACUMULADO]]/AV_PLAN[[#This Row],[TERMINO PLAN ACUMULADO]],"")</f>
        <v>0.5957446808510638</v>
      </c>
      <c r="N135">
        <f>+AV_PLAN[[#This Row],[PLAN ACUMULADO]]-AV_PLAN[[#This Row],[INICIO REAL ACUMULADO]]</f>
        <v>18</v>
      </c>
      <c r="O135">
        <f>+AV_PLAN[[#This Row],[TERMINO PLAN ACUMULADO]]-AV_PLAN[[#This Row],[TERMINO REAL ACUMULADO]]</f>
        <v>38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0.17045454545454544</v>
      </c>
      <c r="S135" s="7">
        <f>+AV_PLAN[[#This Row],[TERMINO PLAN ACUMULADO]]/$G$471</f>
        <v>0.13352272727272727</v>
      </c>
      <c r="T135" s="7">
        <f t="shared" si="5"/>
        <v>7.9545454545454544E-2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120</v>
      </c>
      <c r="F136">
        <v>1</v>
      </c>
      <c r="G136">
        <v>95</v>
      </c>
      <c r="H136">
        <v>3</v>
      </c>
      <c r="I136">
        <v>59</v>
      </c>
      <c r="J136" t="s">
        <v>811</v>
      </c>
      <c r="K136">
        <f>+WEEKNUM(AV_PLAN[[#This Row],[Días]])</f>
        <v>27</v>
      </c>
      <c r="L136" s="4">
        <f>IFERROR(AV_PLAN[[#This Row],[INICIO REAL ACUMULADO]]/AV_PLAN[[#This Row],[PLAN ACUMULADO]],"")</f>
        <v>0.8571428571428571</v>
      </c>
      <c r="M136" s="4">
        <f>IFERROR(AV_PLAN[[#This Row],[TERMINO REAL ACUMULADO]]/AV_PLAN[[#This Row],[TERMINO PLAN ACUMULADO]],"")</f>
        <v>0.62105263157894741</v>
      </c>
      <c r="N136">
        <f>+AV_PLAN[[#This Row],[PLAN ACUMULADO]]-AV_PLAN[[#This Row],[INICIO REAL ACUMULADO]]</f>
        <v>20</v>
      </c>
      <c r="O136">
        <f>+AV_PLAN[[#This Row],[TERMINO PLAN ACUMULADO]]-AV_PLAN[[#This Row],[TERMINO REAL ACUMULADO]]</f>
        <v>36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0.17045454545454544</v>
      </c>
      <c r="S136" s="7">
        <f>+AV_PLAN[[#This Row],[TERMINO PLAN ACUMULADO]]/$G$471</f>
        <v>0.13494318181818182</v>
      </c>
      <c r="T136" s="7">
        <f t="shared" si="5"/>
        <v>8.3806818181818177E-2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120</v>
      </c>
      <c r="F137">
        <v>1</v>
      </c>
      <c r="G137">
        <v>96</v>
      </c>
      <c r="H137">
        <v>2</v>
      </c>
      <c r="I137">
        <v>61</v>
      </c>
      <c r="J137" t="s">
        <v>812</v>
      </c>
      <c r="K137">
        <f>+WEEKNUM(AV_PLAN[[#This Row],[Días]])</f>
        <v>27</v>
      </c>
      <c r="L137" s="4">
        <f>IFERROR(AV_PLAN[[#This Row],[INICIO REAL ACUMULADO]]/AV_PLAN[[#This Row],[PLAN ACUMULADO]],"")</f>
        <v>0.83916083916083917</v>
      </c>
      <c r="M137" s="4">
        <f>IFERROR(AV_PLAN[[#This Row],[TERMINO REAL ACUMULADO]]/AV_PLAN[[#This Row],[TERMINO PLAN ACUMULADO]],"")</f>
        <v>0.63541666666666663</v>
      </c>
      <c r="N137">
        <f>+AV_PLAN[[#This Row],[PLAN ACUMULADO]]-AV_PLAN[[#This Row],[INICIO REAL ACUMULADO]]</f>
        <v>23</v>
      </c>
      <c r="O137">
        <f>+AV_PLAN[[#This Row],[TERMINO PLAN ACUMULADO]]-AV_PLAN[[#This Row],[TERMINO REAL ACUMULADO]]</f>
        <v>35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0.17045454545454544</v>
      </c>
      <c r="S137" s="7">
        <f>+AV_PLAN[[#This Row],[TERMINO PLAN ACUMULADO]]/$G$471</f>
        <v>0.13636363636363635</v>
      </c>
      <c r="T137" s="7">
        <f t="shared" si="5"/>
        <v>8.6647727272727279E-2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3</v>
      </c>
      <c r="E138">
        <v>123</v>
      </c>
      <c r="F138">
        <v>2</v>
      </c>
      <c r="G138">
        <v>98</v>
      </c>
      <c r="H138">
        <v>3</v>
      </c>
      <c r="I138">
        <v>64</v>
      </c>
      <c r="J138" t="s">
        <v>812</v>
      </c>
      <c r="K138">
        <f>+WEEKNUM(AV_PLAN[[#This Row],[Días]])</f>
        <v>27</v>
      </c>
      <c r="L138" s="4">
        <f>IFERROR(AV_PLAN[[#This Row],[INICIO REAL ACUMULADO]]/AV_PLAN[[#This Row],[PLAN ACUMULADO]],"")</f>
        <v>0.84827586206896555</v>
      </c>
      <c r="M138" s="4">
        <f>IFERROR(AV_PLAN[[#This Row],[TERMINO REAL ACUMULADO]]/AV_PLAN[[#This Row],[TERMINO PLAN ACUMULADO]],"")</f>
        <v>0.65306122448979587</v>
      </c>
      <c r="N138">
        <f>+AV_PLAN[[#This Row],[PLAN ACUMULADO]]-AV_PLAN[[#This Row],[INICIO REAL ACUMULADO]]</f>
        <v>22</v>
      </c>
      <c r="O138">
        <f>+AV_PLAN[[#This Row],[TERMINO PLAN ACUMULADO]]-AV_PLAN[[#This Row],[TERMINO REAL ACUMULADO]]</f>
        <v>34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0.17471590909090909</v>
      </c>
      <c r="S138" s="7">
        <f>+AV_PLAN[[#This Row],[TERMINO PLAN ACUMULADO]]/$G$471</f>
        <v>0.13920454545454544</v>
      </c>
      <c r="T138" s="7">
        <f t="shared" si="5"/>
        <v>9.0909090909090912E-2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4</v>
      </c>
      <c r="E139">
        <v>127</v>
      </c>
      <c r="F139">
        <v>2</v>
      </c>
      <c r="G139">
        <v>100</v>
      </c>
      <c r="H139">
        <v>3</v>
      </c>
      <c r="I139">
        <v>67</v>
      </c>
      <c r="J139" t="s">
        <v>812</v>
      </c>
      <c r="K139">
        <f>+WEEKNUM(AV_PLAN[[#This Row],[Días]])</f>
        <v>27</v>
      </c>
      <c r="L139" s="4">
        <f>IFERROR(AV_PLAN[[#This Row],[INICIO REAL ACUMULADO]]/AV_PLAN[[#This Row],[PLAN ACUMULADO]],"")</f>
        <v>0.85810810810810811</v>
      </c>
      <c r="M139" s="4">
        <f>IFERROR(AV_PLAN[[#This Row],[TERMINO REAL ACUMULADO]]/AV_PLAN[[#This Row],[TERMINO PLAN ACUMULADO]],"")</f>
        <v>0.67</v>
      </c>
      <c r="N139">
        <f>+AV_PLAN[[#This Row],[PLAN ACUMULADO]]-AV_PLAN[[#This Row],[INICIO REAL ACUMULADO]]</f>
        <v>21</v>
      </c>
      <c r="O139">
        <f>+AV_PLAN[[#This Row],[TERMINO PLAN ACUMULADO]]-AV_PLAN[[#This Row],[TERMINO REAL ACUMULADO]]</f>
        <v>33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0.18039772727272727</v>
      </c>
      <c r="S139" s="7">
        <f>+AV_PLAN[[#This Row],[TERMINO PLAN ACUMULADO]]/$G$471</f>
        <v>0.14204545454545456</v>
      </c>
      <c r="T139" s="7">
        <f t="shared" si="5"/>
        <v>9.5170454545454544E-2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127</v>
      </c>
      <c r="F140">
        <v>2</v>
      </c>
      <c r="G140">
        <v>102</v>
      </c>
      <c r="H140">
        <v>0</v>
      </c>
      <c r="I140">
        <v>67</v>
      </c>
      <c r="J140" t="s">
        <v>812</v>
      </c>
      <c r="K140">
        <f>+WEEKNUM(AV_PLAN[[#This Row],[Días]])</f>
        <v>27</v>
      </c>
      <c r="L140" s="4">
        <f>IFERROR(AV_PLAN[[#This Row],[INICIO REAL ACUMULADO]]/AV_PLAN[[#This Row],[PLAN ACUMULADO]],"")</f>
        <v>0.85810810810810811</v>
      </c>
      <c r="M140" s="4">
        <f>IFERROR(AV_PLAN[[#This Row],[TERMINO REAL ACUMULADO]]/AV_PLAN[[#This Row],[TERMINO PLAN ACUMULADO]],"")</f>
        <v>0.65686274509803921</v>
      </c>
      <c r="N140">
        <f>+AV_PLAN[[#This Row],[PLAN ACUMULADO]]-AV_PLAN[[#This Row],[INICIO REAL ACUMULADO]]</f>
        <v>21</v>
      </c>
      <c r="O140">
        <f>+AV_PLAN[[#This Row],[TERMINO PLAN ACUMULADO]]-AV_PLAN[[#This Row],[TERMINO REAL ACUMULADO]]</f>
        <v>35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0.18039772727272727</v>
      </c>
      <c r="S140" s="7">
        <f>+AV_PLAN[[#This Row],[TERMINO PLAN ACUMULADO]]/$G$471</f>
        <v>0.14488636363636365</v>
      </c>
      <c r="T140" s="7">
        <f t="shared" si="5"/>
        <v>9.5170454545454544E-2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127</v>
      </c>
      <c r="F141">
        <v>1</v>
      </c>
      <c r="G141">
        <v>103</v>
      </c>
      <c r="H141">
        <v>0</v>
      </c>
      <c r="I141">
        <v>67</v>
      </c>
      <c r="J141" t="s">
        <v>812</v>
      </c>
      <c r="K141">
        <f>+WEEKNUM(AV_PLAN[[#This Row],[Días]])</f>
        <v>28</v>
      </c>
      <c r="L141" s="4">
        <f>IFERROR(AV_PLAN[[#This Row],[INICIO REAL ACUMULADO]]/AV_PLAN[[#This Row],[PLAN ACUMULADO]],"")</f>
        <v>0.85810810810810811</v>
      </c>
      <c r="M141" s="4">
        <f>IFERROR(AV_PLAN[[#This Row],[TERMINO REAL ACUMULADO]]/AV_PLAN[[#This Row],[TERMINO PLAN ACUMULADO]],"")</f>
        <v>0.65048543689320393</v>
      </c>
      <c r="N141">
        <f>+AV_PLAN[[#This Row],[PLAN ACUMULADO]]-AV_PLAN[[#This Row],[INICIO REAL ACUMULADO]]</f>
        <v>21</v>
      </c>
      <c r="O141">
        <f>+AV_PLAN[[#This Row],[TERMINO PLAN ACUMULADO]]-AV_PLAN[[#This Row],[TERMINO REAL ACUMULADO]]</f>
        <v>36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0.18039772727272727</v>
      </c>
      <c r="S141" s="7">
        <f>+AV_PLAN[[#This Row],[TERMINO PLAN ACUMULADO]]/$G$471</f>
        <v>0.14630681818181818</v>
      </c>
      <c r="T141" s="7">
        <f t="shared" si="5"/>
        <v>9.5170454545454544E-2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127</v>
      </c>
      <c r="F142">
        <v>2</v>
      </c>
      <c r="G142">
        <v>105</v>
      </c>
      <c r="H142">
        <v>0</v>
      </c>
      <c r="I142">
        <v>67</v>
      </c>
      <c r="J142" t="s">
        <v>812</v>
      </c>
      <c r="K142">
        <f>+WEEKNUM(AV_PLAN[[#This Row],[Días]])</f>
        <v>28</v>
      </c>
      <c r="L142" s="4">
        <f>IFERROR(AV_PLAN[[#This Row],[INICIO REAL ACUMULADO]]/AV_PLAN[[#This Row],[PLAN ACUMULADO]],"")</f>
        <v>0.84666666666666668</v>
      </c>
      <c r="M142" s="4">
        <f>IFERROR(AV_PLAN[[#This Row],[TERMINO REAL ACUMULADO]]/AV_PLAN[[#This Row],[TERMINO PLAN ACUMULADO]],"")</f>
        <v>0.63809523809523805</v>
      </c>
      <c r="N142">
        <f>+AV_PLAN[[#This Row],[PLAN ACUMULADO]]-AV_PLAN[[#This Row],[INICIO REAL ACUMULADO]]</f>
        <v>23</v>
      </c>
      <c r="O142">
        <f>+AV_PLAN[[#This Row],[TERMINO PLAN ACUMULADO]]-AV_PLAN[[#This Row],[TERMINO REAL ACUMULADO]]</f>
        <v>38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0.18039772727272727</v>
      </c>
      <c r="S142" s="7">
        <f>+AV_PLAN[[#This Row],[TERMINO PLAN ACUMULADO]]/$G$471</f>
        <v>0.14914772727272727</v>
      </c>
      <c r="T142" s="7">
        <f t="shared" si="5"/>
        <v>9.5170454545454544E-2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1</v>
      </c>
      <c r="E143">
        <v>128</v>
      </c>
      <c r="F143">
        <v>2</v>
      </c>
      <c r="G143">
        <v>107</v>
      </c>
      <c r="H143">
        <v>4</v>
      </c>
      <c r="I143">
        <v>71</v>
      </c>
      <c r="J143" t="s">
        <v>812</v>
      </c>
      <c r="K143">
        <f>+WEEKNUM(AV_PLAN[[#This Row],[Días]])</f>
        <v>28</v>
      </c>
      <c r="L143" s="4">
        <f>IFERROR(AV_PLAN[[#This Row],[INICIO REAL ACUMULADO]]/AV_PLAN[[#This Row],[PLAN ACUMULADO]],"")</f>
        <v>0.83660130718954251</v>
      </c>
      <c r="M143" s="4">
        <f>IFERROR(AV_PLAN[[#This Row],[TERMINO REAL ACUMULADO]]/AV_PLAN[[#This Row],[TERMINO PLAN ACUMULADO]],"")</f>
        <v>0.66355140186915884</v>
      </c>
      <c r="N143">
        <f>+AV_PLAN[[#This Row],[PLAN ACUMULADO]]-AV_PLAN[[#This Row],[INICIO REAL ACUMULADO]]</f>
        <v>25</v>
      </c>
      <c r="O143">
        <f>+AV_PLAN[[#This Row],[TERMINO PLAN ACUMULADO]]-AV_PLAN[[#This Row],[TERMINO REAL ACUMULADO]]</f>
        <v>36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0.18181818181818182</v>
      </c>
      <c r="S143" s="7">
        <f>+AV_PLAN[[#This Row],[TERMINO PLAN ACUMULADO]]/$G$471</f>
        <v>0.15198863636363635</v>
      </c>
      <c r="T143" s="7">
        <f t="shared" si="5"/>
        <v>0.10085227272727272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1</v>
      </c>
      <c r="E144">
        <v>129</v>
      </c>
      <c r="F144">
        <v>1</v>
      </c>
      <c r="G144">
        <v>108</v>
      </c>
      <c r="H144">
        <v>4</v>
      </c>
      <c r="I144">
        <v>75</v>
      </c>
      <c r="J144" t="s">
        <v>812</v>
      </c>
      <c r="K144">
        <f>+WEEKNUM(AV_PLAN[[#This Row],[Días]])</f>
        <v>28</v>
      </c>
      <c r="L144" s="4">
        <f>IFERROR(AV_PLAN[[#This Row],[INICIO REAL ACUMULADO]]/AV_PLAN[[#This Row],[PLAN ACUMULADO]],"")</f>
        <v>0.83225806451612905</v>
      </c>
      <c r="M144" s="4">
        <f>IFERROR(AV_PLAN[[#This Row],[TERMINO REAL ACUMULADO]]/AV_PLAN[[#This Row],[TERMINO PLAN ACUMULADO]],"")</f>
        <v>0.69444444444444442</v>
      </c>
      <c r="N144">
        <f>+AV_PLAN[[#This Row],[PLAN ACUMULADO]]-AV_PLAN[[#This Row],[INICIO REAL ACUMULADO]]</f>
        <v>26</v>
      </c>
      <c r="O144">
        <f>+AV_PLAN[[#This Row],[TERMINO PLAN ACUMULADO]]-AV_PLAN[[#This Row],[TERMINO REAL ACUMULADO]]</f>
        <v>33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0.18323863636363635</v>
      </c>
      <c r="S144" s="7">
        <f>+AV_PLAN[[#This Row],[TERMINO PLAN ACUMULADO]]/$G$471</f>
        <v>0.15340909090909091</v>
      </c>
      <c r="T144" s="7">
        <f t="shared" si="5"/>
        <v>0.10653409090909091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4</v>
      </c>
      <c r="E145">
        <v>133</v>
      </c>
      <c r="F145">
        <v>2</v>
      </c>
      <c r="G145">
        <v>110</v>
      </c>
      <c r="H145">
        <v>0</v>
      </c>
      <c r="I145">
        <v>75</v>
      </c>
      <c r="J145" t="s">
        <v>812</v>
      </c>
      <c r="K145">
        <f>+WEEKNUM(AV_PLAN[[#This Row],[Días]])</f>
        <v>28</v>
      </c>
      <c r="L145" s="4">
        <f>IFERROR(AV_PLAN[[#This Row],[INICIO REAL ACUMULADO]]/AV_PLAN[[#This Row],[PLAN ACUMULADO]],"")</f>
        <v>0.84177215189873422</v>
      </c>
      <c r="M145" s="4">
        <f>IFERROR(AV_PLAN[[#This Row],[TERMINO REAL ACUMULADO]]/AV_PLAN[[#This Row],[TERMINO PLAN ACUMULADO]],"")</f>
        <v>0.68181818181818177</v>
      </c>
      <c r="N145">
        <f>+AV_PLAN[[#This Row],[PLAN ACUMULADO]]-AV_PLAN[[#This Row],[INICIO REAL ACUMULADO]]</f>
        <v>25</v>
      </c>
      <c r="O145">
        <f>+AV_PLAN[[#This Row],[TERMINO PLAN ACUMULADO]]-AV_PLAN[[#This Row],[TERMINO REAL ACUMULADO]]</f>
        <v>35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0.18892045454545456</v>
      </c>
      <c r="S145" s="7">
        <f>+AV_PLAN[[#This Row],[TERMINO PLAN ACUMULADO]]/$G$471</f>
        <v>0.15625</v>
      </c>
      <c r="T145" s="7">
        <f t="shared" si="5"/>
        <v>0.10653409090909091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133</v>
      </c>
      <c r="F146">
        <v>1</v>
      </c>
      <c r="G146">
        <v>111</v>
      </c>
      <c r="H146">
        <v>4</v>
      </c>
      <c r="I146">
        <v>79</v>
      </c>
      <c r="J146" t="s">
        <v>812</v>
      </c>
      <c r="K146">
        <f>+WEEKNUM(AV_PLAN[[#This Row],[Días]])</f>
        <v>28</v>
      </c>
      <c r="L146" s="4">
        <f>IFERROR(AV_PLAN[[#This Row],[INICIO REAL ACUMULADO]]/AV_PLAN[[#This Row],[PLAN ACUMULADO]],"")</f>
        <v>0.83125000000000004</v>
      </c>
      <c r="M146" s="4">
        <f>IFERROR(AV_PLAN[[#This Row],[TERMINO REAL ACUMULADO]]/AV_PLAN[[#This Row],[TERMINO PLAN ACUMULADO]],"")</f>
        <v>0.71171171171171166</v>
      </c>
      <c r="N146">
        <f>+AV_PLAN[[#This Row],[PLAN ACUMULADO]]-AV_PLAN[[#This Row],[INICIO REAL ACUMULADO]]</f>
        <v>27</v>
      </c>
      <c r="O146">
        <f>+AV_PLAN[[#This Row],[TERMINO PLAN ACUMULADO]]-AV_PLAN[[#This Row],[TERMINO REAL ACUMULADO]]</f>
        <v>32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0.18892045454545456</v>
      </c>
      <c r="S146" s="7">
        <f>+AV_PLAN[[#This Row],[TERMINO PLAN ACUMULADO]]/$G$471</f>
        <v>0.15767045454545456</v>
      </c>
      <c r="T146" s="7">
        <f t="shared" si="5"/>
        <v>0.11221590909090909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133</v>
      </c>
      <c r="F147">
        <v>1</v>
      </c>
      <c r="G147">
        <v>112</v>
      </c>
      <c r="H147">
        <v>0</v>
      </c>
      <c r="I147">
        <v>79</v>
      </c>
      <c r="J147" t="s">
        <v>812</v>
      </c>
      <c r="K147">
        <f>+WEEKNUM(AV_PLAN[[#This Row],[Días]])</f>
        <v>28</v>
      </c>
      <c r="L147" s="4">
        <f>IFERROR(AV_PLAN[[#This Row],[INICIO REAL ACUMULADO]]/AV_PLAN[[#This Row],[PLAN ACUMULADO]],"")</f>
        <v>0.83125000000000004</v>
      </c>
      <c r="M147" s="4">
        <f>IFERROR(AV_PLAN[[#This Row],[TERMINO REAL ACUMULADO]]/AV_PLAN[[#This Row],[TERMINO PLAN ACUMULADO]],"")</f>
        <v>0.7053571428571429</v>
      </c>
      <c r="N147">
        <f>+AV_PLAN[[#This Row],[PLAN ACUMULADO]]-AV_PLAN[[#This Row],[INICIO REAL ACUMULADO]]</f>
        <v>27</v>
      </c>
      <c r="O147">
        <f>+AV_PLAN[[#This Row],[TERMINO PLAN ACUMULADO]]-AV_PLAN[[#This Row],[TERMINO REAL ACUMULADO]]</f>
        <v>33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0.18892045454545456</v>
      </c>
      <c r="S147" s="7">
        <f>+AV_PLAN[[#This Row],[TERMINO PLAN ACUMULADO]]/$G$471</f>
        <v>0.15909090909090909</v>
      </c>
      <c r="T147" s="7">
        <f t="shared" si="5"/>
        <v>0.11221590909090909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133</v>
      </c>
      <c r="F148">
        <v>2</v>
      </c>
      <c r="G148">
        <v>114</v>
      </c>
      <c r="H148">
        <v>0</v>
      </c>
      <c r="I148">
        <v>79</v>
      </c>
      <c r="J148" t="s">
        <v>812</v>
      </c>
      <c r="K148">
        <f>+WEEKNUM(AV_PLAN[[#This Row],[Días]])</f>
        <v>29</v>
      </c>
      <c r="L148" s="4">
        <f>IFERROR(AV_PLAN[[#This Row],[INICIO REAL ACUMULADO]]/AV_PLAN[[#This Row],[PLAN ACUMULADO]],"")</f>
        <v>0.83125000000000004</v>
      </c>
      <c r="M148" s="4">
        <f>IFERROR(AV_PLAN[[#This Row],[TERMINO REAL ACUMULADO]]/AV_PLAN[[#This Row],[TERMINO PLAN ACUMULADO]],"")</f>
        <v>0.69298245614035092</v>
      </c>
      <c r="N148">
        <f>+AV_PLAN[[#This Row],[PLAN ACUMULADO]]-AV_PLAN[[#This Row],[INICIO REAL ACUMULADO]]</f>
        <v>27</v>
      </c>
      <c r="O148">
        <f>+AV_PLAN[[#This Row],[TERMINO PLAN ACUMULADO]]-AV_PLAN[[#This Row],[TERMINO REAL ACUMULADO]]</f>
        <v>35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0.18892045454545456</v>
      </c>
      <c r="S148" s="7">
        <f>+AV_PLAN[[#This Row],[TERMINO PLAN ACUMULADO]]/$G$471</f>
        <v>0.16193181818181818</v>
      </c>
      <c r="T148" s="7">
        <f t="shared" si="5"/>
        <v>0.11221590909090909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3</v>
      </c>
      <c r="E149">
        <v>136</v>
      </c>
      <c r="F149">
        <v>2</v>
      </c>
      <c r="G149">
        <v>116</v>
      </c>
      <c r="H149">
        <v>5</v>
      </c>
      <c r="I149">
        <v>84</v>
      </c>
      <c r="J149" t="s">
        <v>812</v>
      </c>
      <c r="K149">
        <f>+WEEKNUM(AV_PLAN[[#This Row],[Días]])</f>
        <v>29</v>
      </c>
      <c r="L149" s="4">
        <f>IFERROR(AV_PLAN[[#This Row],[INICIO REAL ACUMULADO]]/AV_PLAN[[#This Row],[PLAN ACUMULADO]],"")</f>
        <v>0.83435582822085885</v>
      </c>
      <c r="M149" s="4">
        <f>IFERROR(AV_PLAN[[#This Row],[TERMINO REAL ACUMULADO]]/AV_PLAN[[#This Row],[TERMINO PLAN ACUMULADO]],"")</f>
        <v>0.72413793103448276</v>
      </c>
      <c r="N149">
        <f>+AV_PLAN[[#This Row],[PLAN ACUMULADO]]-AV_PLAN[[#This Row],[INICIO REAL ACUMULADO]]</f>
        <v>27</v>
      </c>
      <c r="O149">
        <f>+AV_PLAN[[#This Row],[TERMINO PLAN ACUMULADO]]-AV_PLAN[[#This Row],[TERMINO REAL ACUMULADO]]</f>
        <v>32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0.19318181818181818</v>
      </c>
      <c r="S149" s="7">
        <f>+AV_PLAN[[#This Row],[TERMINO PLAN ACUMULADO]]/$G$471</f>
        <v>0.16477272727272727</v>
      </c>
      <c r="T149" s="7">
        <f t="shared" si="5"/>
        <v>0.11931818181818182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3</v>
      </c>
      <c r="E150">
        <v>139</v>
      </c>
      <c r="F150">
        <v>1</v>
      </c>
      <c r="G150">
        <v>117</v>
      </c>
      <c r="H150">
        <v>3</v>
      </c>
      <c r="I150">
        <v>87</v>
      </c>
      <c r="J150" t="s">
        <v>812</v>
      </c>
      <c r="K150">
        <f>+WEEKNUM(AV_PLAN[[#This Row],[Días]])</f>
        <v>29</v>
      </c>
      <c r="L150" s="4">
        <f>IFERROR(AV_PLAN[[#This Row],[INICIO REAL ACUMULADO]]/AV_PLAN[[#This Row],[PLAN ACUMULADO]],"")</f>
        <v>0.84242424242424241</v>
      </c>
      <c r="M150" s="4">
        <f>IFERROR(AV_PLAN[[#This Row],[TERMINO REAL ACUMULADO]]/AV_PLAN[[#This Row],[TERMINO PLAN ACUMULADO]],"")</f>
        <v>0.74358974358974361</v>
      </c>
      <c r="N150">
        <f>+AV_PLAN[[#This Row],[PLAN ACUMULADO]]-AV_PLAN[[#This Row],[INICIO REAL ACUMULADO]]</f>
        <v>26</v>
      </c>
      <c r="O150">
        <f>+AV_PLAN[[#This Row],[TERMINO PLAN ACUMULADO]]-AV_PLAN[[#This Row],[TERMINO REAL ACUMULADO]]</f>
        <v>30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0.19744318181818182</v>
      </c>
      <c r="S150" s="7">
        <f>+AV_PLAN[[#This Row],[TERMINO PLAN ACUMULADO]]/$G$471</f>
        <v>0.16619318181818182</v>
      </c>
      <c r="T150" s="7">
        <f t="shared" si="5"/>
        <v>0.12357954545454546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3</v>
      </c>
      <c r="E151">
        <v>142</v>
      </c>
      <c r="F151">
        <v>1</v>
      </c>
      <c r="G151">
        <v>118</v>
      </c>
      <c r="H151">
        <v>3</v>
      </c>
      <c r="I151">
        <v>90</v>
      </c>
      <c r="J151" t="s">
        <v>812</v>
      </c>
      <c r="K151">
        <f>+WEEKNUM(AV_PLAN[[#This Row],[Días]])</f>
        <v>29</v>
      </c>
      <c r="L151" s="4">
        <f>IFERROR(AV_PLAN[[#This Row],[INICIO REAL ACUMULADO]]/AV_PLAN[[#This Row],[PLAN ACUMULADO]],"")</f>
        <v>0.84523809523809523</v>
      </c>
      <c r="M151" s="4">
        <f>IFERROR(AV_PLAN[[#This Row],[TERMINO REAL ACUMULADO]]/AV_PLAN[[#This Row],[TERMINO PLAN ACUMULADO]],"")</f>
        <v>0.76271186440677963</v>
      </c>
      <c r="N151">
        <f>+AV_PLAN[[#This Row],[PLAN ACUMULADO]]-AV_PLAN[[#This Row],[INICIO REAL ACUMULADO]]</f>
        <v>26</v>
      </c>
      <c r="O151">
        <f>+AV_PLAN[[#This Row],[TERMINO PLAN ACUMULADO]]-AV_PLAN[[#This Row],[TERMINO REAL ACUMULADO]]</f>
        <v>28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0.20170454545454544</v>
      </c>
      <c r="S151" s="7">
        <f>+AV_PLAN[[#This Row],[TERMINO PLAN ACUMULADO]]/$G$471</f>
        <v>0.16761363636363635</v>
      </c>
      <c r="T151" s="7">
        <f t="shared" si="5"/>
        <v>0.12784090909090909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142</v>
      </c>
      <c r="F152">
        <v>3</v>
      </c>
      <c r="G152">
        <v>121</v>
      </c>
      <c r="H152">
        <v>0</v>
      </c>
      <c r="I152">
        <v>90</v>
      </c>
      <c r="J152" t="s">
        <v>812</v>
      </c>
      <c r="K152">
        <f>+WEEKNUM(AV_PLAN[[#This Row],[Días]])</f>
        <v>29</v>
      </c>
      <c r="L152" s="4">
        <f>IFERROR(AV_PLAN[[#This Row],[INICIO REAL ACUMULADO]]/AV_PLAN[[#This Row],[PLAN ACUMULADO]],"")</f>
        <v>0.83529411764705885</v>
      </c>
      <c r="M152" s="4">
        <f>IFERROR(AV_PLAN[[#This Row],[TERMINO REAL ACUMULADO]]/AV_PLAN[[#This Row],[TERMINO PLAN ACUMULADO]],"")</f>
        <v>0.74380165289256195</v>
      </c>
      <c r="N152">
        <f>+AV_PLAN[[#This Row],[PLAN ACUMULADO]]-AV_PLAN[[#This Row],[INICIO REAL ACUMULADO]]</f>
        <v>28</v>
      </c>
      <c r="O152">
        <f>+AV_PLAN[[#This Row],[TERMINO PLAN ACUMULADO]]-AV_PLAN[[#This Row],[TERMINO REAL ACUMULADO]]</f>
        <v>31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0.20170454545454544</v>
      </c>
      <c r="S152" s="7">
        <f>+AV_PLAN[[#This Row],[TERMINO PLAN ACUMULADO]]/$G$471</f>
        <v>0.171875</v>
      </c>
      <c r="T152" s="7">
        <f t="shared" si="5"/>
        <v>0.12784090909090909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2</v>
      </c>
      <c r="E153">
        <v>144</v>
      </c>
      <c r="F153">
        <v>3</v>
      </c>
      <c r="G153">
        <v>124</v>
      </c>
      <c r="H153">
        <v>0</v>
      </c>
      <c r="I153">
        <v>90</v>
      </c>
      <c r="J153" t="s">
        <v>812</v>
      </c>
      <c r="K153">
        <f>+WEEKNUM(AV_PLAN[[#This Row],[Días]])</f>
        <v>29</v>
      </c>
      <c r="L153" s="4">
        <f>IFERROR(AV_PLAN[[#This Row],[INICIO REAL ACUMULADO]]/AV_PLAN[[#This Row],[PLAN ACUMULADO]],"")</f>
        <v>0.83236994219653182</v>
      </c>
      <c r="M153" s="4">
        <f>IFERROR(AV_PLAN[[#This Row],[TERMINO REAL ACUMULADO]]/AV_PLAN[[#This Row],[TERMINO PLAN ACUMULADO]],"")</f>
        <v>0.72580645161290325</v>
      </c>
      <c r="N153">
        <f>+AV_PLAN[[#This Row],[PLAN ACUMULADO]]-AV_PLAN[[#This Row],[INICIO REAL ACUMULADO]]</f>
        <v>29</v>
      </c>
      <c r="O153">
        <f>+AV_PLAN[[#This Row],[TERMINO PLAN ACUMULADO]]-AV_PLAN[[#This Row],[TERMINO REAL ACUMULADO]]</f>
        <v>34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0.20454545454545456</v>
      </c>
      <c r="S153" s="7">
        <f>+AV_PLAN[[#This Row],[TERMINO PLAN ACUMULADO]]/$G$471</f>
        <v>0.17613636363636365</v>
      </c>
      <c r="T153" s="7">
        <f t="shared" si="5"/>
        <v>0.12784090909090909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144</v>
      </c>
      <c r="F154">
        <v>0</v>
      </c>
      <c r="G154">
        <v>124</v>
      </c>
      <c r="H154">
        <v>0</v>
      </c>
      <c r="I154">
        <v>90</v>
      </c>
      <c r="J154" t="s">
        <v>812</v>
      </c>
      <c r="K154">
        <f>+WEEKNUM(AV_PLAN[[#This Row],[Días]])</f>
        <v>29</v>
      </c>
      <c r="L154" s="4">
        <f>IFERROR(AV_PLAN[[#This Row],[INICIO REAL ACUMULADO]]/AV_PLAN[[#This Row],[PLAN ACUMULADO]],"")</f>
        <v>0.83236994219653182</v>
      </c>
      <c r="M154" s="4">
        <f>IFERROR(AV_PLAN[[#This Row],[TERMINO REAL ACUMULADO]]/AV_PLAN[[#This Row],[TERMINO PLAN ACUMULADO]],"")</f>
        <v>0.72580645161290325</v>
      </c>
      <c r="N154">
        <f>+AV_PLAN[[#This Row],[PLAN ACUMULADO]]-AV_PLAN[[#This Row],[INICIO REAL ACUMULADO]]</f>
        <v>29</v>
      </c>
      <c r="O154">
        <f>+AV_PLAN[[#This Row],[TERMINO PLAN ACUMULADO]]-AV_PLAN[[#This Row],[TERMINO REAL ACUMULADO]]</f>
        <v>34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0.20454545454545456</v>
      </c>
      <c r="S154" s="7">
        <f>+AV_PLAN[[#This Row],[TERMINO PLAN ACUMULADO]]/$G$471</f>
        <v>0.17613636363636365</v>
      </c>
      <c r="T154" s="7">
        <f t="shared" si="5"/>
        <v>0.12784090909090909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144</v>
      </c>
      <c r="F155">
        <v>1</v>
      </c>
      <c r="G155">
        <v>125</v>
      </c>
      <c r="H155">
        <v>0</v>
      </c>
      <c r="I155">
        <v>90</v>
      </c>
      <c r="J155" t="s">
        <v>812</v>
      </c>
      <c r="K155">
        <f>+WEEKNUM(AV_PLAN[[#This Row],[Días]])</f>
        <v>30</v>
      </c>
      <c r="L155" s="4">
        <f>IFERROR(AV_PLAN[[#This Row],[INICIO REAL ACUMULADO]]/AV_PLAN[[#This Row],[PLAN ACUMULADO]],"")</f>
        <v>0.83236994219653182</v>
      </c>
      <c r="M155" s="4">
        <f>IFERROR(AV_PLAN[[#This Row],[TERMINO REAL ACUMULADO]]/AV_PLAN[[#This Row],[TERMINO PLAN ACUMULADO]],"")</f>
        <v>0.72</v>
      </c>
      <c r="N155">
        <f>+AV_PLAN[[#This Row],[PLAN ACUMULADO]]-AV_PLAN[[#This Row],[INICIO REAL ACUMULADO]]</f>
        <v>29</v>
      </c>
      <c r="O155">
        <f>+AV_PLAN[[#This Row],[TERMINO PLAN ACUMULADO]]-AV_PLAN[[#This Row],[TERMINO REAL ACUMULADO]]</f>
        <v>35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0.20454545454545456</v>
      </c>
      <c r="S155" s="7">
        <f>+AV_PLAN[[#This Row],[TERMINO PLAN ACUMULADO]]/$G$471</f>
        <v>0.17755681818181818</v>
      </c>
      <c r="T155" s="7">
        <f t="shared" si="5"/>
        <v>0.12784090909090909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144</v>
      </c>
      <c r="F156">
        <v>1</v>
      </c>
      <c r="G156">
        <v>126</v>
      </c>
      <c r="H156">
        <v>0</v>
      </c>
      <c r="I156">
        <v>90</v>
      </c>
      <c r="J156" t="s">
        <v>812</v>
      </c>
      <c r="K156">
        <f>+WEEKNUM(AV_PLAN[[#This Row],[Días]])</f>
        <v>30</v>
      </c>
      <c r="L156" s="4">
        <f>IFERROR(AV_PLAN[[#This Row],[INICIO REAL ACUMULADO]]/AV_PLAN[[#This Row],[PLAN ACUMULADO]],"")</f>
        <v>0.82285714285714284</v>
      </c>
      <c r="M156" s="4">
        <f>IFERROR(AV_PLAN[[#This Row],[TERMINO REAL ACUMULADO]]/AV_PLAN[[#This Row],[TERMINO PLAN ACUMULADO]],"")</f>
        <v>0.7142857142857143</v>
      </c>
      <c r="N156">
        <f>+AV_PLAN[[#This Row],[PLAN ACUMULADO]]-AV_PLAN[[#This Row],[INICIO REAL ACUMULADO]]</f>
        <v>31</v>
      </c>
      <c r="O156">
        <f>+AV_PLAN[[#This Row],[TERMINO PLAN ACUMULADO]]-AV_PLAN[[#This Row],[TERMINO REAL ACUMULADO]]</f>
        <v>36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0.20454545454545456</v>
      </c>
      <c r="S156" s="7">
        <f>+AV_PLAN[[#This Row],[TERMINO PLAN ACUMULADO]]/$G$471</f>
        <v>0.17897727272727273</v>
      </c>
      <c r="T156" s="7">
        <f t="shared" si="5"/>
        <v>0.12784090909090909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4</v>
      </c>
      <c r="E157">
        <v>148</v>
      </c>
      <c r="F157">
        <v>3</v>
      </c>
      <c r="G157">
        <v>129</v>
      </c>
      <c r="H157">
        <v>2</v>
      </c>
      <c r="I157">
        <v>92</v>
      </c>
      <c r="J157" t="s">
        <v>812</v>
      </c>
      <c r="K157">
        <f>+WEEKNUM(AV_PLAN[[#This Row],[Días]])</f>
        <v>30</v>
      </c>
      <c r="L157" s="4">
        <f>IFERROR(AV_PLAN[[#This Row],[INICIO REAL ACUMULADO]]/AV_PLAN[[#This Row],[PLAN ACUMULADO]],"")</f>
        <v>0.8314606741573034</v>
      </c>
      <c r="M157" s="4">
        <f>IFERROR(AV_PLAN[[#This Row],[TERMINO REAL ACUMULADO]]/AV_PLAN[[#This Row],[TERMINO PLAN ACUMULADO]],"")</f>
        <v>0.71317829457364346</v>
      </c>
      <c r="N157">
        <f>+AV_PLAN[[#This Row],[PLAN ACUMULADO]]-AV_PLAN[[#This Row],[INICIO REAL ACUMULADO]]</f>
        <v>30</v>
      </c>
      <c r="O157">
        <f>+AV_PLAN[[#This Row],[TERMINO PLAN ACUMULADO]]-AV_PLAN[[#This Row],[TERMINO REAL ACUMULADO]]</f>
        <v>37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0.21022727272727273</v>
      </c>
      <c r="S157" s="7">
        <f>+AV_PLAN[[#This Row],[TERMINO PLAN ACUMULADO]]/$G$471</f>
        <v>0.18323863636363635</v>
      </c>
      <c r="T157" s="7">
        <f t="shared" si="5"/>
        <v>0.13068181818181818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2</v>
      </c>
      <c r="E158">
        <v>150</v>
      </c>
      <c r="F158">
        <v>2</v>
      </c>
      <c r="G158">
        <v>131</v>
      </c>
      <c r="H158">
        <v>5</v>
      </c>
      <c r="I158">
        <v>97</v>
      </c>
      <c r="J158" t="s">
        <v>812</v>
      </c>
      <c r="K158">
        <f>+WEEKNUM(AV_PLAN[[#This Row],[Días]])</f>
        <v>30</v>
      </c>
      <c r="L158" s="4">
        <f>IFERROR(AV_PLAN[[#This Row],[INICIO REAL ACUMULADO]]/AV_PLAN[[#This Row],[PLAN ACUMULADO]],"")</f>
        <v>0.83333333333333337</v>
      </c>
      <c r="M158" s="4">
        <f>IFERROR(AV_PLAN[[#This Row],[TERMINO REAL ACUMULADO]]/AV_PLAN[[#This Row],[TERMINO PLAN ACUMULADO]],"")</f>
        <v>0.74045801526717558</v>
      </c>
      <c r="N158">
        <f>+AV_PLAN[[#This Row],[PLAN ACUMULADO]]-AV_PLAN[[#This Row],[INICIO REAL ACUMULADO]]</f>
        <v>30</v>
      </c>
      <c r="O158">
        <f>+AV_PLAN[[#This Row],[TERMINO PLAN ACUMULADO]]-AV_PLAN[[#This Row],[TERMINO REAL ACUMULADO]]</f>
        <v>34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0.21306818181818182</v>
      </c>
      <c r="S158" s="7">
        <f>+AV_PLAN[[#This Row],[TERMINO PLAN ACUMULADO]]/$G$471</f>
        <v>0.18607954545454544</v>
      </c>
      <c r="T158" s="7">
        <f t="shared" si="5"/>
        <v>0.13778409090909091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2</v>
      </c>
      <c r="E159">
        <v>152</v>
      </c>
      <c r="F159">
        <v>2</v>
      </c>
      <c r="G159">
        <v>133</v>
      </c>
      <c r="H159">
        <v>2</v>
      </c>
      <c r="I159">
        <v>99</v>
      </c>
      <c r="J159" t="s">
        <v>812</v>
      </c>
      <c r="K159">
        <f>+WEEKNUM(AV_PLAN[[#This Row],[Días]])</f>
        <v>30</v>
      </c>
      <c r="L159" s="4">
        <f>IFERROR(AV_PLAN[[#This Row],[INICIO REAL ACUMULADO]]/AV_PLAN[[#This Row],[PLAN ACUMULADO]],"")</f>
        <v>0.8306010928961749</v>
      </c>
      <c r="M159" s="4">
        <f>IFERROR(AV_PLAN[[#This Row],[TERMINO REAL ACUMULADO]]/AV_PLAN[[#This Row],[TERMINO PLAN ACUMULADO]],"")</f>
        <v>0.74436090225563911</v>
      </c>
      <c r="N159">
        <f>+AV_PLAN[[#This Row],[PLAN ACUMULADO]]-AV_PLAN[[#This Row],[INICIO REAL ACUMULADO]]</f>
        <v>31</v>
      </c>
      <c r="O159">
        <f>+AV_PLAN[[#This Row],[TERMINO PLAN ACUMULADO]]-AV_PLAN[[#This Row],[TERMINO REAL ACUMULADO]]</f>
        <v>34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0.21590909090909091</v>
      </c>
      <c r="S159" s="7">
        <f>+AV_PLAN[[#This Row],[TERMINO PLAN ACUMULADO]]/$G$471</f>
        <v>0.18892045454545456</v>
      </c>
      <c r="T159" s="7">
        <f t="shared" si="5"/>
        <v>0.140625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2</v>
      </c>
      <c r="E160">
        <v>154</v>
      </c>
      <c r="F160">
        <v>2</v>
      </c>
      <c r="G160">
        <v>135</v>
      </c>
      <c r="H160">
        <v>3</v>
      </c>
      <c r="I160">
        <v>102</v>
      </c>
      <c r="J160" t="s">
        <v>812</v>
      </c>
      <c r="K160">
        <f>+WEEKNUM(AV_PLAN[[#This Row],[Días]])</f>
        <v>30</v>
      </c>
      <c r="L160" s="4">
        <f>IFERROR(AV_PLAN[[#This Row],[INICIO REAL ACUMULADO]]/AV_PLAN[[#This Row],[PLAN ACUMULADO]],"")</f>
        <v>0.83243243243243248</v>
      </c>
      <c r="M160" s="4">
        <f>IFERROR(AV_PLAN[[#This Row],[TERMINO REAL ACUMULADO]]/AV_PLAN[[#This Row],[TERMINO PLAN ACUMULADO]],"")</f>
        <v>0.75555555555555554</v>
      </c>
      <c r="N160">
        <f>+AV_PLAN[[#This Row],[PLAN ACUMULADO]]-AV_PLAN[[#This Row],[INICIO REAL ACUMULADO]]</f>
        <v>31</v>
      </c>
      <c r="O160">
        <f>+AV_PLAN[[#This Row],[TERMINO PLAN ACUMULADO]]-AV_PLAN[[#This Row],[TERMINO REAL ACUMULADO]]</f>
        <v>33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0.21875</v>
      </c>
      <c r="S160" s="7">
        <f>+AV_PLAN[[#This Row],[TERMINO PLAN ACUMULADO]]/$G$471</f>
        <v>0.19176136363636365</v>
      </c>
      <c r="T160" s="7">
        <f t="shared" si="5"/>
        <v>0.14488636363636365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154</v>
      </c>
      <c r="F161">
        <v>1</v>
      </c>
      <c r="G161">
        <v>136</v>
      </c>
      <c r="H161">
        <v>0</v>
      </c>
      <c r="I161">
        <v>102</v>
      </c>
      <c r="J161" t="s">
        <v>812</v>
      </c>
      <c r="K161">
        <f>+WEEKNUM(AV_PLAN[[#This Row],[Días]])</f>
        <v>30</v>
      </c>
      <c r="L161" s="4">
        <f>IFERROR(AV_PLAN[[#This Row],[INICIO REAL ACUMULADO]]/AV_PLAN[[#This Row],[PLAN ACUMULADO]],"")</f>
        <v>0.83243243243243248</v>
      </c>
      <c r="M161" s="4">
        <f>IFERROR(AV_PLAN[[#This Row],[TERMINO REAL ACUMULADO]]/AV_PLAN[[#This Row],[TERMINO PLAN ACUMULADO]],"")</f>
        <v>0.75</v>
      </c>
      <c r="N161">
        <f>+AV_PLAN[[#This Row],[PLAN ACUMULADO]]-AV_PLAN[[#This Row],[INICIO REAL ACUMULADO]]</f>
        <v>31</v>
      </c>
      <c r="O161">
        <f>+AV_PLAN[[#This Row],[TERMINO PLAN ACUMULADO]]-AV_PLAN[[#This Row],[TERMINO REAL ACUMULADO]]</f>
        <v>34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0.21875</v>
      </c>
      <c r="S161" s="7">
        <f>+AV_PLAN[[#This Row],[TERMINO PLAN ACUMULADO]]/$G$471</f>
        <v>0.19318181818181818</v>
      </c>
      <c r="T161" s="7">
        <f t="shared" si="5"/>
        <v>0.14488636363636365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154</v>
      </c>
      <c r="F162">
        <v>2</v>
      </c>
      <c r="G162">
        <v>138</v>
      </c>
      <c r="H162">
        <v>0</v>
      </c>
      <c r="I162">
        <v>102</v>
      </c>
      <c r="J162" t="s">
        <v>812</v>
      </c>
      <c r="K162">
        <f>+WEEKNUM(AV_PLAN[[#This Row],[Días]])</f>
        <v>31</v>
      </c>
      <c r="L162" s="4">
        <f>IFERROR(AV_PLAN[[#This Row],[INICIO REAL ACUMULADO]]/AV_PLAN[[#This Row],[PLAN ACUMULADO]],"")</f>
        <v>0.83243243243243248</v>
      </c>
      <c r="M162" s="4">
        <f>IFERROR(AV_PLAN[[#This Row],[TERMINO REAL ACUMULADO]]/AV_PLAN[[#This Row],[TERMINO PLAN ACUMULADO]],"")</f>
        <v>0.73913043478260865</v>
      </c>
      <c r="N162">
        <f>+AV_PLAN[[#This Row],[PLAN ACUMULADO]]-AV_PLAN[[#This Row],[INICIO REAL ACUMULADO]]</f>
        <v>31</v>
      </c>
      <c r="O162">
        <f>+AV_PLAN[[#This Row],[TERMINO PLAN ACUMULADO]]-AV_PLAN[[#This Row],[TERMINO REAL ACUMULADO]]</f>
        <v>36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0.21875</v>
      </c>
      <c r="S162" s="7">
        <f>+AV_PLAN[[#This Row],[TERMINO PLAN ACUMULADO]]/$G$471</f>
        <v>0.19602272727272727</v>
      </c>
      <c r="T162" s="7">
        <f t="shared" si="5"/>
        <v>0.14488636363636365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2</v>
      </c>
      <c r="E163">
        <v>156</v>
      </c>
      <c r="F163">
        <v>2</v>
      </c>
      <c r="G163">
        <v>140</v>
      </c>
      <c r="H163">
        <v>3</v>
      </c>
      <c r="I163">
        <v>105</v>
      </c>
      <c r="J163" t="s">
        <v>812</v>
      </c>
      <c r="K163">
        <f>+WEEKNUM(AV_PLAN[[#This Row],[Días]])</f>
        <v>31</v>
      </c>
      <c r="L163" s="4">
        <f>IFERROR(AV_PLAN[[#This Row],[INICIO REAL ACUMULADO]]/AV_PLAN[[#This Row],[PLAN ACUMULADO]],"")</f>
        <v>0.82978723404255317</v>
      </c>
      <c r="M163" s="4">
        <f>IFERROR(AV_PLAN[[#This Row],[TERMINO REAL ACUMULADO]]/AV_PLAN[[#This Row],[TERMINO PLAN ACUMULADO]],"")</f>
        <v>0.75</v>
      </c>
      <c r="N163">
        <f>+AV_PLAN[[#This Row],[PLAN ACUMULADO]]-AV_PLAN[[#This Row],[INICIO REAL ACUMULADO]]</f>
        <v>32</v>
      </c>
      <c r="O163">
        <f>+AV_PLAN[[#This Row],[TERMINO PLAN ACUMULADO]]-AV_PLAN[[#This Row],[TERMINO REAL ACUMULADO]]</f>
        <v>35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0.22159090909090909</v>
      </c>
      <c r="S163" s="7">
        <f>+AV_PLAN[[#This Row],[TERMINO PLAN ACUMULADO]]/$G$471</f>
        <v>0.19886363636363635</v>
      </c>
      <c r="T163" s="7">
        <f t="shared" si="5"/>
        <v>0.14914772727272727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4</v>
      </c>
      <c r="E164">
        <v>160</v>
      </c>
      <c r="F164">
        <v>3</v>
      </c>
      <c r="G164">
        <v>143</v>
      </c>
      <c r="H164">
        <v>1</v>
      </c>
      <c r="I164">
        <v>106</v>
      </c>
      <c r="J164" t="s">
        <v>812</v>
      </c>
      <c r="K164">
        <f>+WEEKNUM(AV_PLAN[[#This Row],[Días]])</f>
        <v>31</v>
      </c>
      <c r="L164" s="4">
        <f>IFERROR(AV_PLAN[[#This Row],[INICIO REAL ACUMULADO]]/AV_PLAN[[#This Row],[PLAN ACUMULADO]],"")</f>
        <v>0.84210526315789469</v>
      </c>
      <c r="M164" s="4">
        <f>IFERROR(AV_PLAN[[#This Row],[TERMINO REAL ACUMULADO]]/AV_PLAN[[#This Row],[TERMINO PLAN ACUMULADO]],"")</f>
        <v>0.74125874125874125</v>
      </c>
      <c r="N164">
        <f>+AV_PLAN[[#This Row],[PLAN ACUMULADO]]-AV_PLAN[[#This Row],[INICIO REAL ACUMULADO]]</f>
        <v>30</v>
      </c>
      <c r="O164">
        <f>+AV_PLAN[[#This Row],[TERMINO PLAN ACUMULADO]]-AV_PLAN[[#This Row],[TERMINO REAL ACUMULADO]]</f>
        <v>37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0.22727272727272727</v>
      </c>
      <c r="S164" s="7">
        <f>+AV_PLAN[[#This Row],[TERMINO PLAN ACUMULADO]]/$G$471</f>
        <v>0.203125</v>
      </c>
      <c r="T164" s="7">
        <f t="shared" si="5"/>
        <v>0.15056818181818182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160</v>
      </c>
      <c r="F165">
        <v>2</v>
      </c>
      <c r="G165">
        <v>145</v>
      </c>
      <c r="H165">
        <v>3</v>
      </c>
      <c r="I165">
        <v>109</v>
      </c>
      <c r="J165" t="s">
        <v>812</v>
      </c>
      <c r="K165">
        <f>+WEEKNUM(AV_PLAN[[#This Row],[Días]])</f>
        <v>31</v>
      </c>
      <c r="L165" s="4">
        <f>IFERROR(AV_PLAN[[#This Row],[INICIO REAL ACUMULADO]]/AV_PLAN[[#This Row],[PLAN ACUMULADO]],"")</f>
        <v>0.82901554404145072</v>
      </c>
      <c r="M165" s="4">
        <f>IFERROR(AV_PLAN[[#This Row],[TERMINO REAL ACUMULADO]]/AV_PLAN[[#This Row],[TERMINO PLAN ACUMULADO]],"")</f>
        <v>0.75172413793103443</v>
      </c>
      <c r="N165">
        <f>+AV_PLAN[[#This Row],[PLAN ACUMULADO]]-AV_PLAN[[#This Row],[INICIO REAL ACUMULADO]]</f>
        <v>33</v>
      </c>
      <c r="O165">
        <f>+AV_PLAN[[#This Row],[TERMINO PLAN ACUMULADO]]-AV_PLAN[[#This Row],[TERMINO REAL ACUMULADO]]</f>
        <v>36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0.22727272727272727</v>
      </c>
      <c r="S165" s="7">
        <f>+AV_PLAN[[#This Row],[TERMINO PLAN ACUMULADO]]/$G$471</f>
        <v>0.20596590909090909</v>
      </c>
      <c r="T165" s="7">
        <f t="shared" si="5"/>
        <v>0.15482954545454544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160</v>
      </c>
      <c r="F166">
        <v>0</v>
      </c>
      <c r="G166">
        <v>145</v>
      </c>
      <c r="H166">
        <v>0</v>
      </c>
      <c r="I166">
        <v>109</v>
      </c>
      <c r="J166" t="s">
        <v>812</v>
      </c>
      <c r="K166">
        <f>+WEEKNUM(AV_PLAN[[#This Row],[Días]])</f>
        <v>31</v>
      </c>
      <c r="L166" s="4">
        <f>IFERROR(AV_PLAN[[#This Row],[INICIO REAL ACUMULADO]]/AV_PLAN[[#This Row],[PLAN ACUMULADO]],"")</f>
        <v>0.82051282051282048</v>
      </c>
      <c r="M166" s="4">
        <f>IFERROR(AV_PLAN[[#This Row],[TERMINO REAL ACUMULADO]]/AV_PLAN[[#This Row],[TERMINO PLAN ACUMULADO]],"")</f>
        <v>0.75172413793103443</v>
      </c>
      <c r="N166">
        <f>+AV_PLAN[[#This Row],[PLAN ACUMULADO]]-AV_PLAN[[#This Row],[INICIO REAL ACUMULADO]]</f>
        <v>35</v>
      </c>
      <c r="O166">
        <f>+AV_PLAN[[#This Row],[TERMINO PLAN ACUMULADO]]-AV_PLAN[[#This Row],[TERMINO REAL ACUMULADO]]</f>
        <v>36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0.22727272727272727</v>
      </c>
      <c r="S166" s="7">
        <f>+AV_PLAN[[#This Row],[TERMINO PLAN ACUMULADO]]/$G$471</f>
        <v>0.20596590909090909</v>
      </c>
      <c r="T166" s="7">
        <f t="shared" si="5"/>
        <v>0.15482954545454544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160</v>
      </c>
      <c r="F167">
        <v>3</v>
      </c>
      <c r="G167">
        <v>148</v>
      </c>
      <c r="H167">
        <v>0</v>
      </c>
      <c r="I167">
        <v>109</v>
      </c>
      <c r="J167" t="s">
        <v>812</v>
      </c>
      <c r="K167">
        <f>+WEEKNUM(AV_PLAN[[#This Row],[Días]])</f>
        <v>31</v>
      </c>
      <c r="L167" s="4">
        <f>IFERROR(AV_PLAN[[#This Row],[INICIO REAL ACUMULADO]]/AV_PLAN[[#This Row],[PLAN ACUMULADO]],"")</f>
        <v>0.80808080808080807</v>
      </c>
      <c r="M167" s="4">
        <f>IFERROR(AV_PLAN[[#This Row],[TERMINO REAL ACUMULADO]]/AV_PLAN[[#This Row],[TERMINO PLAN ACUMULADO]],"")</f>
        <v>0.73648648648648651</v>
      </c>
      <c r="N167">
        <f>+AV_PLAN[[#This Row],[PLAN ACUMULADO]]-AV_PLAN[[#This Row],[INICIO REAL ACUMULADO]]</f>
        <v>38</v>
      </c>
      <c r="O167">
        <f>+AV_PLAN[[#This Row],[TERMINO PLAN ACUMULADO]]-AV_PLAN[[#This Row],[TERMINO REAL ACUMULADO]]</f>
        <v>39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0.22727272727272727</v>
      </c>
      <c r="S167" s="7">
        <f>+AV_PLAN[[#This Row],[TERMINO PLAN ACUMULADO]]/$G$471</f>
        <v>0.21022727272727273</v>
      </c>
      <c r="T167" s="7">
        <f t="shared" si="5"/>
        <v>0.15482954545454544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160</v>
      </c>
      <c r="F168">
        <v>2</v>
      </c>
      <c r="G168">
        <v>150</v>
      </c>
      <c r="H168">
        <v>0</v>
      </c>
      <c r="I168">
        <v>109</v>
      </c>
      <c r="J168" t="s">
        <v>813</v>
      </c>
      <c r="K168">
        <f>+WEEKNUM(AV_PLAN[[#This Row],[Días]])</f>
        <v>31</v>
      </c>
      <c r="L168" s="4">
        <f>IFERROR(AV_PLAN[[#This Row],[INICIO REAL ACUMULADO]]/AV_PLAN[[#This Row],[PLAN ACUMULADO]],"")</f>
        <v>0.80808080808080807</v>
      </c>
      <c r="M168" s="4">
        <f>IFERROR(AV_PLAN[[#This Row],[TERMINO REAL ACUMULADO]]/AV_PLAN[[#This Row],[TERMINO PLAN ACUMULADO]],"")</f>
        <v>0.72666666666666668</v>
      </c>
      <c r="N168">
        <f>+AV_PLAN[[#This Row],[PLAN ACUMULADO]]-AV_PLAN[[#This Row],[INICIO REAL ACUMULADO]]</f>
        <v>38</v>
      </c>
      <c r="O168">
        <f>+AV_PLAN[[#This Row],[TERMINO PLAN ACUMULADO]]-AV_PLAN[[#This Row],[TERMINO REAL ACUMULADO]]</f>
        <v>41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0.22727272727272727</v>
      </c>
      <c r="S168" s="7">
        <f>+AV_PLAN[[#This Row],[TERMINO PLAN ACUMULADO]]/$G$471</f>
        <v>0.21306818181818182</v>
      </c>
      <c r="T168" s="7">
        <f t="shared" si="5"/>
        <v>0.15482954545454544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160</v>
      </c>
      <c r="F169">
        <v>3</v>
      </c>
      <c r="G169">
        <v>153</v>
      </c>
      <c r="H169">
        <v>0</v>
      </c>
      <c r="I169">
        <v>109</v>
      </c>
      <c r="J169" t="s">
        <v>813</v>
      </c>
      <c r="K169">
        <f>+WEEKNUM(AV_PLAN[[#This Row],[Días]])</f>
        <v>32</v>
      </c>
      <c r="L169" s="4">
        <f>IFERROR(AV_PLAN[[#This Row],[INICIO REAL ACUMULADO]]/AV_PLAN[[#This Row],[PLAN ACUMULADO]],"")</f>
        <v>0.80808080808080807</v>
      </c>
      <c r="M169" s="4">
        <f>IFERROR(AV_PLAN[[#This Row],[TERMINO REAL ACUMULADO]]/AV_PLAN[[#This Row],[TERMINO PLAN ACUMULADO]],"")</f>
        <v>0.71241830065359479</v>
      </c>
      <c r="N169">
        <f>+AV_PLAN[[#This Row],[PLAN ACUMULADO]]-AV_PLAN[[#This Row],[INICIO REAL ACUMULADO]]</f>
        <v>38</v>
      </c>
      <c r="O169">
        <f>+AV_PLAN[[#This Row],[TERMINO PLAN ACUMULADO]]-AV_PLAN[[#This Row],[TERMINO REAL ACUMULADO]]</f>
        <v>44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0.22727272727272727</v>
      </c>
      <c r="S169" s="7">
        <f>+AV_PLAN[[#This Row],[TERMINO PLAN ACUMULADO]]/$G$471</f>
        <v>0.21732954545454544</v>
      </c>
      <c r="T169" s="7">
        <f t="shared" si="5"/>
        <v>0.15482954545454544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160</v>
      </c>
      <c r="F170">
        <v>2</v>
      </c>
      <c r="G170">
        <v>155</v>
      </c>
      <c r="H170">
        <v>0</v>
      </c>
      <c r="I170">
        <v>109</v>
      </c>
      <c r="J170" t="s">
        <v>813</v>
      </c>
      <c r="K170">
        <f>+WEEKNUM(AV_PLAN[[#This Row],[Días]])</f>
        <v>32</v>
      </c>
      <c r="L170" s="4">
        <f>IFERROR(AV_PLAN[[#This Row],[INICIO REAL ACUMULADO]]/AV_PLAN[[#This Row],[PLAN ACUMULADO]],"")</f>
        <v>0.8</v>
      </c>
      <c r="M170" s="4">
        <f>IFERROR(AV_PLAN[[#This Row],[TERMINO REAL ACUMULADO]]/AV_PLAN[[#This Row],[TERMINO PLAN ACUMULADO]],"")</f>
        <v>0.70322580645161292</v>
      </c>
      <c r="N170">
        <f>+AV_PLAN[[#This Row],[PLAN ACUMULADO]]-AV_PLAN[[#This Row],[INICIO REAL ACUMULADO]]</f>
        <v>40</v>
      </c>
      <c r="O170">
        <f>+AV_PLAN[[#This Row],[TERMINO PLAN ACUMULADO]]-AV_PLAN[[#This Row],[TERMINO REAL ACUMULADO]]</f>
        <v>46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0.22727272727272727</v>
      </c>
      <c r="S170" s="7">
        <f>+AV_PLAN[[#This Row],[TERMINO PLAN ACUMULADO]]/$G$471</f>
        <v>0.22017045454545456</v>
      </c>
      <c r="T170" s="7">
        <f t="shared" si="5"/>
        <v>0.15482954545454544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160</v>
      </c>
      <c r="F171">
        <v>3</v>
      </c>
      <c r="G171">
        <v>158</v>
      </c>
      <c r="H171">
        <v>0</v>
      </c>
      <c r="I171">
        <v>109</v>
      </c>
      <c r="J171" t="s">
        <v>813</v>
      </c>
      <c r="K171">
        <f>+WEEKNUM(AV_PLAN[[#This Row],[Días]])</f>
        <v>32</v>
      </c>
      <c r="L171" s="4">
        <f>IFERROR(AV_PLAN[[#This Row],[INICIO REAL ACUMULADO]]/AV_PLAN[[#This Row],[PLAN ACUMULADO]],"")</f>
        <v>0.78817733990147787</v>
      </c>
      <c r="M171" s="4">
        <f>IFERROR(AV_PLAN[[#This Row],[TERMINO REAL ACUMULADO]]/AV_PLAN[[#This Row],[TERMINO PLAN ACUMULADO]],"")</f>
        <v>0.689873417721519</v>
      </c>
      <c r="N171">
        <f>+AV_PLAN[[#This Row],[PLAN ACUMULADO]]-AV_PLAN[[#This Row],[INICIO REAL ACUMULADO]]</f>
        <v>43</v>
      </c>
      <c r="O171">
        <f>+AV_PLAN[[#This Row],[TERMINO PLAN ACUMULADO]]-AV_PLAN[[#This Row],[TERMINO REAL ACUMULADO]]</f>
        <v>49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0.22727272727272727</v>
      </c>
      <c r="S171" s="7">
        <f>+AV_PLAN[[#This Row],[TERMINO PLAN ACUMULADO]]/$G$471</f>
        <v>0.22443181818181818</v>
      </c>
      <c r="T171" s="7">
        <f t="shared" si="5"/>
        <v>0.15482954545454544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160</v>
      </c>
      <c r="F172">
        <v>1</v>
      </c>
      <c r="G172">
        <v>159</v>
      </c>
      <c r="H172">
        <v>0</v>
      </c>
      <c r="I172">
        <v>109</v>
      </c>
      <c r="J172" t="s">
        <v>813</v>
      </c>
      <c r="K172">
        <f>+WEEKNUM(AV_PLAN[[#This Row],[Días]])</f>
        <v>32</v>
      </c>
      <c r="L172" s="4">
        <f>IFERROR(AV_PLAN[[#This Row],[INICIO REAL ACUMULADO]]/AV_PLAN[[#This Row],[PLAN ACUMULADO]],"")</f>
        <v>0.78048780487804881</v>
      </c>
      <c r="M172" s="4">
        <f>IFERROR(AV_PLAN[[#This Row],[TERMINO REAL ACUMULADO]]/AV_PLAN[[#This Row],[TERMINO PLAN ACUMULADO]],"")</f>
        <v>0.68553459119496851</v>
      </c>
      <c r="N172">
        <f>+AV_PLAN[[#This Row],[PLAN ACUMULADO]]-AV_PLAN[[#This Row],[INICIO REAL ACUMULADO]]</f>
        <v>45</v>
      </c>
      <c r="O172">
        <f>+AV_PLAN[[#This Row],[TERMINO PLAN ACUMULADO]]-AV_PLAN[[#This Row],[TERMINO REAL ACUMULADO]]</f>
        <v>50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0.22727272727272727</v>
      </c>
      <c r="S172" s="7">
        <f>+AV_PLAN[[#This Row],[TERMINO PLAN ACUMULADO]]/$G$471</f>
        <v>0.22585227272727273</v>
      </c>
      <c r="T172" s="7">
        <f t="shared" si="5"/>
        <v>0.15482954545454544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160</v>
      </c>
      <c r="F173">
        <v>2</v>
      </c>
      <c r="G173">
        <v>161</v>
      </c>
      <c r="H173">
        <v>0</v>
      </c>
      <c r="I173">
        <v>109</v>
      </c>
      <c r="J173" t="s">
        <v>813</v>
      </c>
      <c r="K173">
        <f>+WEEKNUM(AV_PLAN[[#This Row],[Días]])</f>
        <v>32</v>
      </c>
      <c r="L173" s="4">
        <f>IFERROR(AV_PLAN[[#This Row],[INICIO REAL ACUMULADO]]/AV_PLAN[[#This Row],[PLAN ACUMULADO]],"")</f>
        <v>0.76923076923076927</v>
      </c>
      <c r="M173" s="4">
        <f>IFERROR(AV_PLAN[[#This Row],[TERMINO REAL ACUMULADO]]/AV_PLAN[[#This Row],[TERMINO PLAN ACUMULADO]],"")</f>
        <v>0.67701863354037262</v>
      </c>
      <c r="N173">
        <f>+AV_PLAN[[#This Row],[PLAN ACUMULADO]]-AV_PLAN[[#This Row],[INICIO REAL ACUMULADO]]</f>
        <v>48</v>
      </c>
      <c r="O173">
        <f>+AV_PLAN[[#This Row],[TERMINO PLAN ACUMULADO]]-AV_PLAN[[#This Row],[TERMINO REAL ACUMULADO]]</f>
        <v>52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0.22727272727272727</v>
      </c>
      <c r="S173" s="7">
        <f>+AV_PLAN[[#This Row],[TERMINO PLAN ACUMULADO]]/$G$471</f>
        <v>0.22869318181818182</v>
      </c>
      <c r="T173" s="7">
        <f t="shared" si="5"/>
        <v>0.15482954545454544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160</v>
      </c>
      <c r="F174">
        <v>1</v>
      </c>
      <c r="G174">
        <v>162</v>
      </c>
      <c r="H174">
        <v>0</v>
      </c>
      <c r="I174">
        <v>109</v>
      </c>
      <c r="J174" t="s">
        <v>813</v>
      </c>
      <c r="K174">
        <f>+WEEKNUM(AV_PLAN[[#This Row],[Días]])</f>
        <v>32</v>
      </c>
      <c r="L174" s="4">
        <f>IFERROR(AV_PLAN[[#This Row],[INICIO REAL ACUMULADO]]/AV_PLAN[[#This Row],[PLAN ACUMULADO]],"")</f>
        <v>0.76190476190476186</v>
      </c>
      <c r="M174" s="4">
        <f>IFERROR(AV_PLAN[[#This Row],[TERMINO REAL ACUMULADO]]/AV_PLAN[[#This Row],[TERMINO PLAN ACUMULADO]],"")</f>
        <v>0.6728395061728395</v>
      </c>
      <c r="N174">
        <f>+AV_PLAN[[#This Row],[PLAN ACUMULADO]]-AV_PLAN[[#This Row],[INICIO REAL ACUMULADO]]</f>
        <v>50</v>
      </c>
      <c r="O174">
        <f>+AV_PLAN[[#This Row],[TERMINO PLAN ACUMULADO]]-AV_PLAN[[#This Row],[TERMINO REAL ACUMULADO]]</f>
        <v>53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0.22727272727272727</v>
      </c>
      <c r="S174" s="7">
        <f>+AV_PLAN[[#This Row],[TERMINO PLAN ACUMULADO]]/$G$471</f>
        <v>0.23011363636363635</v>
      </c>
      <c r="T174" s="7">
        <f t="shared" si="5"/>
        <v>0.15482954545454544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160</v>
      </c>
      <c r="F175">
        <v>1</v>
      </c>
      <c r="G175">
        <v>163</v>
      </c>
      <c r="H175">
        <v>0</v>
      </c>
      <c r="I175">
        <v>109</v>
      </c>
      <c r="J175" t="s">
        <v>813</v>
      </c>
      <c r="K175">
        <f>+WEEKNUM(AV_PLAN[[#This Row],[Días]])</f>
        <v>32</v>
      </c>
      <c r="L175" s="4">
        <f>IFERROR(AV_PLAN[[#This Row],[INICIO REAL ACUMULADO]]/AV_PLAN[[#This Row],[PLAN ACUMULADO]],"")</f>
        <v>0.76190476190476186</v>
      </c>
      <c r="M175" s="4">
        <f>IFERROR(AV_PLAN[[#This Row],[TERMINO REAL ACUMULADO]]/AV_PLAN[[#This Row],[TERMINO PLAN ACUMULADO]],"")</f>
        <v>0.66871165644171782</v>
      </c>
      <c r="N175">
        <f>+AV_PLAN[[#This Row],[PLAN ACUMULADO]]-AV_PLAN[[#This Row],[INICIO REAL ACUMULADO]]</f>
        <v>50</v>
      </c>
      <c r="O175">
        <f>+AV_PLAN[[#This Row],[TERMINO PLAN ACUMULADO]]-AV_PLAN[[#This Row],[TERMINO REAL ACUMULADO]]</f>
        <v>54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0.22727272727272727</v>
      </c>
      <c r="S175" s="7">
        <f>+AV_PLAN[[#This Row],[TERMINO PLAN ACUMULADO]]/$G$471</f>
        <v>0.23153409090909091</v>
      </c>
      <c r="T175" s="7">
        <f t="shared" si="5"/>
        <v>0.15482954545454544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160</v>
      </c>
      <c r="F176">
        <v>2</v>
      </c>
      <c r="G176">
        <v>165</v>
      </c>
      <c r="H176">
        <v>0</v>
      </c>
      <c r="I176">
        <v>109</v>
      </c>
      <c r="J176" t="s">
        <v>813</v>
      </c>
      <c r="K176">
        <f>+WEEKNUM(AV_PLAN[[#This Row],[Días]])</f>
        <v>33</v>
      </c>
      <c r="L176" s="4">
        <f>IFERROR(AV_PLAN[[#This Row],[INICIO REAL ACUMULADO]]/AV_PLAN[[#This Row],[PLAN ACUMULADO]],"")</f>
        <v>0.76190476190476186</v>
      </c>
      <c r="M176" s="4">
        <f>IFERROR(AV_PLAN[[#This Row],[TERMINO REAL ACUMULADO]]/AV_PLAN[[#This Row],[TERMINO PLAN ACUMULADO]],"")</f>
        <v>0.66060606060606064</v>
      </c>
      <c r="N176">
        <f>+AV_PLAN[[#This Row],[PLAN ACUMULADO]]-AV_PLAN[[#This Row],[INICIO REAL ACUMULADO]]</f>
        <v>50</v>
      </c>
      <c r="O176">
        <f>+AV_PLAN[[#This Row],[TERMINO PLAN ACUMULADO]]-AV_PLAN[[#This Row],[TERMINO REAL ACUMULADO]]</f>
        <v>56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0.22727272727272727</v>
      </c>
      <c r="S176" s="7">
        <f>+AV_PLAN[[#This Row],[TERMINO PLAN ACUMULADO]]/$G$471</f>
        <v>0.234375</v>
      </c>
      <c r="T176" s="7">
        <f t="shared" si="5"/>
        <v>0.15482954545454544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160</v>
      </c>
      <c r="F177">
        <v>3</v>
      </c>
      <c r="G177">
        <v>168</v>
      </c>
      <c r="H177">
        <v>0</v>
      </c>
      <c r="I177">
        <v>109</v>
      </c>
      <c r="J177" t="s">
        <v>813</v>
      </c>
      <c r="K177">
        <f>+WEEKNUM(AV_PLAN[[#This Row],[Días]])</f>
        <v>33</v>
      </c>
      <c r="L177" s="4">
        <f>IFERROR(AV_PLAN[[#This Row],[INICIO REAL ACUMULADO]]/AV_PLAN[[#This Row],[PLAN ACUMULADO]],"")</f>
        <v>0.75117370892018775</v>
      </c>
      <c r="M177" s="4">
        <f>IFERROR(AV_PLAN[[#This Row],[TERMINO REAL ACUMULADO]]/AV_PLAN[[#This Row],[TERMINO PLAN ACUMULADO]],"")</f>
        <v>0.64880952380952384</v>
      </c>
      <c r="N177">
        <f>+AV_PLAN[[#This Row],[PLAN ACUMULADO]]-AV_PLAN[[#This Row],[INICIO REAL ACUMULADO]]</f>
        <v>53</v>
      </c>
      <c r="O177">
        <f>+AV_PLAN[[#This Row],[TERMINO PLAN ACUMULADO]]-AV_PLAN[[#This Row],[TERMINO REAL ACUMULADO]]</f>
        <v>59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0.22727272727272727</v>
      </c>
      <c r="S177" s="7">
        <f>+AV_PLAN[[#This Row],[TERMINO PLAN ACUMULADO]]/$G$471</f>
        <v>0.23863636363636365</v>
      </c>
      <c r="T177" s="7">
        <f t="shared" si="5"/>
        <v>0.15482954545454544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160</v>
      </c>
      <c r="F178">
        <v>2</v>
      </c>
      <c r="G178">
        <v>170</v>
      </c>
      <c r="H178">
        <v>0</v>
      </c>
      <c r="I178">
        <v>109</v>
      </c>
      <c r="J178" t="s">
        <v>813</v>
      </c>
      <c r="K178">
        <f>+WEEKNUM(AV_PLAN[[#This Row],[Días]])</f>
        <v>33</v>
      </c>
      <c r="L178" s="4">
        <f>IFERROR(AV_PLAN[[#This Row],[INICIO REAL ACUMULADO]]/AV_PLAN[[#This Row],[PLAN ACUMULADO]],"")</f>
        <v>0.7441860465116279</v>
      </c>
      <c r="M178" s="4">
        <f>IFERROR(AV_PLAN[[#This Row],[TERMINO REAL ACUMULADO]]/AV_PLAN[[#This Row],[TERMINO PLAN ACUMULADO]],"")</f>
        <v>0.64117647058823535</v>
      </c>
      <c r="N178">
        <f>+AV_PLAN[[#This Row],[PLAN ACUMULADO]]-AV_PLAN[[#This Row],[INICIO REAL ACUMULADO]]</f>
        <v>55</v>
      </c>
      <c r="O178">
        <f>+AV_PLAN[[#This Row],[TERMINO PLAN ACUMULADO]]-AV_PLAN[[#This Row],[TERMINO REAL ACUMULADO]]</f>
        <v>61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0.22727272727272727</v>
      </c>
      <c r="S178" s="7">
        <f>+AV_PLAN[[#This Row],[TERMINO PLAN ACUMULADO]]/$G$471</f>
        <v>0.24147727272727273</v>
      </c>
      <c r="T178" s="7">
        <f t="shared" si="5"/>
        <v>0.15482954545454544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160</v>
      </c>
      <c r="F179">
        <v>3</v>
      </c>
      <c r="G179">
        <v>173</v>
      </c>
      <c r="H179">
        <v>0</v>
      </c>
      <c r="I179">
        <v>109</v>
      </c>
      <c r="J179" t="s">
        <v>813</v>
      </c>
      <c r="K179">
        <f>+WEEKNUM(AV_PLAN[[#This Row],[Días]])</f>
        <v>33</v>
      </c>
      <c r="L179" s="4">
        <f>IFERROR(AV_PLAN[[#This Row],[INICIO REAL ACUMULADO]]/AV_PLAN[[#This Row],[PLAN ACUMULADO]],"")</f>
        <v>0.73394495412844041</v>
      </c>
      <c r="M179" s="4">
        <f>IFERROR(AV_PLAN[[#This Row],[TERMINO REAL ACUMULADO]]/AV_PLAN[[#This Row],[TERMINO PLAN ACUMULADO]],"")</f>
        <v>0.63005780346820806</v>
      </c>
      <c r="N179">
        <f>+AV_PLAN[[#This Row],[PLAN ACUMULADO]]-AV_PLAN[[#This Row],[INICIO REAL ACUMULADO]]</f>
        <v>58</v>
      </c>
      <c r="O179">
        <f>+AV_PLAN[[#This Row],[TERMINO PLAN ACUMULADO]]-AV_PLAN[[#This Row],[TERMINO REAL ACUMULADO]]</f>
        <v>64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0.22727272727272727</v>
      </c>
      <c r="S179" s="7">
        <f>+AV_PLAN[[#This Row],[TERMINO PLAN ACUMULADO]]/$G$471</f>
        <v>0.24573863636363635</v>
      </c>
      <c r="T179" s="7">
        <f t="shared" si="5"/>
        <v>0.15482954545454544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160</v>
      </c>
      <c r="F180">
        <v>2</v>
      </c>
      <c r="G180">
        <v>175</v>
      </c>
      <c r="H180">
        <v>0</v>
      </c>
      <c r="I180">
        <v>109</v>
      </c>
      <c r="J180" t="s">
        <v>813</v>
      </c>
      <c r="K180">
        <f>+WEEKNUM(AV_PLAN[[#This Row],[Días]])</f>
        <v>33</v>
      </c>
      <c r="L180" s="4">
        <f>IFERROR(AV_PLAN[[#This Row],[INICIO REAL ACUMULADO]]/AV_PLAN[[#This Row],[PLAN ACUMULADO]],"")</f>
        <v>0.72727272727272729</v>
      </c>
      <c r="M180" s="4">
        <f>IFERROR(AV_PLAN[[#This Row],[TERMINO REAL ACUMULADO]]/AV_PLAN[[#This Row],[TERMINO PLAN ACUMULADO]],"")</f>
        <v>0.62285714285714289</v>
      </c>
      <c r="N180">
        <f>+AV_PLAN[[#This Row],[PLAN ACUMULADO]]-AV_PLAN[[#This Row],[INICIO REAL ACUMULADO]]</f>
        <v>60</v>
      </c>
      <c r="O180">
        <f>+AV_PLAN[[#This Row],[TERMINO PLAN ACUMULADO]]-AV_PLAN[[#This Row],[TERMINO REAL ACUMULADO]]</f>
        <v>66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0.22727272727272727</v>
      </c>
      <c r="S180" s="7">
        <f>+AV_PLAN[[#This Row],[TERMINO PLAN ACUMULADO]]/$G$471</f>
        <v>0.24857954545454544</v>
      </c>
      <c r="T180" s="7">
        <f t="shared" si="5"/>
        <v>0.15482954545454544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160</v>
      </c>
      <c r="F181">
        <v>2</v>
      </c>
      <c r="G181">
        <v>177</v>
      </c>
      <c r="H181">
        <v>0</v>
      </c>
      <c r="I181">
        <v>109</v>
      </c>
      <c r="J181" t="s">
        <v>813</v>
      </c>
      <c r="K181">
        <f>+WEEKNUM(AV_PLAN[[#This Row],[Días]])</f>
        <v>33</v>
      </c>
      <c r="L181" s="4">
        <f>IFERROR(AV_PLAN[[#This Row],[INICIO REAL ACUMULADO]]/AV_PLAN[[#This Row],[PLAN ACUMULADO]],"")</f>
        <v>0.71748878923766812</v>
      </c>
      <c r="M181" s="4">
        <f>IFERROR(AV_PLAN[[#This Row],[TERMINO REAL ACUMULADO]]/AV_PLAN[[#This Row],[TERMINO PLAN ACUMULADO]],"")</f>
        <v>0.61581920903954801</v>
      </c>
      <c r="N181">
        <f>+AV_PLAN[[#This Row],[PLAN ACUMULADO]]-AV_PLAN[[#This Row],[INICIO REAL ACUMULADO]]</f>
        <v>63</v>
      </c>
      <c r="O181">
        <f>+AV_PLAN[[#This Row],[TERMINO PLAN ACUMULADO]]-AV_PLAN[[#This Row],[TERMINO REAL ACUMULADO]]</f>
        <v>68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0.22727272727272727</v>
      </c>
      <c r="S181" s="7">
        <f>+AV_PLAN[[#This Row],[TERMINO PLAN ACUMULADO]]/$G$471</f>
        <v>0.25142045454545453</v>
      </c>
      <c r="T181" s="7">
        <f t="shared" si="5"/>
        <v>0.15482954545454544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160</v>
      </c>
      <c r="F182">
        <v>1</v>
      </c>
      <c r="G182">
        <v>178</v>
      </c>
      <c r="H182">
        <v>0</v>
      </c>
      <c r="I182">
        <v>109</v>
      </c>
      <c r="J182" t="s">
        <v>813</v>
      </c>
      <c r="K182">
        <f>+WEEKNUM(AV_PLAN[[#This Row],[Días]])</f>
        <v>33</v>
      </c>
      <c r="L182" s="4">
        <f>IFERROR(AV_PLAN[[#This Row],[INICIO REAL ACUMULADO]]/AV_PLAN[[#This Row],[PLAN ACUMULADO]],"")</f>
        <v>0.71748878923766812</v>
      </c>
      <c r="M182" s="4">
        <f>IFERROR(AV_PLAN[[#This Row],[TERMINO REAL ACUMULADO]]/AV_PLAN[[#This Row],[TERMINO PLAN ACUMULADO]],"")</f>
        <v>0.61235955056179781</v>
      </c>
      <c r="N182">
        <f>+AV_PLAN[[#This Row],[PLAN ACUMULADO]]-AV_PLAN[[#This Row],[INICIO REAL ACUMULADO]]</f>
        <v>63</v>
      </c>
      <c r="O182">
        <f>+AV_PLAN[[#This Row],[TERMINO PLAN ACUMULADO]]-AV_PLAN[[#This Row],[TERMINO REAL ACUMULADO]]</f>
        <v>69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0.22727272727272727</v>
      </c>
      <c r="S182" s="7">
        <f>+AV_PLAN[[#This Row],[TERMINO PLAN ACUMULADO]]/$G$471</f>
        <v>0.25284090909090912</v>
      </c>
      <c r="T182" s="7">
        <f t="shared" si="5"/>
        <v>0.15482954545454544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160</v>
      </c>
      <c r="F183">
        <v>2</v>
      </c>
      <c r="G183">
        <v>180</v>
      </c>
      <c r="H183">
        <v>0</v>
      </c>
      <c r="I183">
        <v>109</v>
      </c>
      <c r="J183" t="s">
        <v>813</v>
      </c>
      <c r="K183">
        <f>+WEEKNUM(AV_PLAN[[#This Row],[Días]])</f>
        <v>34</v>
      </c>
      <c r="L183" s="4">
        <f>IFERROR(AV_PLAN[[#This Row],[INICIO REAL ACUMULADO]]/AV_PLAN[[#This Row],[PLAN ACUMULADO]],"")</f>
        <v>0.71748878923766812</v>
      </c>
      <c r="M183" s="4">
        <f>IFERROR(AV_PLAN[[#This Row],[TERMINO REAL ACUMULADO]]/AV_PLAN[[#This Row],[TERMINO PLAN ACUMULADO]],"")</f>
        <v>0.60555555555555551</v>
      </c>
      <c r="N183">
        <f>+AV_PLAN[[#This Row],[PLAN ACUMULADO]]-AV_PLAN[[#This Row],[INICIO REAL ACUMULADO]]</f>
        <v>63</v>
      </c>
      <c r="O183">
        <f>+AV_PLAN[[#This Row],[TERMINO PLAN ACUMULADO]]-AV_PLAN[[#This Row],[TERMINO REAL ACUMULADO]]</f>
        <v>71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0.22727272727272727</v>
      </c>
      <c r="S183" s="7">
        <f>+AV_PLAN[[#This Row],[TERMINO PLAN ACUMULADO]]/$G$471</f>
        <v>0.25568181818181818</v>
      </c>
      <c r="T183" s="7">
        <f t="shared" si="5"/>
        <v>0.15482954545454544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160</v>
      </c>
      <c r="F184">
        <v>1</v>
      </c>
      <c r="G184">
        <v>181</v>
      </c>
      <c r="H184">
        <v>0</v>
      </c>
      <c r="I184">
        <v>109</v>
      </c>
      <c r="J184" t="s">
        <v>813</v>
      </c>
      <c r="K184">
        <f>+WEEKNUM(AV_PLAN[[#This Row],[Días]])</f>
        <v>34</v>
      </c>
      <c r="L184" s="4">
        <f>IFERROR(AV_PLAN[[#This Row],[INICIO REAL ACUMULADO]]/AV_PLAN[[#This Row],[PLAN ACUMULADO]],"")</f>
        <v>0.71111111111111114</v>
      </c>
      <c r="M184" s="4">
        <f>IFERROR(AV_PLAN[[#This Row],[TERMINO REAL ACUMULADO]]/AV_PLAN[[#This Row],[TERMINO PLAN ACUMULADO]],"")</f>
        <v>0.60220994475138123</v>
      </c>
      <c r="N184">
        <f>+AV_PLAN[[#This Row],[PLAN ACUMULADO]]-AV_PLAN[[#This Row],[INICIO REAL ACUMULADO]]</f>
        <v>65</v>
      </c>
      <c r="O184">
        <f>+AV_PLAN[[#This Row],[TERMINO PLAN ACUMULADO]]-AV_PLAN[[#This Row],[TERMINO REAL ACUMULADO]]</f>
        <v>72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0.22727272727272727</v>
      </c>
      <c r="S184" s="7">
        <f>+AV_PLAN[[#This Row],[TERMINO PLAN ACUMULADO]]/$G$471</f>
        <v>0.25710227272727271</v>
      </c>
      <c r="T184" s="7">
        <f t="shared" si="5"/>
        <v>0.15482954545454544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160</v>
      </c>
      <c r="F185">
        <v>2</v>
      </c>
      <c r="G185">
        <v>183</v>
      </c>
      <c r="H185">
        <v>0</v>
      </c>
      <c r="I185">
        <v>109</v>
      </c>
      <c r="J185" t="s">
        <v>813</v>
      </c>
      <c r="K185">
        <f>+WEEKNUM(AV_PLAN[[#This Row],[Días]])</f>
        <v>34</v>
      </c>
      <c r="L185" s="4">
        <f>IFERROR(AV_PLAN[[#This Row],[INICIO REAL ACUMULADO]]/AV_PLAN[[#This Row],[PLAN ACUMULADO]],"")</f>
        <v>0.70175438596491224</v>
      </c>
      <c r="M185" s="4">
        <f>IFERROR(AV_PLAN[[#This Row],[TERMINO REAL ACUMULADO]]/AV_PLAN[[#This Row],[TERMINO PLAN ACUMULADO]],"")</f>
        <v>0.59562841530054644</v>
      </c>
      <c r="N185">
        <f>+AV_PLAN[[#This Row],[PLAN ACUMULADO]]-AV_PLAN[[#This Row],[INICIO REAL ACUMULADO]]</f>
        <v>68</v>
      </c>
      <c r="O185">
        <f>+AV_PLAN[[#This Row],[TERMINO PLAN ACUMULADO]]-AV_PLAN[[#This Row],[TERMINO REAL ACUMULADO]]</f>
        <v>74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0.22727272727272727</v>
      </c>
      <c r="S185" s="7">
        <f>+AV_PLAN[[#This Row],[TERMINO PLAN ACUMULADO]]/$G$471</f>
        <v>0.25994318181818182</v>
      </c>
      <c r="T185" s="7">
        <f t="shared" si="5"/>
        <v>0.15482954545454544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160</v>
      </c>
      <c r="F186">
        <v>2</v>
      </c>
      <c r="G186">
        <v>185</v>
      </c>
      <c r="H186">
        <v>0</v>
      </c>
      <c r="I186">
        <v>109</v>
      </c>
      <c r="J186" t="s">
        <v>813</v>
      </c>
      <c r="K186">
        <f>+WEEKNUM(AV_PLAN[[#This Row],[Días]])</f>
        <v>34</v>
      </c>
      <c r="L186" s="4">
        <f>IFERROR(AV_PLAN[[#This Row],[INICIO REAL ACUMULADO]]/AV_PLAN[[#This Row],[PLAN ACUMULADO]],"")</f>
        <v>0.69565217391304346</v>
      </c>
      <c r="M186" s="4">
        <f>IFERROR(AV_PLAN[[#This Row],[TERMINO REAL ACUMULADO]]/AV_PLAN[[#This Row],[TERMINO PLAN ACUMULADO]],"")</f>
        <v>0.58918918918918917</v>
      </c>
      <c r="N186">
        <f>+AV_PLAN[[#This Row],[PLAN ACUMULADO]]-AV_PLAN[[#This Row],[INICIO REAL ACUMULADO]]</f>
        <v>70</v>
      </c>
      <c r="O186">
        <f>+AV_PLAN[[#This Row],[TERMINO PLAN ACUMULADO]]-AV_PLAN[[#This Row],[TERMINO REAL ACUMULADO]]</f>
        <v>76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0.22727272727272727</v>
      </c>
      <c r="S186" s="7">
        <f>+AV_PLAN[[#This Row],[TERMINO PLAN ACUMULADO]]/$G$471</f>
        <v>0.26278409090909088</v>
      </c>
      <c r="T186" s="7">
        <f t="shared" si="5"/>
        <v>0.15482954545454544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160</v>
      </c>
      <c r="F187">
        <v>3</v>
      </c>
      <c r="G187">
        <v>188</v>
      </c>
      <c r="H187">
        <v>0</v>
      </c>
      <c r="I187">
        <v>109</v>
      </c>
      <c r="J187" t="s">
        <v>813</v>
      </c>
      <c r="K187">
        <f>+WEEKNUM(AV_PLAN[[#This Row],[Días]])</f>
        <v>34</v>
      </c>
      <c r="L187" s="4">
        <f>IFERROR(AV_PLAN[[#This Row],[INICIO REAL ACUMULADO]]/AV_PLAN[[#This Row],[PLAN ACUMULADO]],"")</f>
        <v>0.68669527896995708</v>
      </c>
      <c r="M187" s="4">
        <f>IFERROR(AV_PLAN[[#This Row],[TERMINO REAL ACUMULADO]]/AV_PLAN[[#This Row],[TERMINO PLAN ACUMULADO]],"")</f>
        <v>0.57978723404255317</v>
      </c>
      <c r="N187">
        <f>+AV_PLAN[[#This Row],[PLAN ACUMULADO]]-AV_PLAN[[#This Row],[INICIO REAL ACUMULADO]]</f>
        <v>73</v>
      </c>
      <c r="O187">
        <f>+AV_PLAN[[#This Row],[TERMINO PLAN ACUMULADO]]-AV_PLAN[[#This Row],[TERMINO REAL ACUMULADO]]</f>
        <v>79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0.22727272727272727</v>
      </c>
      <c r="S187" s="7">
        <f>+AV_PLAN[[#This Row],[TERMINO PLAN ACUMULADO]]/$G$471</f>
        <v>0.26704545454545453</v>
      </c>
      <c r="T187" s="7">
        <f t="shared" si="5"/>
        <v>0.15482954545454544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160</v>
      </c>
      <c r="F188">
        <v>1</v>
      </c>
      <c r="G188">
        <v>189</v>
      </c>
      <c r="H188">
        <v>0</v>
      </c>
      <c r="I188">
        <v>109</v>
      </c>
      <c r="J188" t="s">
        <v>813</v>
      </c>
      <c r="K188">
        <f>+WEEKNUM(AV_PLAN[[#This Row],[Días]])</f>
        <v>34</v>
      </c>
      <c r="L188" s="4">
        <f>IFERROR(AV_PLAN[[#This Row],[INICIO REAL ACUMULADO]]/AV_PLAN[[#This Row],[PLAN ACUMULADO]],"")</f>
        <v>0.68085106382978722</v>
      </c>
      <c r="M188" s="4">
        <f>IFERROR(AV_PLAN[[#This Row],[TERMINO REAL ACUMULADO]]/AV_PLAN[[#This Row],[TERMINO PLAN ACUMULADO]],"")</f>
        <v>0.57671957671957674</v>
      </c>
      <c r="N188">
        <f>+AV_PLAN[[#This Row],[PLAN ACUMULADO]]-AV_PLAN[[#This Row],[INICIO REAL ACUMULADO]]</f>
        <v>75</v>
      </c>
      <c r="O188">
        <f>+AV_PLAN[[#This Row],[TERMINO PLAN ACUMULADO]]-AV_PLAN[[#This Row],[TERMINO REAL ACUMULADO]]</f>
        <v>80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0.22727272727272727</v>
      </c>
      <c r="S188" s="7">
        <f>+AV_PLAN[[#This Row],[TERMINO PLAN ACUMULADO]]/$G$471</f>
        <v>0.26846590909090912</v>
      </c>
      <c r="T188" s="7">
        <f t="shared" si="5"/>
        <v>0.15482954545454544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160</v>
      </c>
      <c r="F189">
        <v>2</v>
      </c>
      <c r="G189">
        <v>191</v>
      </c>
      <c r="H189">
        <v>0</v>
      </c>
      <c r="I189">
        <v>109</v>
      </c>
      <c r="J189" t="s">
        <v>813</v>
      </c>
      <c r="K189">
        <f>+WEEKNUM(AV_PLAN[[#This Row],[Días]])</f>
        <v>34</v>
      </c>
      <c r="L189" s="4">
        <f>IFERROR(AV_PLAN[[#This Row],[INICIO REAL ACUMULADO]]/AV_PLAN[[#This Row],[PLAN ACUMULADO]],"")</f>
        <v>0.68085106382978722</v>
      </c>
      <c r="M189" s="4">
        <f>IFERROR(AV_PLAN[[#This Row],[TERMINO REAL ACUMULADO]]/AV_PLAN[[#This Row],[TERMINO PLAN ACUMULADO]],"")</f>
        <v>0.5706806282722513</v>
      </c>
      <c r="N189">
        <f>+AV_PLAN[[#This Row],[PLAN ACUMULADO]]-AV_PLAN[[#This Row],[INICIO REAL ACUMULADO]]</f>
        <v>75</v>
      </c>
      <c r="O189">
        <f>+AV_PLAN[[#This Row],[TERMINO PLAN ACUMULADO]]-AV_PLAN[[#This Row],[TERMINO REAL ACUMULADO]]</f>
        <v>82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0.22727272727272727</v>
      </c>
      <c r="S189" s="7">
        <f>+AV_PLAN[[#This Row],[TERMINO PLAN ACUMULADO]]/$G$471</f>
        <v>0.27130681818181818</v>
      </c>
      <c r="T189" s="7">
        <f t="shared" si="5"/>
        <v>0.15482954545454544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160</v>
      </c>
      <c r="F190">
        <v>1</v>
      </c>
      <c r="G190">
        <v>192</v>
      </c>
      <c r="H190">
        <v>0</v>
      </c>
      <c r="I190">
        <v>109</v>
      </c>
      <c r="J190" t="s">
        <v>813</v>
      </c>
      <c r="K190">
        <f>+WEEKNUM(AV_PLAN[[#This Row],[Días]])</f>
        <v>35</v>
      </c>
      <c r="L190" s="4">
        <f>IFERROR(AV_PLAN[[#This Row],[INICIO REAL ACUMULADO]]/AV_PLAN[[#This Row],[PLAN ACUMULADO]],"")</f>
        <v>0.68085106382978722</v>
      </c>
      <c r="M190" s="4">
        <f>IFERROR(AV_PLAN[[#This Row],[TERMINO REAL ACUMULADO]]/AV_PLAN[[#This Row],[TERMINO PLAN ACUMULADO]],"")</f>
        <v>0.56770833333333337</v>
      </c>
      <c r="N190">
        <f>+AV_PLAN[[#This Row],[PLAN ACUMULADO]]-AV_PLAN[[#This Row],[INICIO REAL ACUMULADO]]</f>
        <v>75</v>
      </c>
      <c r="O190">
        <f>+AV_PLAN[[#This Row],[TERMINO PLAN ACUMULADO]]-AV_PLAN[[#This Row],[TERMINO REAL ACUMULADO]]</f>
        <v>83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0.22727272727272727</v>
      </c>
      <c r="S190" s="7">
        <f>+AV_PLAN[[#This Row],[TERMINO PLAN ACUMULADO]]/$G$471</f>
        <v>0.27272727272727271</v>
      </c>
      <c r="T190" s="7">
        <f t="shared" si="5"/>
        <v>0.15482954545454544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160</v>
      </c>
      <c r="F191">
        <v>1</v>
      </c>
      <c r="G191">
        <v>193</v>
      </c>
      <c r="H191">
        <v>0</v>
      </c>
      <c r="I191">
        <v>109</v>
      </c>
      <c r="J191" t="s">
        <v>813</v>
      </c>
      <c r="K191">
        <f>+WEEKNUM(AV_PLAN[[#This Row],[Días]])</f>
        <v>35</v>
      </c>
      <c r="L191" s="4">
        <f>IFERROR(AV_PLAN[[#This Row],[INICIO REAL ACUMULADO]]/AV_PLAN[[#This Row],[PLAN ACUMULADO]],"")</f>
        <v>0.67226890756302526</v>
      </c>
      <c r="M191" s="4">
        <f>IFERROR(AV_PLAN[[#This Row],[TERMINO REAL ACUMULADO]]/AV_PLAN[[#This Row],[TERMINO PLAN ACUMULADO]],"")</f>
        <v>0.56476683937823835</v>
      </c>
      <c r="N191">
        <f>+AV_PLAN[[#This Row],[PLAN ACUMULADO]]-AV_PLAN[[#This Row],[INICIO REAL ACUMULADO]]</f>
        <v>78</v>
      </c>
      <c r="O191">
        <f>+AV_PLAN[[#This Row],[TERMINO PLAN ACUMULADO]]-AV_PLAN[[#This Row],[TERMINO REAL ACUMULADO]]</f>
        <v>84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0.22727272727272727</v>
      </c>
      <c r="S191" s="7">
        <f>+AV_PLAN[[#This Row],[TERMINO PLAN ACUMULADO]]/$G$471</f>
        <v>0.27414772727272729</v>
      </c>
      <c r="T191" s="7">
        <f t="shared" si="5"/>
        <v>0.15482954545454544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160</v>
      </c>
      <c r="F192">
        <v>2</v>
      </c>
      <c r="G192">
        <v>195</v>
      </c>
      <c r="H192">
        <v>0</v>
      </c>
      <c r="I192">
        <v>109</v>
      </c>
      <c r="J192" t="s">
        <v>813</v>
      </c>
      <c r="K192">
        <f>+WEEKNUM(AV_PLAN[[#This Row],[Días]])</f>
        <v>35</v>
      </c>
      <c r="L192" s="4">
        <f>IFERROR(AV_PLAN[[#This Row],[INICIO REAL ACUMULADO]]/AV_PLAN[[#This Row],[PLAN ACUMULADO]],"")</f>
        <v>0.66666666666666663</v>
      </c>
      <c r="M192" s="4">
        <f>IFERROR(AV_PLAN[[#This Row],[TERMINO REAL ACUMULADO]]/AV_PLAN[[#This Row],[TERMINO PLAN ACUMULADO]],"")</f>
        <v>0.55897435897435899</v>
      </c>
      <c r="N192">
        <f>+AV_PLAN[[#This Row],[PLAN ACUMULADO]]-AV_PLAN[[#This Row],[INICIO REAL ACUMULADO]]</f>
        <v>80</v>
      </c>
      <c r="O192">
        <f>+AV_PLAN[[#This Row],[TERMINO PLAN ACUMULADO]]-AV_PLAN[[#This Row],[TERMINO REAL ACUMULADO]]</f>
        <v>86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0.22727272727272727</v>
      </c>
      <c r="S192" s="7">
        <f>+AV_PLAN[[#This Row],[TERMINO PLAN ACUMULADO]]/$G$471</f>
        <v>0.27698863636363635</v>
      </c>
      <c r="T192" s="7">
        <f t="shared" si="5"/>
        <v>0.15482954545454544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160</v>
      </c>
      <c r="F193">
        <v>3</v>
      </c>
      <c r="G193">
        <v>198</v>
      </c>
      <c r="H193">
        <v>0</v>
      </c>
      <c r="I193">
        <v>109</v>
      </c>
      <c r="J193" t="s">
        <v>813</v>
      </c>
      <c r="K193">
        <f>+WEEKNUM(AV_PLAN[[#This Row],[Días]])</f>
        <v>35</v>
      </c>
      <c r="L193" s="4">
        <f>IFERROR(AV_PLAN[[#This Row],[INICIO REAL ACUMULADO]]/AV_PLAN[[#This Row],[PLAN ACUMULADO]],"")</f>
        <v>0.65843621399176955</v>
      </c>
      <c r="M193" s="4">
        <f>IFERROR(AV_PLAN[[#This Row],[TERMINO REAL ACUMULADO]]/AV_PLAN[[#This Row],[TERMINO PLAN ACUMULADO]],"")</f>
        <v>0.5505050505050505</v>
      </c>
      <c r="N193">
        <f>+AV_PLAN[[#This Row],[PLAN ACUMULADO]]-AV_PLAN[[#This Row],[INICIO REAL ACUMULADO]]</f>
        <v>83</v>
      </c>
      <c r="O193">
        <f>+AV_PLAN[[#This Row],[TERMINO PLAN ACUMULADO]]-AV_PLAN[[#This Row],[TERMINO REAL ACUMULADO]]</f>
        <v>89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0.22727272727272727</v>
      </c>
      <c r="S193" s="7">
        <f>+AV_PLAN[[#This Row],[TERMINO PLAN ACUMULADO]]/$G$471</f>
        <v>0.28125</v>
      </c>
      <c r="T193" s="7">
        <f t="shared" si="5"/>
        <v>0.15482954545454544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160</v>
      </c>
      <c r="F194">
        <v>2</v>
      </c>
      <c r="G194">
        <v>200</v>
      </c>
      <c r="H194">
        <v>0</v>
      </c>
      <c r="I194">
        <v>109</v>
      </c>
      <c r="J194" t="s">
        <v>813</v>
      </c>
      <c r="K194">
        <f>+WEEKNUM(AV_PLAN[[#This Row],[Días]])</f>
        <v>35</v>
      </c>
      <c r="L194" s="4">
        <f>IFERROR(AV_PLAN[[#This Row],[INICIO REAL ACUMULADO]]/AV_PLAN[[#This Row],[PLAN ACUMULADO]],"")</f>
        <v>0.65306122448979587</v>
      </c>
      <c r="M194" s="4">
        <f>IFERROR(AV_PLAN[[#This Row],[TERMINO REAL ACUMULADO]]/AV_PLAN[[#This Row],[TERMINO PLAN ACUMULADO]],"")</f>
        <v>0.54500000000000004</v>
      </c>
      <c r="N194">
        <f>+AV_PLAN[[#This Row],[PLAN ACUMULADO]]-AV_PLAN[[#This Row],[INICIO REAL ACUMULADO]]</f>
        <v>85</v>
      </c>
      <c r="O194">
        <f>+AV_PLAN[[#This Row],[TERMINO PLAN ACUMULADO]]-AV_PLAN[[#This Row],[TERMINO REAL ACUMULADO]]</f>
        <v>91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0.22727272727272727</v>
      </c>
      <c r="S194" s="7">
        <f>+AV_PLAN[[#This Row],[TERMINO PLAN ACUMULADO]]/$G$471</f>
        <v>0.28409090909090912</v>
      </c>
      <c r="T194" s="7">
        <f t="shared" ref="T194:T257" si="7">IF(H194="",NA(),I194/$G$471)</f>
        <v>0.15482954545454544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160</v>
      </c>
      <c r="F195">
        <v>1</v>
      </c>
      <c r="G195">
        <v>201</v>
      </c>
      <c r="H195">
        <v>0</v>
      </c>
      <c r="I195">
        <v>109</v>
      </c>
      <c r="J195" t="s">
        <v>813</v>
      </c>
      <c r="K195">
        <f>+WEEKNUM(AV_PLAN[[#This Row],[Días]])</f>
        <v>35</v>
      </c>
      <c r="L195" s="4">
        <f>IFERROR(AV_PLAN[[#This Row],[INICIO REAL ACUMULADO]]/AV_PLAN[[#This Row],[PLAN ACUMULADO]],"")</f>
        <v>0.64516129032258063</v>
      </c>
      <c r="M195" s="4">
        <f>IFERROR(AV_PLAN[[#This Row],[TERMINO REAL ACUMULADO]]/AV_PLAN[[#This Row],[TERMINO PLAN ACUMULADO]],"")</f>
        <v>0.54228855721393032</v>
      </c>
      <c r="N195">
        <f>+AV_PLAN[[#This Row],[PLAN ACUMULADO]]-AV_PLAN[[#This Row],[INICIO REAL ACUMULADO]]</f>
        <v>88</v>
      </c>
      <c r="O195">
        <f>+AV_PLAN[[#This Row],[TERMINO PLAN ACUMULADO]]-AV_PLAN[[#This Row],[TERMINO REAL ACUMULADO]]</f>
        <v>92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0.22727272727272727</v>
      </c>
      <c r="S195" s="7">
        <f>+AV_PLAN[[#This Row],[TERMINO PLAN ACUMULADO]]/$G$471</f>
        <v>0.28551136363636365</v>
      </c>
      <c r="T195" s="7">
        <f t="shared" si="7"/>
        <v>0.15482954545454544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160</v>
      </c>
      <c r="F196">
        <v>2</v>
      </c>
      <c r="G196">
        <v>203</v>
      </c>
      <c r="H196">
        <v>0</v>
      </c>
      <c r="I196">
        <v>109</v>
      </c>
      <c r="J196" t="s">
        <v>813</v>
      </c>
      <c r="K196">
        <f>+WEEKNUM(AV_PLAN[[#This Row],[Días]])</f>
        <v>35</v>
      </c>
      <c r="L196" s="4">
        <f>IFERROR(AV_PLAN[[#This Row],[INICIO REAL ACUMULADO]]/AV_PLAN[[#This Row],[PLAN ACUMULADO]],"")</f>
        <v>0.64516129032258063</v>
      </c>
      <c r="M196" s="4">
        <f>IFERROR(AV_PLAN[[#This Row],[TERMINO REAL ACUMULADO]]/AV_PLAN[[#This Row],[TERMINO PLAN ACUMULADO]],"")</f>
        <v>0.53694581280788178</v>
      </c>
      <c r="N196">
        <f>+AV_PLAN[[#This Row],[PLAN ACUMULADO]]-AV_PLAN[[#This Row],[INICIO REAL ACUMULADO]]</f>
        <v>88</v>
      </c>
      <c r="O196">
        <f>+AV_PLAN[[#This Row],[TERMINO PLAN ACUMULADO]]-AV_PLAN[[#This Row],[TERMINO REAL ACUMULADO]]</f>
        <v>94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0.22727272727272727</v>
      </c>
      <c r="S196" s="7">
        <f>+AV_PLAN[[#This Row],[TERMINO PLAN ACUMULADO]]/$G$471</f>
        <v>0.28835227272727271</v>
      </c>
      <c r="T196" s="7">
        <f t="shared" si="7"/>
        <v>0.15482954545454544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160</v>
      </c>
      <c r="F197">
        <v>3</v>
      </c>
      <c r="G197">
        <v>206</v>
      </c>
      <c r="H197">
        <v>0</v>
      </c>
      <c r="I197">
        <v>109</v>
      </c>
      <c r="J197" t="s">
        <v>813</v>
      </c>
      <c r="K197">
        <f>+WEEKNUM(AV_PLAN[[#This Row],[Días]])</f>
        <v>36</v>
      </c>
      <c r="L197" s="4">
        <f>IFERROR(AV_PLAN[[#This Row],[INICIO REAL ACUMULADO]]/AV_PLAN[[#This Row],[PLAN ACUMULADO]],"")</f>
        <v>0.64516129032258063</v>
      </c>
      <c r="M197" s="4">
        <f>IFERROR(AV_PLAN[[#This Row],[TERMINO REAL ACUMULADO]]/AV_PLAN[[#This Row],[TERMINO PLAN ACUMULADO]],"")</f>
        <v>0.529126213592233</v>
      </c>
      <c r="N197">
        <f>+AV_PLAN[[#This Row],[PLAN ACUMULADO]]-AV_PLAN[[#This Row],[INICIO REAL ACUMULADO]]</f>
        <v>88</v>
      </c>
      <c r="O197">
        <f>+AV_PLAN[[#This Row],[TERMINO PLAN ACUMULADO]]-AV_PLAN[[#This Row],[TERMINO REAL ACUMULADO]]</f>
        <v>97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0.22727272727272727</v>
      </c>
      <c r="S197" s="7">
        <f>+AV_PLAN[[#This Row],[TERMINO PLAN ACUMULADO]]/$G$471</f>
        <v>0.29261363636363635</v>
      </c>
      <c r="T197" s="7">
        <f t="shared" si="7"/>
        <v>0.15482954545454544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160</v>
      </c>
      <c r="F198">
        <v>0</v>
      </c>
      <c r="G198">
        <v>206</v>
      </c>
      <c r="H198">
        <v>0</v>
      </c>
      <c r="I198">
        <v>109</v>
      </c>
      <c r="J198" t="s">
        <v>813</v>
      </c>
      <c r="K198">
        <f>+WEEKNUM(AV_PLAN[[#This Row],[Días]])</f>
        <v>36</v>
      </c>
      <c r="L198" s="4">
        <f>IFERROR(AV_PLAN[[#This Row],[INICIO REAL ACUMULADO]]/AV_PLAN[[#This Row],[PLAN ACUMULADO]],"")</f>
        <v>0.64</v>
      </c>
      <c r="M198" s="4">
        <f>IFERROR(AV_PLAN[[#This Row],[TERMINO REAL ACUMULADO]]/AV_PLAN[[#This Row],[TERMINO PLAN ACUMULADO]],"")</f>
        <v>0.529126213592233</v>
      </c>
      <c r="N198">
        <f>+AV_PLAN[[#This Row],[PLAN ACUMULADO]]-AV_PLAN[[#This Row],[INICIO REAL ACUMULADO]]</f>
        <v>90</v>
      </c>
      <c r="O198">
        <f>+AV_PLAN[[#This Row],[TERMINO PLAN ACUMULADO]]-AV_PLAN[[#This Row],[TERMINO REAL ACUMULADO]]</f>
        <v>97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0.22727272727272727</v>
      </c>
      <c r="S198" s="7">
        <f>+AV_PLAN[[#This Row],[TERMINO PLAN ACUMULADO]]/$G$471</f>
        <v>0.29261363636363635</v>
      </c>
      <c r="T198" s="7">
        <f t="shared" si="7"/>
        <v>0.15482954545454544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160</v>
      </c>
      <c r="F199">
        <v>2</v>
      </c>
      <c r="G199">
        <v>208</v>
      </c>
      <c r="H199">
        <v>0</v>
      </c>
      <c r="I199">
        <v>109</v>
      </c>
      <c r="J199" t="s">
        <v>814</v>
      </c>
      <c r="K199">
        <f>+WEEKNUM(AV_PLAN[[#This Row],[Días]])</f>
        <v>36</v>
      </c>
      <c r="L199" s="4">
        <f>IFERROR(AV_PLAN[[#This Row],[INICIO REAL ACUMULADO]]/AV_PLAN[[#This Row],[PLAN ACUMULADO]],"")</f>
        <v>0.6324110671936759</v>
      </c>
      <c r="M199" s="4">
        <f>IFERROR(AV_PLAN[[#This Row],[TERMINO REAL ACUMULADO]]/AV_PLAN[[#This Row],[TERMINO PLAN ACUMULADO]],"")</f>
        <v>0.52403846153846156</v>
      </c>
      <c r="N199">
        <f>+AV_PLAN[[#This Row],[PLAN ACUMULADO]]-AV_PLAN[[#This Row],[INICIO REAL ACUMULADO]]</f>
        <v>93</v>
      </c>
      <c r="O199">
        <f>+AV_PLAN[[#This Row],[TERMINO PLAN ACUMULADO]]-AV_PLAN[[#This Row],[TERMINO REAL ACUMULADO]]</f>
        <v>99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0.22727272727272727</v>
      </c>
      <c r="S199" s="7">
        <f>+AV_PLAN[[#This Row],[TERMINO PLAN ACUMULADO]]/$G$471</f>
        <v>0.29545454545454547</v>
      </c>
      <c r="T199" s="7">
        <f t="shared" si="7"/>
        <v>0.15482954545454544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160</v>
      </c>
      <c r="F200">
        <v>2</v>
      </c>
      <c r="G200">
        <v>210</v>
      </c>
      <c r="H200">
        <v>0</v>
      </c>
      <c r="I200">
        <v>109</v>
      </c>
      <c r="J200" t="s">
        <v>814</v>
      </c>
      <c r="K200">
        <f>+WEEKNUM(AV_PLAN[[#This Row],[Días]])</f>
        <v>36</v>
      </c>
      <c r="L200" s="4">
        <f>IFERROR(AV_PLAN[[#This Row],[INICIO REAL ACUMULADO]]/AV_PLAN[[#This Row],[PLAN ACUMULADO]],"")</f>
        <v>0.625</v>
      </c>
      <c r="M200" s="4">
        <f>IFERROR(AV_PLAN[[#This Row],[TERMINO REAL ACUMULADO]]/AV_PLAN[[#This Row],[TERMINO PLAN ACUMULADO]],"")</f>
        <v>0.51904761904761909</v>
      </c>
      <c r="N200">
        <f>+AV_PLAN[[#This Row],[PLAN ACUMULADO]]-AV_PLAN[[#This Row],[INICIO REAL ACUMULADO]]</f>
        <v>96</v>
      </c>
      <c r="O200">
        <f>+AV_PLAN[[#This Row],[TERMINO PLAN ACUMULADO]]-AV_PLAN[[#This Row],[TERMINO REAL ACUMULADO]]</f>
        <v>101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0.22727272727272727</v>
      </c>
      <c r="S200" s="7">
        <f>+AV_PLAN[[#This Row],[TERMINO PLAN ACUMULADO]]/$G$471</f>
        <v>0.29829545454545453</v>
      </c>
      <c r="T200" s="7">
        <f t="shared" si="7"/>
        <v>0.15482954545454544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160</v>
      </c>
      <c r="F201">
        <v>3</v>
      </c>
      <c r="G201">
        <v>213</v>
      </c>
      <c r="H201">
        <v>0</v>
      </c>
      <c r="I201">
        <v>109</v>
      </c>
      <c r="J201" t="s">
        <v>814</v>
      </c>
      <c r="K201">
        <f>+WEEKNUM(AV_PLAN[[#This Row],[Días]])</f>
        <v>36</v>
      </c>
      <c r="L201" s="4">
        <f>IFERROR(AV_PLAN[[#This Row],[INICIO REAL ACUMULADO]]/AV_PLAN[[#This Row],[PLAN ACUMULADO]],"")</f>
        <v>0.61776061776061775</v>
      </c>
      <c r="M201" s="4">
        <f>IFERROR(AV_PLAN[[#This Row],[TERMINO REAL ACUMULADO]]/AV_PLAN[[#This Row],[TERMINO PLAN ACUMULADO]],"")</f>
        <v>0.51173708920187788</v>
      </c>
      <c r="N201">
        <f>+AV_PLAN[[#This Row],[PLAN ACUMULADO]]-AV_PLAN[[#This Row],[INICIO REAL ACUMULADO]]</f>
        <v>99</v>
      </c>
      <c r="O201">
        <f>+AV_PLAN[[#This Row],[TERMINO PLAN ACUMULADO]]-AV_PLAN[[#This Row],[TERMINO REAL ACUMULADO]]</f>
        <v>104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0.22727272727272727</v>
      </c>
      <c r="S201" s="7">
        <f>+AV_PLAN[[#This Row],[TERMINO PLAN ACUMULADO]]/$G$471</f>
        <v>0.30255681818181818</v>
      </c>
      <c r="T201" s="7">
        <f t="shared" si="7"/>
        <v>0.15482954545454544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160</v>
      </c>
      <c r="F202">
        <v>0</v>
      </c>
      <c r="G202">
        <v>213</v>
      </c>
      <c r="H202">
        <v>0</v>
      </c>
      <c r="I202">
        <v>109</v>
      </c>
      <c r="J202" t="s">
        <v>814</v>
      </c>
      <c r="K202">
        <f>+WEEKNUM(AV_PLAN[[#This Row],[Días]])</f>
        <v>36</v>
      </c>
      <c r="L202" s="4">
        <f>IFERROR(AV_PLAN[[#This Row],[INICIO REAL ACUMULADO]]/AV_PLAN[[#This Row],[PLAN ACUMULADO]],"")</f>
        <v>0.61068702290076338</v>
      </c>
      <c r="M202" s="4">
        <f>IFERROR(AV_PLAN[[#This Row],[TERMINO REAL ACUMULADO]]/AV_PLAN[[#This Row],[TERMINO PLAN ACUMULADO]],"")</f>
        <v>0.51173708920187788</v>
      </c>
      <c r="N202">
        <f>+AV_PLAN[[#This Row],[PLAN ACUMULADO]]-AV_PLAN[[#This Row],[INICIO REAL ACUMULADO]]</f>
        <v>102</v>
      </c>
      <c r="O202">
        <f>+AV_PLAN[[#This Row],[TERMINO PLAN ACUMULADO]]-AV_PLAN[[#This Row],[TERMINO REAL ACUMULADO]]</f>
        <v>104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0.22727272727272727</v>
      </c>
      <c r="S202" s="7">
        <f>+AV_PLAN[[#This Row],[TERMINO PLAN ACUMULADO]]/$G$471</f>
        <v>0.30255681818181818</v>
      </c>
      <c r="T202" s="7">
        <f t="shared" si="7"/>
        <v>0.15482954545454544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160</v>
      </c>
      <c r="F203">
        <v>2</v>
      </c>
      <c r="G203">
        <v>215</v>
      </c>
      <c r="H203">
        <v>0</v>
      </c>
      <c r="I203">
        <v>109</v>
      </c>
      <c r="J203" t="s">
        <v>814</v>
      </c>
      <c r="K203">
        <f>+WEEKNUM(AV_PLAN[[#This Row],[Días]])</f>
        <v>36</v>
      </c>
      <c r="L203" s="4">
        <f>IFERROR(AV_PLAN[[#This Row],[INICIO REAL ACUMULADO]]/AV_PLAN[[#This Row],[PLAN ACUMULADO]],"")</f>
        <v>0.61068702290076338</v>
      </c>
      <c r="M203" s="4">
        <f>IFERROR(AV_PLAN[[#This Row],[TERMINO REAL ACUMULADO]]/AV_PLAN[[#This Row],[TERMINO PLAN ACUMULADO]],"")</f>
        <v>0.50697674418604655</v>
      </c>
      <c r="N203">
        <f>+AV_PLAN[[#This Row],[PLAN ACUMULADO]]-AV_PLAN[[#This Row],[INICIO REAL ACUMULADO]]</f>
        <v>102</v>
      </c>
      <c r="O203">
        <f>+AV_PLAN[[#This Row],[TERMINO PLAN ACUMULADO]]-AV_PLAN[[#This Row],[TERMINO REAL ACUMULADO]]</f>
        <v>106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0.22727272727272727</v>
      </c>
      <c r="S203" s="7">
        <f>+AV_PLAN[[#This Row],[TERMINO PLAN ACUMULADO]]/$G$471</f>
        <v>0.30539772727272729</v>
      </c>
      <c r="T203" s="7">
        <f t="shared" si="7"/>
        <v>0.15482954545454544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160</v>
      </c>
      <c r="F204">
        <v>3</v>
      </c>
      <c r="G204">
        <v>218</v>
      </c>
      <c r="H204">
        <v>0</v>
      </c>
      <c r="I204">
        <v>109</v>
      </c>
      <c r="J204" t="s">
        <v>814</v>
      </c>
      <c r="K204">
        <f>+WEEKNUM(AV_PLAN[[#This Row],[Días]])</f>
        <v>37</v>
      </c>
      <c r="L204" s="4">
        <f>IFERROR(AV_PLAN[[#This Row],[INICIO REAL ACUMULADO]]/AV_PLAN[[#This Row],[PLAN ACUMULADO]],"")</f>
        <v>0.61068702290076338</v>
      </c>
      <c r="M204" s="4">
        <f>IFERROR(AV_PLAN[[#This Row],[TERMINO REAL ACUMULADO]]/AV_PLAN[[#This Row],[TERMINO PLAN ACUMULADO]],"")</f>
        <v>0.5</v>
      </c>
      <c r="N204">
        <f>+AV_PLAN[[#This Row],[PLAN ACUMULADO]]-AV_PLAN[[#This Row],[INICIO REAL ACUMULADO]]</f>
        <v>102</v>
      </c>
      <c r="O204">
        <f>+AV_PLAN[[#This Row],[TERMINO PLAN ACUMULADO]]-AV_PLAN[[#This Row],[TERMINO REAL ACUMULADO]]</f>
        <v>109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0.22727272727272727</v>
      </c>
      <c r="S204" s="7">
        <f>+AV_PLAN[[#This Row],[TERMINO PLAN ACUMULADO]]/$G$471</f>
        <v>0.30965909090909088</v>
      </c>
      <c r="T204" s="7">
        <f t="shared" si="7"/>
        <v>0.15482954545454544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160</v>
      </c>
      <c r="F205">
        <v>1</v>
      </c>
      <c r="G205">
        <v>219</v>
      </c>
      <c r="H205">
        <v>0</v>
      </c>
      <c r="I205">
        <v>109</v>
      </c>
      <c r="J205" t="s">
        <v>814</v>
      </c>
      <c r="K205">
        <f>+WEEKNUM(AV_PLAN[[#This Row],[Días]])</f>
        <v>37</v>
      </c>
      <c r="L205" s="4">
        <f>IFERROR(AV_PLAN[[#This Row],[INICIO REAL ACUMULADO]]/AV_PLAN[[#This Row],[PLAN ACUMULADO]],"")</f>
        <v>0.60377358490566035</v>
      </c>
      <c r="M205" s="4">
        <f>IFERROR(AV_PLAN[[#This Row],[TERMINO REAL ACUMULADO]]/AV_PLAN[[#This Row],[TERMINO PLAN ACUMULADO]],"")</f>
        <v>0.49771689497716892</v>
      </c>
      <c r="N205">
        <f>+AV_PLAN[[#This Row],[PLAN ACUMULADO]]-AV_PLAN[[#This Row],[INICIO REAL ACUMULADO]]</f>
        <v>105</v>
      </c>
      <c r="O205">
        <f>+AV_PLAN[[#This Row],[TERMINO PLAN ACUMULADO]]-AV_PLAN[[#This Row],[TERMINO REAL ACUMULADO]]</f>
        <v>110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0.22727272727272727</v>
      </c>
      <c r="S205" s="7">
        <f>+AV_PLAN[[#This Row],[TERMINO PLAN ACUMULADO]]/$G$471</f>
        <v>0.31107954545454547</v>
      </c>
      <c r="T205" s="7">
        <f t="shared" si="7"/>
        <v>0.15482954545454544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160</v>
      </c>
      <c r="F206">
        <v>1</v>
      </c>
      <c r="G206">
        <v>220</v>
      </c>
      <c r="H206">
        <v>0</v>
      </c>
      <c r="I206">
        <v>109</v>
      </c>
      <c r="J206" t="s">
        <v>814</v>
      </c>
      <c r="K206">
        <f>+WEEKNUM(AV_PLAN[[#This Row],[Días]])</f>
        <v>37</v>
      </c>
      <c r="L206" s="4">
        <f>IFERROR(AV_PLAN[[#This Row],[INICIO REAL ACUMULADO]]/AV_PLAN[[#This Row],[PLAN ACUMULADO]],"")</f>
        <v>0.59701492537313428</v>
      </c>
      <c r="M206" s="4">
        <f>IFERROR(AV_PLAN[[#This Row],[TERMINO REAL ACUMULADO]]/AV_PLAN[[#This Row],[TERMINO PLAN ACUMULADO]],"")</f>
        <v>0.49545454545454548</v>
      </c>
      <c r="N206">
        <f>+AV_PLAN[[#This Row],[PLAN ACUMULADO]]-AV_PLAN[[#This Row],[INICIO REAL ACUMULADO]]</f>
        <v>108</v>
      </c>
      <c r="O206">
        <f>+AV_PLAN[[#This Row],[TERMINO PLAN ACUMULADO]]-AV_PLAN[[#This Row],[TERMINO REAL ACUMULADO]]</f>
        <v>111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0.22727272727272727</v>
      </c>
      <c r="S206" s="7">
        <f>+AV_PLAN[[#This Row],[TERMINO PLAN ACUMULADO]]/$G$471</f>
        <v>0.3125</v>
      </c>
      <c r="T206" s="7">
        <f t="shared" si="7"/>
        <v>0.15482954545454544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160</v>
      </c>
      <c r="F207">
        <v>3</v>
      </c>
      <c r="G207">
        <v>223</v>
      </c>
      <c r="H207">
        <v>0</v>
      </c>
      <c r="I207">
        <v>109</v>
      </c>
      <c r="J207" t="s">
        <v>814</v>
      </c>
      <c r="K207">
        <f>+WEEKNUM(AV_PLAN[[#This Row],[Días]])</f>
        <v>37</v>
      </c>
      <c r="L207" s="4">
        <f>IFERROR(AV_PLAN[[#This Row],[INICIO REAL ACUMULADO]]/AV_PLAN[[#This Row],[PLAN ACUMULADO]],"")</f>
        <v>0.59040590405904059</v>
      </c>
      <c r="M207" s="4">
        <f>IFERROR(AV_PLAN[[#This Row],[TERMINO REAL ACUMULADO]]/AV_PLAN[[#This Row],[TERMINO PLAN ACUMULADO]],"")</f>
        <v>0.48878923766816146</v>
      </c>
      <c r="N207">
        <f>+AV_PLAN[[#This Row],[PLAN ACUMULADO]]-AV_PLAN[[#This Row],[INICIO REAL ACUMULADO]]</f>
        <v>111</v>
      </c>
      <c r="O207">
        <f>+AV_PLAN[[#This Row],[TERMINO PLAN ACUMULADO]]-AV_PLAN[[#This Row],[TERMINO REAL ACUMULADO]]</f>
        <v>114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0.22727272727272727</v>
      </c>
      <c r="S207" s="7">
        <f>+AV_PLAN[[#This Row],[TERMINO PLAN ACUMULADO]]/$G$471</f>
        <v>0.31676136363636365</v>
      </c>
      <c r="T207" s="7">
        <f t="shared" si="7"/>
        <v>0.15482954545454544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160</v>
      </c>
      <c r="F208">
        <v>2</v>
      </c>
      <c r="G208">
        <v>225</v>
      </c>
      <c r="H208">
        <v>0</v>
      </c>
      <c r="I208">
        <v>109</v>
      </c>
      <c r="J208" t="s">
        <v>814</v>
      </c>
      <c r="K208">
        <f>+WEEKNUM(AV_PLAN[[#This Row],[Días]])</f>
        <v>37</v>
      </c>
      <c r="L208" s="4">
        <f>IFERROR(AV_PLAN[[#This Row],[INICIO REAL ACUMULADO]]/AV_PLAN[[#This Row],[PLAN ACUMULADO]],"")</f>
        <v>0.58394160583941601</v>
      </c>
      <c r="M208" s="4">
        <f>IFERROR(AV_PLAN[[#This Row],[TERMINO REAL ACUMULADO]]/AV_PLAN[[#This Row],[TERMINO PLAN ACUMULADO]],"")</f>
        <v>0.48444444444444446</v>
      </c>
      <c r="N208">
        <f>+AV_PLAN[[#This Row],[PLAN ACUMULADO]]-AV_PLAN[[#This Row],[INICIO REAL ACUMULADO]]</f>
        <v>114</v>
      </c>
      <c r="O208">
        <f>+AV_PLAN[[#This Row],[TERMINO PLAN ACUMULADO]]-AV_PLAN[[#This Row],[TERMINO REAL ACUMULADO]]</f>
        <v>116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0.22727272727272727</v>
      </c>
      <c r="S208" s="7">
        <f>+AV_PLAN[[#This Row],[TERMINO PLAN ACUMULADO]]/$G$471</f>
        <v>0.31960227272727271</v>
      </c>
      <c r="T208" s="7">
        <f t="shared" si="7"/>
        <v>0.15482954545454544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160</v>
      </c>
      <c r="F209">
        <v>1</v>
      </c>
      <c r="G209">
        <v>226</v>
      </c>
      <c r="H209">
        <v>0</v>
      </c>
      <c r="I209">
        <v>109</v>
      </c>
      <c r="J209" t="s">
        <v>814</v>
      </c>
      <c r="K209">
        <f>+WEEKNUM(AV_PLAN[[#This Row],[Días]])</f>
        <v>37</v>
      </c>
      <c r="L209" s="4">
        <f>IFERROR(AV_PLAN[[#This Row],[INICIO REAL ACUMULADO]]/AV_PLAN[[#This Row],[PLAN ACUMULADO]],"")</f>
        <v>0.57761732851985559</v>
      </c>
      <c r="M209" s="4">
        <f>IFERROR(AV_PLAN[[#This Row],[TERMINO REAL ACUMULADO]]/AV_PLAN[[#This Row],[TERMINO PLAN ACUMULADO]],"")</f>
        <v>0.48230088495575218</v>
      </c>
      <c r="N209">
        <f>+AV_PLAN[[#This Row],[PLAN ACUMULADO]]-AV_PLAN[[#This Row],[INICIO REAL ACUMULADO]]</f>
        <v>117</v>
      </c>
      <c r="O209">
        <f>+AV_PLAN[[#This Row],[TERMINO PLAN ACUMULADO]]-AV_PLAN[[#This Row],[TERMINO REAL ACUMULADO]]</f>
        <v>117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0.22727272727272727</v>
      </c>
      <c r="S209" s="7">
        <f>+AV_PLAN[[#This Row],[TERMINO PLAN ACUMULADO]]/$G$471</f>
        <v>0.32102272727272729</v>
      </c>
      <c r="T209" s="7">
        <f t="shared" si="7"/>
        <v>0.15482954545454544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160</v>
      </c>
      <c r="F210">
        <v>1</v>
      </c>
      <c r="G210">
        <v>227</v>
      </c>
      <c r="H210">
        <v>0</v>
      </c>
      <c r="I210">
        <v>109</v>
      </c>
      <c r="J210" t="s">
        <v>814</v>
      </c>
      <c r="K210">
        <f>+WEEKNUM(AV_PLAN[[#This Row],[Días]])</f>
        <v>37</v>
      </c>
      <c r="L210" s="4">
        <f>IFERROR(AV_PLAN[[#This Row],[INICIO REAL ACUMULADO]]/AV_PLAN[[#This Row],[PLAN ACUMULADO]],"")</f>
        <v>0.57761732851985559</v>
      </c>
      <c r="M210" s="4">
        <f>IFERROR(AV_PLAN[[#This Row],[TERMINO REAL ACUMULADO]]/AV_PLAN[[#This Row],[TERMINO PLAN ACUMULADO]],"")</f>
        <v>0.48017621145374451</v>
      </c>
      <c r="N210">
        <f>+AV_PLAN[[#This Row],[PLAN ACUMULADO]]-AV_PLAN[[#This Row],[INICIO REAL ACUMULADO]]</f>
        <v>117</v>
      </c>
      <c r="O210">
        <f>+AV_PLAN[[#This Row],[TERMINO PLAN ACUMULADO]]-AV_PLAN[[#This Row],[TERMINO REAL ACUMULADO]]</f>
        <v>118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0.22727272727272727</v>
      </c>
      <c r="S210" s="7">
        <f>+AV_PLAN[[#This Row],[TERMINO PLAN ACUMULADO]]/$G$471</f>
        <v>0.32244318181818182</v>
      </c>
      <c r="T210" s="7">
        <f t="shared" si="7"/>
        <v>0.15482954545454544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160</v>
      </c>
      <c r="F211">
        <v>4</v>
      </c>
      <c r="G211">
        <v>231</v>
      </c>
      <c r="H211">
        <v>0</v>
      </c>
      <c r="I211">
        <v>109</v>
      </c>
      <c r="J211" t="s">
        <v>814</v>
      </c>
      <c r="K211">
        <f>+WEEKNUM(AV_PLAN[[#This Row],[Días]])</f>
        <v>38</v>
      </c>
      <c r="L211" s="4">
        <f>IFERROR(AV_PLAN[[#This Row],[INICIO REAL ACUMULADO]]/AV_PLAN[[#This Row],[PLAN ACUMULADO]],"")</f>
        <v>0.57761732851985559</v>
      </c>
      <c r="M211" s="4">
        <f>IFERROR(AV_PLAN[[#This Row],[TERMINO REAL ACUMULADO]]/AV_PLAN[[#This Row],[TERMINO PLAN ACUMULADO]],"")</f>
        <v>0.47186147186147187</v>
      </c>
      <c r="N211">
        <f>+AV_PLAN[[#This Row],[PLAN ACUMULADO]]-AV_PLAN[[#This Row],[INICIO REAL ACUMULADO]]</f>
        <v>117</v>
      </c>
      <c r="O211">
        <f>+AV_PLAN[[#This Row],[TERMINO PLAN ACUMULADO]]-AV_PLAN[[#This Row],[TERMINO REAL ACUMULADO]]</f>
        <v>122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0.22727272727272727</v>
      </c>
      <c r="S211" s="7">
        <f>+AV_PLAN[[#This Row],[TERMINO PLAN ACUMULADO]]/$G$471</f>
        <v>0.328125</v>
      </c>
      <c r="T211" s="7">
        <f t="shared" si="7"/>
        <v>0.15482954545454544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160</v>
      </c>
      <c r="F212">
        <v>1</v>
      </c>
      <c r="G212">
        <v>232</v>
      </c>
      <c r="H212">
        <v>0</v>
      </c>
      <c r="I212">
        <v>109</v>
      </c>
      <c r="J212" t="s">
        <v>814</v>
      </c>
      <c r="K212">
        <f>+WEEKNUM(AV_PLAN[[#This Row],[Días]])</f>
        <v>38</v>
      </c>
      <c r="L212" s="4">
        <f>IFERROR(AV_PLAN[[#This Row],[INICIO REAL ACUMULADO]]/AV_PLAN[[#This Row],[PLAN ACUMULADO]],"")</f>
        <v>0.5714285714285714</v>
      </c>
      <c r="M212" s="4">
        <f>IFERROR(AV_PLAN[[#This Row],[TERMINO REAL ACUMULADO]]/AV_PLAN[[#This Row],[TERMINO PLAN ACUMULADO]],"")</f>
        <v>0.46982758620689657</v>
      </c>
      <c r="N212">
        <f>+AV_PLAN[[#This Row],[PLAN ACUMULADO]]-AV_PLAN[[#This Row],[INICIO REAL ACUMULADO]]</f>
        <v>120</v>
      </c>
      <c r="O212">
        <f>+AV_PLAN[[#This Row],[TERMINO PLAN ACUMULADO]]-AV_PLAN[[#This Row],[TERMINO REAL ACUMULADO]]</f>
        <v>123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0.22727272727272727</v>
      </c>
      <c r="S212" s="7">
        <f>+AV_PLAN[[#This Row],[TERMINO PLAN ACUMULADO]]/$G$471</f>
        <v>0.32954545454545453</v>
      </c>
      <c r="T212" s="7">
        <f t="shared" si="7"/>
        <v>0.15482954545454544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160</v>
      </c>
      <c r="F213">
        <v>1</v>
      </c>
      <c r="G213">
        <v>233</v>
      </c>
      <c r="H213">
        <v>0</v>
      </c>
      <c r="I213">
        <v>109</v>
      </c>
      <c r="J213" t="s">
        <v>814</v>
      </c>
      <c r="K213">
        <f>+WEEKNUM(AV_PLAN[[#This Row],[Días]])</f>
        <v>38</v>
      </c>
      <c r="L213" s="4">
        <f>IFERROR(AV_PLAN[[#This Row],[INICIO REAL ACUMULADO]]/AV_PLAN[[#This Row],[PLAN ACUMULADO]],"")</f>
        <v>0.56537102473498235</v>
      </c>
      <c r="M213" s="4">
        <f>IFERROR(AV_PLAN[[#This Row],[TERMINO REAL ACUMULADO]]/AV_PLAN[[#This Row],[TERMINO PLAN ACUMULADO]],"")</f>
        <v>0.46781115879828328</v>
      </c>
      <c r="N213">
        <f>+AV_PLAN[[#This Row],[PLAN ACUMULADO]]-AV_PLAN[[#This Row],[INICIO REAL ACUMULADO]]</f>
        <v>123</v>
      </c>
      <c r="O213">
        <f>+AV_PLAN[[#This Row],[TERMINO PLAN ACUMULADO]]-AV_PLAN[[#This Row],[TERMINO REAL ACUMULADO]]</f>
        <v>124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0.22727272727272727</v>
      </c>
      <c r="S213" s="7">
        <f>+AV_PLAN[[#This Row],[TERMINO PLAN ACUMULADO]]/$G$471</f>
        <v>0.33096590909090912</v>
      </c>
      <c r="T213" s="7">
        <f t="shared" si="7"/>
        <v>0.15482954545454544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160</v>
      </c>
      <c r="F214">
        <v>2</v>
      </c>
      <c r="G214">
        <v>235</v>
      </c>
      <c r="H214">
        <v>0</v>
      </c>
      <c r="I214">
        <v>109</v>
      </c>
      <c r="J214" t="s">
        <v>814</v>
      </c>
      <c r="K214">
        <f>+WEEKNUM(AV_PLAN[[#This Row],[Días]])</f>
        <v>38</v>
      </c>
      <c r="L214" s="4">
        <f>IFERROR(AV_PLAN[[#This Row],[INICIO REAL ACUMULADO]]/AV_PLAN[[#This Row],[PLAN ACUMULADO]],"")</f>
        <v>0.56537102473498235</v>
      </c>
      <c r="M214" s="4">
        <f>IFERROR(AV_PLAN[[#This Row],[TERMINO REAL ACUMULADO]]/AV_PLAN[[#This Row],[TERMINO PLAN ACUMULADO]],"")</f>
        <v>0.46382978723404256</v>
      </c>
      <c r="N214">
        <f>+AV_PLAN[[#This Row],[PLAN ACUMULADO]]-AV_PLAN[[#This Row],[INICIO REAL ACUMULADO]]</f>
        <v>123</v>
      </c>
      <c r="O214">
        <f>+AV_PLAN[[#This Row],[TERMINO PLAN ACUMULADO]]-AV_PLAN[[#This Row],[TERMINO REAL ACUMULADO]]</f>
        <v>126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0.22727272727272727</v>
      </c>
      <c r="S214" s="7">
        <f>+AV_PLAN[[#This Row],[TERMINO PLAN ACUMULADO]]/$G$471</f>
        <v>0.33380681818181818</v>
      </c>
      <c r="T214" s="7">
        <f t="shared" si="7"/>
        <v>0.15482954545454544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160</v>
      </c>
      <c r="F215">
        <v>3</v>
      </c>
      <c r="G215">
        <v>238</v>
      </c>
      <c r="H215">
        <v>0</v>
      </c>
      <c r="I215">
        <v>109</v>
      </c>
      <c r="J215" t="s">
        <v>814</v>
      </c>
      <c r="K215">
        <f>+WEEKNUM(AV_PLAN[[#This Row],[Días]])</f>
        <v>38</v>
      </c>
      <c r="L215" s="4">
        <f>IFERROR(AV_PLAN[[#This Row],[INICIO REAL ACUMULADO]]/AV_PLAN[[#This Row],[PLAN ACUMULADO]],"")</f>
        <v>0.56537102473498235</v>
      </c>
      <c r="M215" s="4">
        <f>IFERROR(AV_PLAN[[#This Row],[TERMINO REAL ACUMULADO]]/AV_PLAN[[#This Row],[TERMINO PLAN ACUMULADO]],"")</f>
        <v>0.45798319327731091</v>
      </c>
      <c r="N215">
        <f>+AV_PLAN[[#This Row],[PLAN ACUMULADO]]-AV_PLAN[[#This Row],[INICIO REAL ACUMULADO]]</f>
        <v>123</v>
      </c>
      <c r="O215">
        <f>+AV_PLAN[[#This Row],[TERMINO PLAN ACUMULADO]]-AV_PLAN[[#This Row],[TERMINO REAL ACUMULADO]]</f>
        <v>129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0.22727272727272727</v>
      </c>
      <c r="S215" s="7">
        <f>+AV_PLAN[[#This Row],[TERMINO PLAN ACUMULADO]]/$G$471</f>
        <v>0.33806818181818182</v>
      </c>
      <c r="T215" s="7">
        <f t="shared" si="7"/>
        <v>0.15482954545454544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160</v>
      </c>
      <c r="F216">
        <v>1</v>
      </c>
      <c r="G216">
        <v>239</v>
      </c>
      <c r="H216">
        <v>0</v>
      </c>
      <c r="I216">
        <v>109</v>
      </c>
      <c r="J216" t="s">
        <v>814</v>
      </c>
      <c r="K216">
        <f>+WEEKNUM(AV_PLAN[[#This Row],[Días]])</f>
        <v>38</v>
      </c>
      <c r="L216" s="4">
        <f>IFERROR(AV_PLAN[[#This Row],[INICIO REAL ACUMULADO]]/AV_PLAN[[#This Row],[PLAN ACUMULADO]],"")</f>
        <v>0.56537102473498235</v>
      </c>
      <c r="M216" s="4">
        <f>IFERROR(AV_PLAN[[#This Row],[TERMINO REAL ACUMULADO]]/AV_PLAN[[#This Row],[TERMINO PLAN ACUMULADO]],"")</f>
        <v>0.45606694560669458</v>
      </c>
      <c r="N216">
        <f>+AV_PLAN[[#This Row],[PLAN ACUMULADO]]-AV_PLAN[[#This Row],[INICIO REAL ACUMULADO]]</f>
        <v>123</v>
      </c>
      <c r="O216">
        <f>+AV_PLAN[[#This Row],[TERMINO PLAN ACUMULADO]]-AV_PLAN[[#This Row],[TERMINO REAL ACUMULADO]]</f>
        <v>130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0.22727272727272727</v>
      </c>
      <c r="S216" s="7">
        <f>+AV_PLAN[[#This Row],[TERMINO PLAN ACUMULADO]]/$G$471</f>
        <v>0.33948863636363635</v>
      </c>
      <c r="T216" s="7">
        <f t="shared" si="7"/>
        <v>0.15482954545454544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160</v>
      </c>
      <c r="F217">
        <v>1</v>
      </c>
      <c r="G217">
        <v>240</v>
      </c>
      <c r="H217">
        <v>0</v>
      </c>
      <c r="I217">
        <v>109</v>
      </c>
      <c r="J217" t="s">
        <v>814</v>
      </c>
      <c r="K217">
        <f>+WEEKNUM(AV_PLAN[[#This Row],[Días]])</f>
        <v>38</v>
      </c>
      <c r="L217" s="4">
        <f>IFERROR(AV_PLAN[[#This Row],[INICIO REAL ACUMULADO]]/AV_PLAN[[#This Row],[PLAN ACUMULADO]],"")</f>
        <v>0.56537102473498235</v>
      </c>
      <c r="M217" s="4">
        <f>IFERROR(AV_PLAN[[#This Row],[TERMINO REAL ACUMULADO]]/AV_PLAN[[#This Row],[TERMINO PLAN ACUMULADO]],"")</f>
        <v>0.45416666666666666</v>
      </c>
      <c r="N217">
        <f>+AV_PLAN[[#This Row],[PLAN ACUMULADO]]-AV_PLAN[[#This Row],[INICIO REAL ACUMULADO]]</f>
        <v>123</v>
      </c>
      <c r="O217">
        <f>+AV_PLAN[[#This Row],[TERMINO PLAN ACUMULADO]]-AV_PLAN[[#This Row],[TERMINO REAL ACUMULADO]]</f>
        <v>131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0.22727272727272727</v>
      </c>
      <c r="S217" s="7">
        <f>+AV_PLAN[[#This Row],[TERMINO PLAN ACUMULADO]]/$G$471</f>
        <v>0.34090909090909088</v>
      </c>
      <c r="T217" s="7">
        <f t="shared" si="7"/>
        <v>0.15482954545454544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160</v>
      </c>
      <c r="F218">
        <v>3</v>
      </c>
      <c r="G218">
        <v>243</v>
      </c>
      <c r="H218">
        <v>0</v>
      </c>
      <c r="I218">
        <v>109</v>
      </c>
      <c r="J218" t="s">
        <v>814</v>
      </c>
      <c r="K218">
        <f>+WEEKNUM(AV_PLAN[[#This Row],[Días]])</f>
        <v>39</v>
      </c>
      <c r="L218" s="4">
        <f>IFERROR(AV_PLAN[[#This Row],[INICIO REAL ACUMULADO]]/AV_PLAN[[#This Row],[PLAN ACUMULADO]],"")</f>
        <v>0.56537102473498235</v>
      </c>
      <c r="M218" s="4">
        <f>IFERROR(AV_PLAN[[#This Row],[TERMINO REAL ACUMULADO]]/AV_PLAN[[#This Row],[TERMINO PLAN ACUMULADO]],"")</f>
        <v>0.44855967078189302</v>
      </c>
      <c r="N218">
        <f>+AV_PLAN[[#This Row],[PLAN ACUMULADO]]-AV_PLAN[[#This Row],[INICIO REAL ACUMULADO]]</f>
        <v>123</v>
      </c>
      <c r="O218">
        <f>+AV_PLAN[[#This Row],[TERMINO PLAN ACUMULADO]]-AV_PLAN[[#This Row],[TERMINO REAL ACUMULADO]]</f>
        <v>134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0.22727272727272727</v>
      </c>
      <c r="S218" s="7">
        <f>+AV_PLAN[[#This Row],[TERMINO PLAN ACUMULADO]]/$G$471</f>
        <v>0.34517045454545453</v>
      </c>
      <c r="T218" s="7">
        <f t="shared" si="7"/>
        <v>0.15482954545454544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160</v>
      </c>
      <c r="F219">
        <v>2</v>
      </c>
      <c r="G219">
        <v>245</v>
      </c>
      <c r="H219">
        <v>0</v>
      </c>
      <c r="I219">
        <v>109</v>
      </c>
      <c r="J219" t="s">
        <v>814</v>
      </c>
      <c r="K219">
        <f>+WEEKNUM(AV_PLAN[[#This Row],[Días]])</f>
        <v>39</v>
      </c>
      <c r="L219" s="4">
        <f>IFERROR(AV_PLAN[[#This Row],[INICIO REAL ACUMULADO]]/AV_PLAN[[#This Row],[PLAN ACUMULADO]],"")</f>
        <v>0.55944055944055948</v>
      </c>
      <c r="M219" s="4">
        <f>IFERROR(AV_PLAN[[#This Row],[TERMINO REAL ACUMULADO]]/AV_PLAN[[#This Row],[TERMINO PLAN ACUMULADO]],"")</f>
        <v>0.44489795918367347</v>
      </c>
      <c r="N219">
        <f>+AV_PLAN[[#This Row],[PLAN ACUMULADO]]-AV_PLAN[[#This Row],[INICIO REAL ACUMULADO]]</f>
        <v>126</v>
      </c>
      <c r="O219">
        <f>+AV_PLAN[[#This Row],[TERMINO PLAN ACUMULADO]]-AV_PLAN[[#This Row],[TERMINO REAL ACUMULADO]]</f>
        <v>136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0.22727272727272727</v>
      </c>
      <c r="S219" s="7">
        <f>+AV_PLAN[[#This Row],[TERMINO PLAN ACUMULADO]]/$G$471</f>
        <v>0.34801136363636365</v>
      </c>
      <c r="T219" s="7">
        <f t="shared" si="7"/>
        <v>0.15482954545454544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160</v>
      </c>
      <c r="F220">
        <v>1</v>
      </c>
      <c r="G220">
        <v>246</v>
      </c>
      <c r="H220">
        <v>0</v>
      </c>
      <c r="I220">
        <v>109</v>
      </c>
      <c r="J220" t="s">
        <v>814</v>
      </c>
      <c r="K220">
        <f>+WEEKNUM(AV_PLAN[[#This Row],[Días]])</f>
        <v>39</v>
      </c>
      <c r="L220" s="4">
        <f>IFERROR(AV_PLAN[[#This Row],[INICIO REAL ACUMULADO]]/AV_PLAN[[#This Row],[PLAN ACUMULADO]],"")</f>
        <v>0.55363321799307963</v>
      </c>
      <c r="M220" s="4">
        <f>IFERROR(AV_PLAN[[#This Row],[TERMINO REAL ACUMULADO]]/AV_PLAN[[#This Row],[TERMINO PLAN ACUMULADO]],"")</f>
        <v>0.44308943089430897</v>
      </c>
      <c r="N220">
        <f>+AV_PLAN[[#This Row],[PLAN ACUMULADO]]-AV_PLAN[[#This Row],[INICIO REAL ACUMULADO]]</f>
        <v>129</v>
      </c>
      <c r="O220">
        <f>+AV_PLAN[[#This Row],[TERMINO PLAN ACUMULADO]]-AV_PLAN[[#This Row],[TERMINO REAL ACUMULADO]]</f>
        <v>137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0.22727272727272727</v>
      </c>
      <c r="S220" s="7">
        <f>+AV_PLAN[[#This Row],[TERMINO PLAN ACUMULADO]]/$G$471</f>
        <v>0.34943181818181818</v>
      </c>
      <c r="T220" s="7">
        <f t="shared" si="7"/>
        <v>0.15482954545454544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160</v>
      </c>
      <c r="F221">
        <v>2</v>
      </c>
      <c r="G221">
        <v>248</v>
      </c>
      <c r="H221">
        <v>0</v>
      </c>
      <c r="I221">
        <v>109</v>
      </c>
      <c r="J221" t="s">
        <v>814</v>
      </c>
      <c r="K221">
        <f>+WEEKNUM(AV_PLAN[[#This Row],[Días]])</f>
        <v>39</v>
      </c>
      <c r="L221" s="4">
        <f>IFERROR(AV_PLAN[[#This Row],[INICIO REAL ACUMULADO]]/AV_PLAN[[#This Row],[PLAN ACUMULADO]],"")</f>
        <v>0.54794520547945202</v>
      </c>
      <c r="M221" s="4">
        <f>IFERROR(AV_PLAN[[#This Row],[TERMINO REAL ACUMULADO]]/AV_PLAN[[#This Row],[TERMINO PLAN ACUMULADO]],"")</f>
        <v>0.43951612903225806</v>
      </c>
      <c r="N221">
        <f>+AV_PLAN[[#This Row],[PLAN ACUMULADO]]-AV_PLAN[[#This Row],[INICIO REAL ACUMULADO]]</f>
        <v>132</v>
      </c>
      <c r="O221">
        <f>+AV_PLAN[[#This Row],[TERMINO PLAN ACUMULADO]]-AV_PLAN[[#This Row],[TERMINO REAL ACUMULADO]]</f>
        <v>139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0.22727272727272727</v>
      </c>
      <c r="S221" s="7">
        <f>+AV_PLAN[[#This Row],[TERMINO PLAN ACUMULADO]]/$G$471</f>
        <v>0.35227272727272729</v>
      </c>
      <c r="T221" s="7">
        <f t="shared" si="7"/>
        <v>0.15482954545454544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160</v>
      </c>
      <c r="F222">
        <v>3</v>
      </c>
      <c r="G222">
        <v>251</v>
      </c>
      <c r="H222">
        <v>0</v>
      </c>
      <c r="I222">
        <v>109</v>
      </c>
      <c r="J222" t="s">
        <v>814</v>
      </c>
      <c r="K222">
        <f>+WEEKNUM(AV_PLAN[[#This Row],[Días]])</f>
        <v>39</v>
      </c>
      <c r="L222" s="4">
        <f>IFERROR(AV_PLAN[[#This Row],[INICIO REAL ACUMULADO]]/AV_PLAN[[#This Row],[PLAN ACUMULADO]],"")</f>
        <v>0.5423728813559322</v>
      </c>
      <c r="M222" s="4">
        <f>IFERROR(AV_PLAN[[#This Row],[TERMINO REAL ACUMULADO]]/AV_PLAN[[#This Row],[TERMINO PLAN ACUMULADO]],"")</f>
        <v>0.43426294820717132</v>
      </c>
      <c r="N222">
        <f>+AV_PLAN[[#This Row],[PLAN ACUMULADO]]-AV_PLAN[[#This Row],[INICIO REAL ACUMULADO]]</f>
        <v>135</v>
      </c>
      <c r="O222">
        <f>+AV_PLAN[[#This Row],[TERMINO PLAN ACUMULADO]]-AV_PLAN[[#This Row],[TERMINO REAL ACUMULADO]]</f>
        <v>142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0.22727272727272727</v>
      </c>
      <c r="S222" s="7">
        <f>+AV_PLAN[[#This Row],[TERMINO PLAN ACUMULADO]]/$G$471</f>
        <v>0.35653409090909088</v>
      </c>
      <c r="T222" s="7">
        <f t="shared" si="7"/>
        <v>0.15482954545454544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160</v>
      </c>
      <c r="F223">
        <v>2</v>
      </c>
      <c r="G223">
        <v>253</v>
      </c>
      <c r="H223">
        <v>0</v>
      </c>
      <c r="I223">
        <v>109</v>
      </c>
      <c r="J223" t="s">
        <v>814</v>
      </c>
      <c r="K223">
        <f>+WEEKNUM(AV_PLAN[[#This Row],[Días]])</f>
        <v>39</v>
      </c>
      <c r="L223" s="4">
        <f>IFERROR(AV_PLAN[[#This Row],[INICIO REAL ACUMULADO]]/AV_PLAN[[#This Row],[PLAN ACUMULADO]],"")</f>
        <v>0.53691275167785235</v>
      </c>
      <c r="M223" s="4">
        <f>IFERROR(AV_PLAN[[#This Row],[TERMINO REAL ACUMULADO]]/AV_PLAN[[#This Row],[TERMINO PLAN ACUMULADO]],"")</f>
        <v>0.43083003952569171</v>
      </c>
      <c r="N223">
        <f>+AV_PLAN[[#This Row],[PLAN ACUMULADO]]-AV_PLAN[[#This Row],[INICIO REAL ACUMULADO]]</f>
        <v>138</v>
      </c>
      <c r="O223">
        <f>+AV_PLAN[[#This Row],[TERMINO PLAN ACUMULADO]]-AV_PLAN[[#This Row],[TERMINO REAL ACUMULADO]]</f>
        <v>144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0.22727272727272727</v>
      </c>
      <c r="S223" s="7">
        <f>+AV_PLAN[[#This Row],[TERMINO PLAN ACUMULADO]]/$G$471</f>
        <v>0.359375</v>
      </c>
      <c r="T223" s="7">
        <f t="shared" si="7"/>
        <v>0.15482954545454544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160</v>
      </c>
      <c r="F224">
        <v>0</v>
      </c>
      <c r="G224">
        <v>253</v>
      </c>
      <c r="H224">
        <v>0</v>
      </c>
      <c r="I224">
        <v>109</v>
      </c>
      <c r="J224" t="s">
        <v>814</v>
      </c>
      <c r="K224">
        <f>+WEEKNUM(AV_PLAN[[#This Row],[Días]])</f>
        <v>39</v>
      </c>
      <c r="L224" s="4">
        <f>IFERROR(AV_PLAN[[#This Row],[INICIO REAL ACUMULADO]]/AV_PLAN[[#This Row],[PLAN ACUMULADO]],"")</f>
        <v>0.53691275167785235</v>
      </c>
      <c r="M224" s="4">
        <f>IFERROR(AV_PLAN[[#This Row],[TERMINO REAL ACUMULADO]]/AV_PLAN[[#This Row],[TERMINO PLAN ACUMULADO]],"")</f>
        <v>0.43083003952569171</v>
      </c>
      <c r="N224">
        <f>+AV_PLAN[[#This Row],[PLAN ACUMULADO]]-AV_PLAN[[#This Row],[INICIO REAL ACUMULADO]]</f>
        <v>138</v>
      </c>
      <c r="O224">
        <f>+AV_PLAN[[#This Row],[TERMINO PLAN ACUMULADO]]-AV_PLAN[[#This Row],[TERMINO REAL ACUMULADO]]</f>
        <v>144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0.22727272727272727</v>
      </c>
      <c r="S224" s="7">
        <f>+AV_PLAN[[#This Row],[TERMINO PLAN ACUMULADO]]/$G$471</f>
        <v>0.359375</v>
      </c>
      <c r="T224" s="7">
        <f t="shared" si="7"/>
        <v>0.15482954545454544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160</v>
      </c>
      <c r="F225">
        <v>4</v>
      </c>
      <c r="G225">
        <v>257</v>
      </c>
      <c r="H225">
        <v>0</v>
      </c>
      <c r="I225">
        <v>109</v>
      </c>
      <c r="J225" t="s">
        <v>814</v>
      </c>
      <c r="K225">
        <f>+WEEKNUM(AV_PLAN[[#This Row],[Días]])</f>
        <v>40</v>
      </c>
      <c r="L225" s="4">
        <f>IFERROR(AV_PLAN[[#This Row],[INICIO REAL ACUMULADO]]/AV_PLAN[[#This Row],[PLAN ACUMULADO]],"")</f>
        <v>0.53691275167785235</v>
      </c>
      <c r="M225" s="4">
        <f>IFERROR(AV_PLAN[[#This Row],[TERMINO REAL ACUMULADO]]/AV_PLAN[[#This Row],[TERMINO PLAN ACUMULADO]],"")</f>
        <v>0.42412451361867703</v>
      </c>
      <c r="N225">
        <f>+AV_PLAN[[#This Row],[PLAN ACUMULADO]]-AV_PLAN[[#This Row],[INICIO REAL ACUMULADO]]</f>
        <v>138</v>
      </c>
      <c r="O225">
        <f>+AV_PLAN[[#This Row],[TERMINO PLAN ACUMULADO]]-AV_PLAN[[#This Row],[TERMINO REAL ACUMULADO]]</f>
        <v>148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0.22727272727272727</v>
      </c>
      <c r="S225" s="7">
        <f>+AV_PLAN[[#This Row],[TERMINO PLAN ACUMULADO]]/$G$471</f>
        <v>0.36505681818181818</v>
      </c>
      <c r="T225" s="7">
        <f t="shared" si="7"/>
        <v>0.15482954545454544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160</v>
      </c>
      <c r="F226">
        <v>1</v>
      </c>
      <c r="G226">
        <v>258</v>
      </c>
      <c r="H226">
        <v>0</v>
      </c>
      <c r="I226">
        <v>109</v>
      </c>
      <c r="J226" t="s">
        <v>814</v>
      </c>
      <c r="K226">
        <f>+WEEKNUM(AV_PLAN[[#This Row],[Días]])</f>
        <v>40</v>
      </c>
      <c r="L226" s="4">
        <f>IFERROR(AV_PLAN[[#This Row],[INICIO REAL ACUMULADO]]/AV_PLAN[[#This Row],[PLAN ACUMULADO]],"")</f>
        <v>0.53156146179401997</v>
      </c>
      <c r="M226" s="4">
        <f>IFERROR(AV_PLAN[[#This Row],[TERMINO REAL ACUMULADO]]/AV_PLAN[[#This Row],[TERMINO PLAN ACUMULADO]],"")</f>
        <v>0.42248062015503873</v>
      </c>
      <c r="N226">
        <f>+AV_PLAN[[#This Row],[PLAN ACUMULADO]]-AV_PLAN[[#This Row],[INICIO REAL ACUMULADO]]</f>
        <v>141</v>
      </c>
      <c r="O226">
        <f>+AV_PLAN[[#This Row],[TERMINO PLAN ACUMULADO]]-AV_PLAN[[#This Row],[TERMINO REAL ACUMULADO]]</f>
        <v>149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0.22727272727272727</v>
      </c>
      <c r="S226" s="7">
        <f>+AV_PLAN[[#This Row],[TERMINO PLAN ACUMULADO]]/$G$471</f>
        <v>0.36647727272727271</v>
      </c>
      <c r="T226" s="7">
        <f t="shared" si="7"/>
        <v>0.15482954545454544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160</v>
      </c>
      <c r="F227">
        <v>1</v>
      </c>
      <c r="G227">
        <v>259</v>
      </c>
      <c r="H227">
        <v>0</v>
      </c>
      <c r="I227">
        <v>109</v>
      </c>
      <c r="J227" t="s">
        <v>814</v>
      </c>
      <c r="K227">
        <f>+WEEKNUM(AV_PLAN[[#This Row],[Días]])</f>
        <v>40</v>
      </c>
      <c r="L227" s="4">
        <f>IFERROR(AV_PLAN[[#This Row],[INICIO REAL ACUMULADO]]/AV_PLAN[[#This Row],[PLAN ACUMULADO]],"")</f>
        <v>0.52631578947368418</v>
      </c>
      <c r="M227" s="4">
        <f>IFERROR(AV_PLAN[[#This Row],[TERMINO REAL ACUMULADO]]/AV_PLAN[[#This Row],[TERMINO PLAN ACUMULADO]],"")</f>
        <v>0.42084942084942084</v>
      </c>
      <c r="N227">
        <f>+AV_PLAN[[#This Row],[PLAN ACUMULADO]]-AV_PLAN[[#This Row],[INICIO REAL ACUMULADO]]</f>
        <v>144</v>
      </c>
      <c r="O227">
        <f>+AV_PLAN[[#This Row],[TERMINO PLAN ACUMULADO]]-AV_PLAN[[#This Row],[TERMINO REAL ACUMULADO]]</f>
        <v>150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0.22727272727272727</v>
      </c>
      <c r="S227" s="7">
        <f>+AV_PLAN[[#This Row],[TERMINO PLAN ACUMULADO]]/$G$471</f>
        <v>0.36789772727272729</v>
      </c>
      <c r="T227" s="7">
        <f t="shared" si="7"/>
        <v>0.15482954545454544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160</v>
      </c>
      <c r="F228">
        <v>3</v>
      </c>
      <c r="G228">
        <v>262</v>
      </c>
      <c r="H228">
        <v>0</v>
      </c>
      <c r="I228">
        <v>109</v>
      </c>
      <c r="J228" t="s">
        <v>814</v>
      </c>
      <c r="K228">
        <f>+WEEKNUM(AV_PLAN[[#This Row],[Días]])</f>
        <v>40</v>
      </c>
      <c r="L228" s="4">
        <f>IFERROR(AV_PLAN[[#This Row],[INICIO REAL ACUMULADO]]/AV_PLAN[[#This Row],[PLAN ACUMULADO]],"")</f>
        <v>0.52117263843648209</v>
      </c>
      <c r="M228" s="4">
        <f>IFERROR(AV_PLAN[[#This Row],[TERMINO REAL ACUMULADO]]/AV_PLAN[[#This Row],[TERMINO PLAN ACUMULADO]],"")</f>
        <v>0.41603053435114506</v>
      </c>
      <c r="N228">
        <f>+AV_PLAN[[#This Row],[PLAN ACUMULADO]]-AV_PLAN[[#This Row],[INICIO REAL ACUMULADO]]</f>
        <v>147</v>
      </c>
      <c r="O228">
        <f>+AV_PLAN[[#This Row],[TERMINO PLAN ACUMULADO]]-AV_PLAN[[#This Row],[TERMINO REAL ACUMULADO]]</f>
        <v>153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0.22727272727272727</v>
      </c>
      <c r="S228" s="7">
        <f>+AV_PLAN[[#This Row],[TERMINO PLAN ACUMULADO]]/$G$471</f>
        <v>0.37215909090909088</v>
      </c>
      <c r="T228" s="7">
        <f t="shared" si="7"/>
        <v>0.15482954545454544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160</v>
      </c>
      <c r="F229">
        <v>3</v>
      </c>
      <c r="G229">
        <v>265</v>
      </c>
      <c r="H229">
        <v>0</v>
      </c>
      <c r="I229">
        <v>109</v>
      </c>
      <c r="J229" t="s">
        <v>815</v>
      </c>
      <c r="K229">
        <f>+WEEKNUM(AV_PLAN[[#This Row],[Días]])</f>
        <v>40</v>
      </c>
      <c r="L229" s="4">
        <f>IFERROR(AV_PLAN[[#This Row],[INICIO REAL ACUMULADO]]/AV_PLAN[[#This Row],[PLAN ACUMULADO]],"")</f>
        <v>0.5161290322580645</v>
      </c>
      <c r="M229" s="4">
        <f>IFERROR(AV_PLAN[[#This Row],[TERMINO REAL ACUMULADO]]/AV_PLAN[[#This Row],[TERMINO PLAN ACUMULADO]],"")</f>
        <v>0.41132075471698115</v>
      </c>
      <c r="N229">
        <f>+AV_PLAN[[#This Row],[PLAN ACUMULADO]]-AV_PLAN[[#This Row],[INICIO REAL ACUMULADO]]</f>
        <v>150</v>
      </c>
      <c r="O229">
        <f>+AV_PLAN[[#This Row],[TERMINO PLAN ACUMULADO]]-AV_PLAN[[#This Row],[TERMINO REAL ACUMULADO]]</f>
        <v>156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0.22727272727272727</v>
      </c>
      <c r="S229" s="7">
        <f>+AV_PLAN[[#This Row],[TERMINO PLAN ACUMULADO]]/$G$471</f>
        <v>0.37642045454545453</v>
      </c>
      <c r="T229" s="7">
        <f t="shared" si="7"/>
        <v>0.15482954545454544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160</v>
      </c>
      <c r="F230">
        <v>2</v>
      </c>
      <c r="G230">
        <v>267</v>
      </c>
      <c r="H230">
        <v>0</v>
      </c>
      <c r="I230">
        <v>109</v>
      </c>
      <c r="J230" t="s">
        <v>815</v>
      </c>
      <c r="K230">
        <f>+WEEKNUM(AV_PLAN[[#This Row],[Días]])</f>
        <v>40</v>
      </c>
      <c r="L230" s="4">
        <f>IFERROR(AV_PLAN[[#This Row],[INICIO REAL ACUMULADO]]/AV_PLAN[[#This Row],[PLAN ACUMULADO]],"")</f>
        <v>0.51118210862619806</v>
      </c>
      <c r="M230" s="4">
        <f>IFERROR(AV_PLAN[[#This Row],[TERMINO REAL ACUMULADO]]/AV_PLAN[[#This Row],[TERMINO PLAN ACUMULADO]],"")</f>
        <v>0.40823970037453183</v>
      </c>
      <c r="N230">
        <f>+AV_PLAN[[#This Row],[PLAN ACUMULADO]]-AV_PLAN[[#This Row],[INICIO REAL ACUMULADO]]</f>
        <v>153</v>
      </c>
      <c r="O230">
        <f>+AV_PLAN[[#This Row],[TERMINO PLAN ACUMULADO]]-AV_PLAN[[#This Row],[TERMINO REAL ACUMULADO]]</f>
        <v>158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0.22727272727272727</v>
      </c>
      <c r="S230" s="7">
        <f>+AV_PLAN[[#This Row],[TERMINO PLAN ACUMULADO]]/$G$471</f>
        <v>0.37926136363636365</v>
      </c>
      <c r="T230" s="7">
        <f t="shared" si="7"/>
        <v>0.15482954545454544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160</v>
      </c>
      <c r="F231">
        <v>2</v>
      </c>
      <c r="G231">
        <v>269</v>
      </c>
      <c r="H231">
        <v>0</v>
      </c>
      <c r="I231">
        <v>109</v>
      </c>
      <c r="J231" t="s">
        <v>815</v>
      </c>
      <c r="K231">
        <f>+WEEKNUM(AV_PLAN[[#This Row],[Días]])</f>
        <v>40</v>
      </c>
      <c r="L231" s="4">
        <f>IFERROR(AV_PLAN[[#This Row],[INICIO REAL ACUMULADO]]/AV_PLAN[[#This Row],[PLAN ACUMULADO]],"")</f>
        <v>0.51118210862619806</v>
      </c>
      <c r="M231" s="4">
        <f>IFERROR(AV_PLAN[[#This Row],[TERMINO REAL ACUMULADO]]/AV_PLAN[[#This Row],[TERMINO PLAN ACUMULADO]],"")</f>
        <v>0.40520446096654272</v>
      </c>
      <c r="N231">
        <f>+AV_PLAN[[#This Row],[PLAN ACUMULADO]]-AV_PLAN[[#This Row],[INICIO REAL ACUMULADO]]</f>
        <v>153</v>
      </c>
      <c r="O231">
        <f>+AV_PLAN[[#This Row],[TERMINO PLAN ACUMULADO]]-AV_PLAN[[#This Row],[TERMINO REAL ACUMULADO]]</f>
        <v>160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0.22727272727272727</v>
      </c>
      <c r="S231" s="7">
        <f>+AV_PLAN[[#This Row],[TERMINO PLAN ACUMULADO]]/$G$471</f>
        <v>0.38210227272727271</v>
      </c>
      <c r="T231" s="7">
        <f t="shared" si="7"/>
        <v>0.15482954545454544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160</v>
      </c>
      <c r="F232">
        <v>2</v>
      </c>
      <c r="G232">
        <v>271</v>
      </c>
      <c r="H232">
        <v>0</v>
      </c>
      <c r="I232">
        <v>109</v>
      </c>
      <c r="J232" t="s">
        <v>815</v>
      </c>
      <c r="K232">
        <f>+WEEKNUM(AV_PLAN[[#This Row],[Días]])</f>
        <v>41</v>
      </c>
      <c r="L232" s="4">
        <f>IFERROR(AV_PLAN[[#This Row],[INICIO REAL ACUMULADO]]/AV_PLAN[[#This Row],[PLAN ACUMULADO]],"")</f>
        <v>0.51118210862619806</v>
      </c>
      <c r="M232" s="4">
        <f>IFERROR(AV_PLAN[[#This Row],[TERMINO REAL ACUMULADO]]/AV_PLAN[[#This Row],[TERMINO PLAN ACUMULADO]],"")</f>
        <v>0.40221402214022139</v>
      </c>
      <c r="N232">
        <f>+AV_PLAN[[#This Row],[PLAN ACUMULADO]]-AV_PLAN[[#This Row],[INICIO REAL ACUMULADO]]</f>
        <v>153</v>
      </c>
      <c r="O232">
        <f>+AV_PLAN[[#This Row],[TERMINO PLAN ACUMULADO]]-AV_PLAN[[#This Row],[TERMINO REAL ACUMULADO]]</f>
        <v>162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0.22727272727272727</v>
      </c>
      <c r="S232" s="7">
        <f>+AV_PLAN[[#This Row],[TERMINO PLAN ACUMULADO]]/$G$471</f>
        <v>0.38494318181818182</v>
      </c>
      <c r="T232" s="7">
        <f t="shared" si="7"/>
        <v>0.15482954545454544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160</v>
      </c>
      <c r="F233">
        <v>1</v>
      </c>
      <c r="G233">
        <v>272</v>
      </c>
      <c r="H233">
        <v>0</v>
      </c>
      <c r="I233">
        <v>109</v>
      </c>
      <c r="J233" t="s">
        <v>815</v>
      </c>
      <c r="K233">
        <f>+WEEKNUM(AV_PLAN[[#This Row],[Días]])</f>
        <v>41</v>
      </c>
      <c r="L233" s="4">
        <f>IFERROR(AV_PLAN[[#This Row],[INICIO REAL ACUMULADO]]/AV_PLAN[[#This Row],[PLAN ACUMULADO]],"")</f>
        <v>0.50632911392405067</v>
      </c>
      <c r="M233" s="4">
        <f>IFERROR(AV_PLAN[[#This Row],[TERMINO REAL ACUMULADO]]/AV_PLAN[[#This Row],[TERMINO PLAN ACUMULADO]],"")</f>
        <v>0.40073529411764708</v>
      </c>
      <c r="N233">
        <f>+AV_PLAN[[#This Row],[PLAN ACUMULADO]]-AV_PLAN[[#This Row],[INICIO REAL ACUMULADO]]</f>
        <v>156</v>
      </c>
      <c r="O233">
        <f>+AV_PLAN[[#This Row],[TERMINO PLAN ACUMULADO]]-AV_PLAN[[#This Row],[TERMINO REAL ACUMULADO]]</f>
        <v>163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0.22727272727272727</v>
      </c>
      <c r="S233" s="7">
        <f>+AV_PLAN[[#This Row],[TERMINO PLAN ACUMULADO]]/$G$471</f>
        <v>0.38636363636363635</v>
      </c>
      <c r="T233" s="7">
        <f t="shared" si="7"/>
        <v>0.15482954545454544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160</v>
      </c>
      <c r="F234">
        <v>0</v>
      </c>
      <c r="G234">
        <v>272</v>
      </c>
      <c r="H234">
        <v>0</v>
      </c>
      <c r="I234">
        <v>109</v>
      </c>
      <c r="J234" t="s">
        <v>815</v>
      </c>
      <c r="K234">
        <f>+WEEKNUM(AV_PLAN[[#This Row],[Días]])</f>
        <v>41</v>
      </c>
      <c r="L234" s="4">
        <f>IFERROR(AV_PLAN[[#This Row],[INICIO REAL ACUMULADO]]/AV_PLAN[[#This Row],[PLAN ACUMULADO]],"")</f>
        <v>0.50156739811912221</v>
      </c>
      <c r="M234" s="4">
        <f>IFERROR(AV_PLAN[[#This Row],[TERMINO REAL ACUMULADO]]/AV_PLAN[[#This Row],[TERMINO PLAN ACUMULADO]],"")</f>
        <v>0.40073529411764708</v>
      </c>
      <c r="N234">
        <f>+AV_PLAN[[#This Row],[PLAN ACUMULADO]]-AV_PLAN[[#This Row],[INICIO REAL ACUMULADO]]</f>
        <v>159</v>
      </c>
      <c r="O234">
        <f>+AV_PLAN[[#This Row],[TERMINO PLAN ACUMULADO]]-AV_PLAN[[#This Row],[TERMINO REAL ACUMULADO]]</f>
        <v>163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0.22727272727272727</v>
      </c>
      <c r="S234" s="7">
        <f>+AV_PLAN[[#This Row],[TERMINO PLAN ACUMULADO]]/$G$471</f>
        <v>0.38636363636363635</v>
      </c>
      <c r="T234" s="7">
        <f t="shared" si="7"/>
        <v>0.15482954545454544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160</v>
      </c>
      <c r="F235">
        <v>1</v>
      </c>
      <c r="G235">
        <v>273</v>
      </c>
      <c r="H235">
        <v>0</v>
      </c>
      <c r="I235">
        <v>109</v>
      </c>
      <c r="J235" t="s">
        <v>815</v>
      </c>
      <c r="K235">
        <f>+WEEKNUM(AV_PLAN[[#This Row],[Días]])</f>
        <v>41</v>
      </c>
      <c r="L235" s="4">
        <f>IFERROR(AV_PLAN[[#This Row],[INICIO REAL ACUMULADO]]/AV_PLAN[[#This Row],[PLAN ACUMULADO]],"")</f>
        <v>0.49689440993788819</v>
      </c>
      <c r="M235" s="4">
        <f>IFERROR(AV_PLAN[[#This Row],[TERMINO REAL ACUMULADO]]/AV_PLAN[[#This Row],[TERMINO PLAN ACUMULADO]],"")</f>
        <v>0.39926739926739929</v>
      </c>
      <c r="N235">
        <f>+AV_PLAN[[#This Row],[PLAN ACUMULADO]]-AV_PLAN[[#This Row],[INICIO REAL ACUMULADO]]</f>
        <v>162</v>
      </c>
      <c r="O235">
        <f>+AV_PLAN[[#This Row],[TERMINO PLAN ACUMULADO]]-AV_PLAN[[#This Row],[TERMINO REAL ACUMULADO]]</f>
        <v>164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0.22727272727272727</v>
      </c>
      <c r="S235" s="7">
        <f>+AV_PLAN[[#This Row],[TERMINO PLAN ACUMULADO]]/$G$471</f>
        <v>0.38778409090909088</v>
      </c>
      <c r="T235" s="7">
        <f t="shared" si="7"/>
        <v>0.15482954545454544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160</v>
      </c>
      <c r="F236">
        <v>2</v>
      </c>
      <c r="G236">
        <v>275</v>
      </c>
      <c r="H236">
        <v>0</v>
      </c>
      <c r="I236">
        <v>109</v>
      </c>
      <c r="J236" t="s">
        <v>815</v>
      </c>
      <c r="K236">
        <f>+WEEKNUM(AV_PLAN[[#This Row],[Días]])</f>
        <v>41</v>
      </c>
      <c r="L236" s="4">
        <f>IFERROR(AV_PLAN[[#This Row],[INICIO REAL ACUMULADO]]/AV_PLAN[[#This Row],[PLAN ACUMULADO]],"")</f>
        <v>0.49230769230769234</v>
      </c>
      <c r="M236" s="4">
        <f>IFERROR(AV_PLAN[[#This Row],[TERMINO REAL ACUMULADO]]/AV_PLAN[[#This Row],[TERMINO PLAN ACUMULADO]],"")</f>
        <v>0.39636363636363636</v>
      </c>
      <c r="N236">
        <f>+AV_PLAN[[#This Row],[PLAN ACUMULADO]]-AV_PLAN[[#This Row],[INICIO REAL ACUMULADO]]</f>
        <v>165</v>
      </c>
      <c r="O236">
        <f>+AV_PLAN[[#This Row],[TERMINO PLAN ACUMULADO]]-AV_PLAN[[#This Row],[TERMINO REAL ACUMULADO]]</f>
        <v>166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0.22727272727272727</v>
      </c>
      <c r="S236" s="7">
        <f>+AV_PLAN[[#This Row],[TERMINO PLAN ACUMULADO]]/$G$471</f>
        <v>0.390625</v>
      </c>
      <c r="T236" s="7">
        <f t="shared" si="7"/>
        <v>0.15482954545454544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160</v>
      </c>
      <c r="F237">
        <v>2</v>
      </c>
      <c r="G237">
        <v>277</v>
      </c>
      <c r="H237">
        <v>0</v>
      </c>
      <c r="I237">
        <v>109</v>
      </c>
      <c r="J237" t="s">
        <v>815</v>
      </c>
      <c r="K237">
        <f>+WEEKNUM(AV_PLAN[[#This Row],[Días]])</f>
        <v>41</v>
      </c>
      <c r="L237" s="4">
        <f>IFERROR(AV_PLAN[[#This Row],[INICIO REAL ACUMULADO]]/AV_PLAN[[#This Row],[PLAN ACUMULADO]],"")</f>
        <v>0.48780487804878048</v>
      </c>
      <c r="M237" s="4">
        <f>IFERROR(AV_PLAN[[#This Row],[TERMINO REAL ACUMULADO]]/AV_PLAN[[#This Row],[TERMINO PLAN ACUMULADO]],"")</f>
        <v>0.39350180505415161</v>
      </c>
      <c r="N237">
        <f>+AV_PLAN[[#This Row],[PLAN ACUMULADO]]-AV_PLAN[[#This Row],[INICIO REAL ACUMULADO]]</f>
        <v>168</v>
      </c>
      <c r="O237">
        <f>+AV_PLAN[[#This Row],[TERMINO PLAN ACUMULADO]]-AV_PLAN[[#This Row],[TERMINO REAL ACUMULADO]]</f>
        <v>168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0.22727272727272727</v>
      </c>
      <c r="S237" s="7">
        <f>+AV_PLAN[[#This Row],[TERMINO PLAN ACUMULADO]]/$G$471</f>
        <v>0.39346590909090912</v>
      </c>
      <c r="T237" s="7">
        <f t="shared" si="7"/>
        <v>0.15482954545454544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160</v>
      </c>
      <c r="F238">
        <v>1</v>
      </c>
      <c r="G238">
        <v>278</v>
      </c>
      <c r="H238">
        <v>0</v>
      </c>
      <c r="I238">
        <v>109</v>
      </c>
      <c r="J238" t="s">
        <v>815</v>
      </c>
      <c r="K238">
        <f>+WEEKNUM(AV_PLAN[[#This Row],[Días]])</f>
        <v>41</v>
      </c>
      <c r="L238" s="4">
        <f>IFERROR(AV_PLAN[[#This Row],[INICIO REAL ACUMULADO]]/AV_PLAN[[#This Row],[PLAN ACUMULADO]],"")</f>
        <v>0.48780487804878048</v>
      </c>
      <c r="M238" s="4">
        <f>IFERROR(AV_PLAN[[#This Row],[TERMINO REAL ACUMULADO]]/AV_PLAN[[#This Row],[TERMINO PLAN ACUMULADO]],"")</f>
        <v>0.3920863309352518</v>
      </c>
      <c r="N238">
        <f>+AV_PLAN[[#This Row],[PLAN ACUMULADO]]-AV_PLAN[[#This Row],[INICIO REAL ACUMULADO]]</f>
        <v>168</v>
      </c>
      <c r="O238">
        <f>+AV_PLAN[[#This Row],[TERMINO PLAN ACUMULADO]]-AV_PLAN[[#This Row],[TERMINO REAL ACUMULADO]]</f>
        <v>169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0.22727272727272727</v>
      </c>
      <c r="S238" s="7">
        <f>+AV_PLAN[[#This Row],[TERMINO PLAN ACUMULADO]]/$G$471</f>
        <v>0.39488636363636365</v>
      </c>
      <c r="T238" s="7">
        <f t="shared" si="7"/>
        <v>0.15482954545454544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160</v>
      </c>
      <c r="F239">
        <v>3</v>
      </c>
      <c r="G239">
        <v>281</v>
      </c>
      <c r="H239">
        <v>0</v>
      </c>
      <c r="I239">
        <v>109</v>
      </c>
      <c r="J239" t="s">
        <v>815</v>
      </c>
      <c r="K239">
        <f>+WEEKNUM(AV_PLAN[[#This Row],[Días]])</f>
        <v>42</v>
      </c>
      <c r="L239" s="4">
        <f>IFERROR(AV_PLAN[[#This Row],[INICIO REAL ACUMULADO]]/AV_PLAN[[#This Row],[PLAN ACUMULADO]],"")</f>
        <v>0.48780487804878048</v>
      </c>
      <c r="M239" s="4">
        <f>IFERROR(AV_PLAN[[#This Row],[TERMINO REAL ACUMULADO]]/AV_PLAN[[#This Row],[TERMINO PLAN ACUMULADO]],"")</f>
        <v>0.38790035587188609</v>
      </c>
      <c r="N239">
        <f>+AV_PLAN[[#This Row],[PLAN ACUMULADO]]-AV_PLAN[[#This Row],[INICIO REAL ACUMULADO]]</f>
        <v>168</v>
      </c>
      <c r="O239">
        <f>+AV_PLAN[[#This Row],[TERMINO PLAN ACUMULADO]]-AV_PLAN[[#This Row],[TERMINO REAL ACUMULADO]]</f>
        <v>172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0.22727272727272727</v>
      </c>
      <c r="S239" s="7">
        <f>+AV_PLAN[[#This Row],[TERMINO PLAN ACUMULADO]]/$G$471</f>
        <v>0.39914772727272729</v>
      </c>
      <c r="T239" s="7">
        <f t="shared" si="7"/>
        <v>0.15482954545454544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160</v>
      </c>
      <c r="F240">
        <v>2</v>
      </c>
      <c r="G240">
        <v>283</v>
      </c>
      <c r="H240">
        <v>0</v>
      </c>
      <c r="I240">
        <v>109</v>
      </c>
      <c r="J240" t="s">
        <v>815</v>
      </c>
      <c r="K240">
        <f>+WEEKNUM(AV_PLAN[[#This Row],[Días]])</f>
        <v>42</v>
      </c>
      <c r="L240" s="4">
        <f>IFERROR(AV_PLAN[[#This Row],[INICIO REAL ACUMULADO]]/AV_PLAN[[#This Row],[PLAN ACUMULADO]],"")</f>
        <v>0.48338368580060426</v>
      </c>
      <c r="M240" s="4">
        <f>IFERROR(AV_PLAN[[#This Row],[TERMINO REAL ACUMULADO]]/AV_PLAN[[#This Row],[TERMINO PLAN ACUMULADO]],"")</f>
        <v>0.38515901060070673</v>
      </c>
      <c r="N240">
        <f>+AV_PLAN[[#This Row],[PLAN ACUMULADO]]-AV_PLAN[[#This Row],[INICIO REAL ACUMULADO]]</f>
        <v>171</v>
      </c>
      <c r="O240">
        <f>+AV_PLAN[[#This Row],[TERMINO PLAN ACUMULADO]]-AV_PLAN[[#This Row],[TERMINO REAL ACUMULADO]]</f>
        <v>174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0.22727272727272727</v>
      </c>
      <c r="S240" s="7">
        <f>+AV_PLAN[[#This Row],[TERMINO PLAN ACUMULADO]]/$G$471</f>
        <v>0.40198863636363635</v>
      </c>
      <c r="T240" s="7">
        <f t="shared" si="7"/>
        <v>0.15482954545454544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160</v>
      </c>
      <c r="F241">
        <v>1</v>
      </c>
      <c r="G241">
        <v>284</v>
      </c>
      <c r="H241">
        <v>0</v>
      </c>
      <c r="I241">
        <v>109</v>
      </c>
      <c r="J241" t="s">
        <v>815</v>
      </c>
      <c r="K241">
        <f>+WEEKNUM(AV_PLAN[[#This Row],[Días]])</f>
        <v>42</v>
      </c>
      <c r="L241" s="4">
        <f>IFERROR(AV_PLAN[[#This Row],[INICIO REAL ACUMULADO]]/AV_PLAN[[#This Row],[PLAN ACUMULADO]],"")</f>
        <v>0.47904191616766467</v>
      </c>
      <c r="M241" s="4">
        <f>IFERROR(AV_PLAN[[#This Row],[TERMINO REAL ACUMULADO]]/AV_PLAN[[#This Row],[TERMINO PLAN ACUMULADO]],"")</f>
        <v>0.38380281690140844</v>
      </c>
      <c r="N241">
        <f>+AV_PLAN[[#This Row],[PLAN ACUMULADO]]-AV_PLAN[[#This Row],[INICIO REAL ACUMULADO]]</f>
        <v>174</v>
      </c>
      <c r="O241">
        <f>+AV_PLAN[[#This Row],[TERMINO PLAN ACUMULADO]]-AV_PLAN[[#This Row],[TERMINO REAL ACUMULADO]]</f>
        <v>175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0.22727272727272727</v>
      </c>
      <c r="S241" s="7">
        <f>+AV_PLAN[[#This Row],[TERMINO PLAN ACUMULADO]]/$G$471</f>
        <v>0.40340909090909088</v>
      </c>
      <c r="T241" s="7">
        <f t="shared" si="7"/>
        <v>0.15482954545454544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160</v>
      </c>
      <c r="F242">
        <v>3</v>
      </c>
      <c r="G242">
        <v>287</v>
      </c>
      <c r="H242">
        <v>0</v>
      </c>
      <c r="I242">
        <v>109</v>
      </c>
      <c r="J242" t="s">
        <v>815</v>
      </c>
      <c r="K242">
        <f>+WEEKNUM(AV_PLAN[[#This Row],[Días]])</f>
        <v>42</v>
      </c>
      <c r="L242" s="4">
        <f>IFERROR(AV_PLAN[[#This Row],[INICIO REAL ACUMULADO]]/AV_PLAN[[#This Row],[PLAN ACUMULADO]],"")</f>
        <v>0.47477744807121663</v>
      </c>
      <c r="M242" s="4">
        <f>IFERROR(AV_PLAN[[#This Row],[TERMINO REAL ACUMULADO]]/AV_PLAN[[#This Row],[TERMINO PLAN ACUMULADO]],"")</f>
        <v>0.37979094076655051</v>
      </c>
      <c r="N242">
        <f>+AV_PLAN[[#This Row],[PLAN ACUMULADO]]-AV_PLAN[[#This Row],[INICIO REAL ACUMULADO]]</f>
        <v>177</v>
      </c>
      <c r="O242">
        <f>+AV_PLAN[[#This Row],[TERMINO PLAN ACUMULADO]]-AV_PLAN[[#This Row],[TERMINO REAL ACUMULADO]]</f>
        <v>178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0.22727272727272727</v>
      </c>
      <c r="S242" s="7">
        <f>+AV_PLAN[[#This Row],[TERMINO PLAN ACUMULADO]]/$G$471</f>
        <v>0.40767045454545453</v>
      </c>
      <c r="T242" s="7">
        <f t="shared" si="7"/>
        <v>0.15482954545454544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160</v>
      </c>
      <c r="F243">
        <v>4</v>
      </c>
      <c r="G243">
        <v>291</v>
      </c>
      <c r="H243">
        <v>0</v>
      </c>
      <c r="I243">
        <v>109</v>
      </c>
      <c r="J243" t="s">
        <v>815</v>
      </c>
      <c r="K243">
        <f>+WEEKNUM(AV_PLAN[[#This Row],[Días]])</f>
        <v>42</v>
      </c>
      <c r="L243" s="4">
        <f>IFERROR(AV_PLAN[[#This Row],[INICIO REAL ACUMULADO]]/AV_PLAN[[#This Row],[PLAN ACUMULADO]],"")</f>
        <v>0.47058823529411764</v>
      </c>
      <c r="M243" s="4">
        <f>IFERROR(AV_PLAN[[#This Row],[TERMINO REAL ACUMULADO]]/AV_PLAN[[#This Row],[TERMINO PLAN ACUMULADO]],"")</f>
        <v>0.37457044673539519</v>
      </c>
      <c r="N243">
        <f>+AV_PLAN[[#This Row],[PLAN ACUMULADO]]-AV_PLAN[[#This Row],[INICIO REAL ACUMULADO]]</f>
        <v>180</v>
      </c>
      <c r="O243">
        <f>+AV_PLAN[[#This Row],[TERMINO PLAN ACUMULADO]]-AV_PLAN[[#This Row],[TERMINO REAL ACUMULADO]]</f>
        <v>182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0.22727272727272727</v>
      </c>
      <c r="S243" s="7">
        <f>+AV_PLAN[[#This Row],[TERMINO PLAN ACUMULADO]]/$G$471</f>
        <v>0.41335227272727271</v>
      </c>
      <c r="T243" s="7">
        <f t="shared" si="7"/>
        <v>0.15482954545454544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160</v>
      </c>
      <c r="F244">
        <v>0</v>
      </c>
      <c r="G244">
        <v>291</v>
      </c>
      <c r="H244">
        <v>0</v>
      </c>
      <c r="I244">
        <v>109</v>
      </c>
      <c r="J244" t="s">
        <v>815</v>
      </c>
      <c r="K244">
        <f>+WEEKNUM(AV_PLAN[[#This Row],[Días]])</f>
        <v>42</v>
      </c>
      <c r="L244" s="4">
        <f>IFERROR(AV_PLAN[[#This Row],[INICIO REAL ACUMULADO]]/AV_PLAN[[#This Row],[PLAN ACUMULADO]],"")</f>
        <v>0.46647230320699706</v>
      </c>
      <c r="M244" s="4">
        <f>IFERROR(AV_PLAN[[#This Row],[TERMINO REAL ACUMULADO]]/AV_PLAN[[#This Row],[TERMINO PLAN ACUMULADO]],"")</f>
        <v>0.37457044673539519</v>
      </c>
      <c r="N244">
        <f>+AV_PLAN[[#This Row],[PLAN ACUMULADO]]-AV_PLAN[[#This Row],[INICIO REAL ACUMULADO]]</f>
        <v>183</v>
      </c>
      <c r="O244">
        <f>+AV_PLAN[[#This Row],[TERMINO PLAN ACUMULADO]]-AV_PLAN[[#This Row],[TERMINO REAL ACUMULADO]]</f>
        <v>182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0.22727272727272727</v>
      </c>
      <c r="S244" s="7">
        <f>+AV_PLAN[[#This Row],[TERMINO PLAN ACUMULADO]]/$G$471</f>
        <v>0.41335227272727271</v>
      </c>
      <c r="T244" s="7">
        <f t="shared" si="7"/>
        <v>0.15482954545454544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160</v>
      </c>
      <c r="F245">
        <v>0</v>
      </c>
      <c r="G245">
        <v>291</v>
      </c>
      <c r="H245">
        <v>0</v>
      </c>
      <c r="I245">
        <v>109</v>
      </c>
      <c r="J245" t="s">
        <v>815</v>
      </c>
      <c r="K245">
        <f>+WEEKNUM(AV_PLAN[[#This Row],[Días]])</f>
        <v>42</v>
      </c>
      <c r="L245" s="4">
        <f>IFERROR(AV_PLAN[[#This Row],[INICIO REAL ACUMULADO]]/AV_PLAN[[#This Row],[PLAN ACUMULADO]],"")</f>
        <v>0.46647230320699706</v>
      </c>
      <c r="M245" s="4">
        <f>IFERROR(AV_PLAN[[#This Row],[TERMINO REAL ACUMULADO]]/AV_PLAN[[#This Row],[TERMINO PLAN ACUMULADO]],"")</f>
        <v>0.37457044673539519</v>
      </c>
      <c r="N245">
        <f>+AV_PLAN[[#This Row],[PLAN ACUMULADO]]-AV_PLAN[[#This Row],[INICIO REAL ACUMULADO]]</f>
        <v>183</v>
      </c>
      <c r="O245">
        <f>+AV_PLAN[[#This Row],[TERMINO PLAN ACUMULADO]]-AV_PLAN[[#This Row],[TERMINO REAL ACUMULADO]]</f>
        <v>182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0.22727272727272727</v>
      </c>
      <c r="S245" s="7">
        <f>+AV_PLAN[[#This Row],[TERMINO PLAN ACUMULADO]]/$G$471</f>
        <v>0.41335227272727271</v>
      </c>
      <c r="T245" s="7">
        <f t="shared" si="7"/>
        <v>0.15482954545454544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160</v>
      </c>
      <c r="F246">
        <v>2</v>
      </c>
      <c r="G246">
        <v>293</v>
      </c>
      <c r="H246">
        <v>0</v>
      </c>
      <c r="I246">
        <v>109</v>
      </c>
      <c r="J246" t="s">
        <v>815</v>
      </c>
      <c r="K246">
        <f>+WEEKNUM(AV_PLAN[[#This Row],[Días]])</f>
        <v>43</v>
      </c>
      <c r="L246" s="4">
        <f>IFERROR(AV_PLAN[[#This Row],[INICIO REAL ACUMULADO]]/AV_PLAN[[#This Row],[PLAN ACUMULADO]],"")</f>
        <v>0.46647230320699706</v>
      </c>
      <c r="M246" s="4">
        <f>IFERROR(AV_PLAN[[#This Row],[TERMINO REAL ACUMULADO]]/AV_PLAN[[#This Row],[TERMINO PLAN ACUMULADO]],"")</f>
        <v>0.37201365187713309</v>
      </c>
      <c r="N246">
        <f>+AV_PLAN[[#This Row],[PLAN ACUMULADO]]-AV_PLAN[[#This Row],[INICIO REAL ACUMULADO]]</f>
        <v>183</v>
      </c>
      <c r="O246">
        <f>+AV_PLAN[[#This Row],[TERMINO PLAN ACUMULADO]]-AV_PLAN[[#This Row],[TERMINO REAL ACUMULADO]]</f>
        <v>184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0.22727272727272727</v>
      </c>
      <c r="S246" s="7">
        <f>+AV_PLAN[[#This Row],[TERMINO PLAN ACUMULADO]]/$G$471</f>
        <v>0.41619318181818182</v>
      </c>
      <c r="T246" s="7">
        <f t="shared" si="7"/>
        <v>0.15482954545454544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160</v>
      </c>
      <c r="F247">
        <v>1</v>
      </c>
      <c r="G247">
        <v>294</v>
      </c>
      <c r="H247">
        <v>0</v>
      </c>
      <c r="I247">
        <v>109</v>
      </c>
      <c r="J247" t="s">
        <v>815</v>
      </c>
      <c r="K247">
        <f>+WEEKNUM(AV_PLAN[[#This Row],[Días]])</f>
        <v>43</v>
      </c>
      <c r="L247" s="4">
        <f>IFERROR(AV_PLAN[[#This Row],[INICIO REAL ACUMULADO]]/AV_PLAN[[#This Row],[PLAN ACUMULADO]],"")</f>
        <v>0.46242774566473988</v>
      </c>
      <c r="M247" s="4">
        <f>IFERROR(AV_PLAN[[#This Row],[TERMINO REAL ACUMULADO]]/AV_PLAN[[#This Row],[TERMINO PLAN ACUMULADO]],"")</f>
        <v>0.37074829931972791</v>
      </c>
      <c r="N247">
        <f>+AV_PLAN[[#This Row],[PLAN ACUMULADO]]-AV_PLAN[[#This Row],[INICIO REAL ACUMULADO]]</f>
        <v>186</v>
      </c>
      <c r="O247">
        <f>+AV_PLAN[[#This Row],[TERMINO PLAN ACUMULADO]]-AV_PLAN[[#This Row],[TERMINO REAL ACUMULADO]]</f>
        <v>185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0.22727272727272727</v>
      </c>
      <c r="S247" s="7">
        <f>+AV_PLAN[[#This Row],[TERMINO PLAN ACUMULADO]]/$G$471</f>
        <v>0.41761363636363635</v>
      </c>
      <c r="T247" s="7">
        <f t="shared" si="7"/>
        <v>0.15482954545454544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160</v>
      </c>
      <c r="F248">
        <v>1</v>
      </c>
      <c r="G248">
        <v>295</v>
      </c>
      <c r="H248">
        <v>0</v>
      </c>
      <c r="I248">
        <v>109</v>
      </c>
      <c r="J248" t="s">
        <v>815</v>
      </c>
      <c r="K248">
        <f>+WEEKNUM(AV_PLAN[[#This Row],[Días]])</f>
        <v>43</v>
      </c>
      <c r="L248" s="4">
        <f>IFERROR(AV_PLAN[[#This Row],[INICIO REAL ACUMULADO]]/AV_PLAN[[#This Row],[PLAN ACUMULADO]],"")</f>
        <v>0.45845272206303728</v>
      </c>
      <c r="M248" s="4">
        <f>IFERROR(AV_PLAN[[#This Row],[TERMINO REAL ACUMULADO]]/AV_PLAN[[#This Row],[TERMINO PLAN ACUMULADO]],"")</f>
        <v>0.36949152542372882</v>
      </c>
      <c r="N248">
        <f>+AV_PLAN[[#This Row],[PLAN ACUMULADO]]-AV_PLAN[[#This Row],[INICIO REAL ACUMULADO]]</f>
        <v>189</v>
      </c>
      <c r="O248">
        <f>+AV_PLAN[[#This Row],[TERMINO PLAN ACUMULADO]]-AV_PLAN[[#This Row],[TERMINO REAL ACUMULADO]]</f>
        <v>186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0.22727272727272727</v>
      </c>
      <c r="S248" s="7">
        <f>+AV_PLAN[[#This Row],[TERMINO PLAN ACUMULADO]]/$G$471</f>
        <v>0.41903409090909088</v>
      </c>
      <c r="T248" s="7">
        <f t="shared" si="7"/>
        <v>0.15482954545454544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160</v>
      </c>
      <c r="F249">
        <v>3</v>
      </c>
      <c r="G249">
        <v>298</v>
      </c>
      <c r="H249">
        <v>0</v>
      </c>
      <c r="I249">
        <v>109</v>
      </c>
      <c r="J249" t="s">
        <v>815</v>
      </c>
      <c r="K249">
        <f>+WEEKNUM(AV_PLAN[[#This Row],[Días]])</f>
        <v>43</v>
      </c>
      <c r="L249" s="4">
        <f>IFERROR(AV_PLAN[[#This Row],[INICIO REAL ACUMULADO]]/AV_PLAN[[#This Row],[PLAN ACUMULADO]],"")</f>
        <v>0.45454545454545453</v>
      </c>
      <c r="M249" s="4">
        <f>IFERROR(AV_PLAN[[#This Row],[TERMINO REAL ACUMULADO]]/AV_PLAN[[#This Row],[TERMINO PLAN ACUMULADO]],"")</f>
        <v>0.36577181208053694</v>
      </c>
      <c r="N249">
        <f>+AV_PLAN[[#This Row],[PLAN ACUMULADO]]-AV_PLAN[[#This Row],[INICIO REAL ACUMULADO]]</f>
        <v>192</v>
      </c>
      <c r="O249">
        <f>+AV_PLAN[[#This Row],[TERMINO PLAN ACUMULADO]]-AV_PLAN[[#This Row],[TERMINO REAL ACUMULADO]]</f>
        <v>189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0.22727272727272727</v>
      </c>
      <c r="S249" s="7">
        <f>+AV_PLAN[[#This Row],[TERMINO PLAN ACUMULADO]]/$G$471</f>
        <v>0.42329545454545453</v>
      </c>
      <c r="T249" s="7">
        <f t="shared" si="7"/>
        <v>0.15482954545454544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160</v>
      </c>
      <c r="F250">
        <v>3</v>
      </c>
      <c r="G250">
        <v>301</v>
      </c>
      <c r="H250">
        <v>0</v>
      </c>
      <c r="I250">
        <v>109</v>
      </c>
      <c r="J250" t="s">
        <v>815</v>
      </c>
      <c r="K250">
        <f>+WEEKNUM(AV_PLAN[[#This Row],[Días]])</f>
        <v>43</v>
      </c>
      <c r="L250" s="4">
        <f>IFERROR(AV_PLAN[[#This Row],[INICIO REAL ACUMULADO]]/AV_PLAN[[#This Row],[PLAN ACUMULADO]],"")</f>
        <v>0.45070422535211269</v>
      </c>
      <c r="M250" s="4">
        <f>IFERROR(AV_PLAN[[#This Row],[TERMINO REAL ACUMULADO]]/AV_PLAN[[#This Row],[TERMINO PLAN ACUMULADO]],"")</f>
        <v>0.36212624584717606</v>
      </c>
      <c r="N250">
        <f>+AV_PLAN[[#This Row],[PLAN ACUMULADO]]-AV_PLAN[[#This Row],[INICIO REAL ACUMULADO]]</f>
        <v>195</v>
      </c>
      <c r="O250">
        <f>+AV_PLAN[[#This Row],[TERMINO PLAN ACUMULADO]]-AV_PLAN[[#This Row],[TERMINO REAL ACUMULADO]]</f>
        <v>192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0.22727272727272727</v>
      </c>
      <c r="S250" s="7">
        <f>+AV_PLAN[[#This Row],[TERMINO PLAN ACUMULADO]]/$G$471</f>
        <v>0.42755681818181818</v>
      </c>
      <c r="T250" s="7">
        <f t="shared" si="7"/>
        <v>0.15482954545454544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160</v>
      </c>
      <c r="F251">
        <v>2</v>
      </c>
      <c r="G251">
        <v>303</v>
      </c>
      <c r="H251">
        <v>0</v>
      </c>
      <c r="I251">
        <v>109</v>
      </c>
      <c r="J251" t="s">
        <v>815</v>
      </c>
      <c r="K251">
        <f>+WEEKNUM(AV_PLAN[[#This Row],[Días]])</f>
        <v>43</v>
      </c>
      <c r="L251" s="4">
        <f>IFERROR(AV_PLAN[[#This Row],[INICIO REAL ACUMULADO]]/AV_PLAN[[#This Row],[PLAN ACUMULADO]],"")</f>
        <v>0.44692737430167595</v>
      </c>
      <c r="M251" s="4">
        <f>IFERROR(AV_PLAN[[#This Row],[TERMINO REAL ACUMULADO]]/AV_PLAN[[#This Row],[TERMINO PLAN ACUMULADO]],"")</f>
        <v>0.35973597359735976</v>
      </c>
      <c r="N251">
        <f>+AV_PLAN[[#This Row],[PLAN ACUMULADO]]-AV_PLAN[[#This Row],[INICIO REAL ACUMULADO]]</f>
        <v>198</v>
      </c>
      <c r="O251">
        <f>+AV_PLAN[[#This Row],[TERMINO PLAN ACUMULADO]]-AV_PLAN[[#This Row],[TERMINO REAL ACUMULADO]]</f>
        <v>194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0.22727272727272727</v>
      </c>
      <c r="S251" s="7">
        <f>+AV_PLAN[[#This Row],[TERMINO PLAN ACUMULADO]]/$G$471</f>
        <v>0.43039772727272729</v>
      </c>
      <c r="T251" s="7">
        <f t="shared" si="7"/>
        <v>0.15482954545454544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160</v>
      </c>
      <c r="F252">
        <v>2</v>
      </c>
      <c r="G252">
        <v>305</v>
      </c>
      <c r="H252">
        <v>0</v>
      </c>
      <c r="I252">
        <v>109</v>
      </c>
      <c r="J252" t="s">
        <v>815</v>
      </c>
      <c r="K252">
        <f>+WEEKNUM(AV_PLAN[[#This Row],[Días]])</f>
        <v>43</v>
      </c>
      <c r="L252" s="4">
        <f>IFERROR(AV_PLAN[[#This Row],[INICIO REAL ACUMULADO]]/AV_PLAN[[#This Row],[PLAN ACUMULADO]],"")</f>
        <v>0.44692737430167595</v>
      </c>
      <c r="M252" s="4">
        <f>IFERROR(AV_PLAN[[#This Row],[TERMINO REAL ACUMULADO]]/AV_PLAN[[#This Row],[TERMINO PLAN ACUMULADO]],"")</f>
        <v>0.35737704918032787</v>
      </c>
      <c r="N252">
        <f>+AV_PLAN[[#This Row],[PLAN ACUMULADO]]-AV_PLAN[[#This Row],[INICIO REAL ACUMULADO]]</f>
        <v>198</v>
      </c>
      <c r="O252">
        <f>+AV_PLAN[[#This Row],[TERMINO PLAN ACUMULADO]]-AV_PLAN[[#This Row],[TERMINO REAL ACUMULADO]]</f>
        <v>196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0.22727272727272727</v>
      </c>
      <c r="S252" s="7">
        <f>+AV_PLAN[[#This Row],[TERMINO PLAN ACUMULADO]]/$G$471</f>
        <v>0.43323863636363635</v>
      </c>
      <c r="T252" s="7">
        <f t="shared" si="7"/>
        <v>0.15482954545454544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160</v>
      </c>
      <c r="F253">
        <v>2</v>
      </c>
      <c r="G253">
        <v>307</v>
      </c>
      <c r="H253">
        <v>0</v>
      </c>
      <c r="I253">
        <v>109</v>
      </c>
      <c r="J253" t="s">
        <v>815</v>
      </c>
      <c r="K253">
        <f>+WEEKNUM(AV_PLAN[[#This Row],[Días]])</f>
        <v>44</v>
      </c>
      <c r="L253" s="4">
        <f>IFERROR(AV_PLAN[[#This Row],[INICIO REAL ACUMULADO]]/AV_PLAN[[#This Row],[PLAN ACUMULADO]],"")</f>
        <v>0.44692737430167595</v>
      </c>
      <c r="M253" s="4">
        <f>IFERROR(AV_PLAN[[#This Row],[TERMINO REAL ACUMULADO]]/AV_PLAN[[#This Row],[TERMINO PLAN ACUMULADO]],"")</f>
        <v>0.35504885993485341</v>
      </c>
      <c r="N253">
        <f>+AV_PLAN[[#This Row],[PLAN ACUMULADO]]-AV_PLAN[[#This Row],[INICIO REAL ACUMULADO]]</f>
        <v>198</v>
      </c>
      <c r="O253">
        <f>+AV_PLAN[[#This Row],[TERMINO PLAN ACUMULADO]]-AV_PLAN[[#This Row],[TERMINO REAL ACUMULADO]]</f>
        <v>198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0.22727272727272727</v>
      </c>
      <c r="S253" s="7">
        <f>+AV_PLAN[[#This Row],[TERMINO PLAN ACUMULADO]]/$G$471</f>
        <v>0.43607954545454547</v>
      </c>
      <c r="T253" s="7">
        <f t="shared" si="7"/>
        <v>0.15482954545454544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160</v>
      </c>
      <c r="F254">
        <v>1</v>
      </c>
      <c r="G254">
        <v>308</v>
      </c>
      <c r="H254">
        <v>0</v>
      </c>
      <c r="I254">
        <v>109</v>
      </c>
      <c r="J254" t="s">
        <v>815</v>
      </c>
      <c r="K254">
        <f>+WEEKNUM(AV_PLAN[[#This Row],[Días]])</f>
        <v>44</v>
      </c>
      <c r="L254" s="4">
        <f>IFERROR(AV_PLAN[[#This Row],[INICIO REAL ACUMULADO]]/AV_PLAN[[#This Row],[PLAN ACUMULADO]],"")</f>
        <v>0.44321329639889195</v>
      </c>
      <c r="M254" s="4">
        <f>IFERROR(AV_PLAN[[#This Row],[TERMINO REAL ACUMULADO]]/AV_PLAN[[#This Row],[TERMINO PLAN ACUMULADO]],"")</f>
        <v>0.35389610389610388</v>
      </c>
      <c r="N254">
        <f>+AV_PLAN[[#This Row],[PLAN ACUMULADO]]-AV_PLAN[[#This Row],[INICIO REAL ACUMULADO]]</f>
        <v>201</v>
      </c>
      <c r="O254">
        <f>+AV_PLAN[[#This Row],[TERMINO PLAN ACUMULADO]]-AV_PLAN[[#This Row],[TERMINO REAL ACUMULADO]]</f>
        <v>199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0.22727272727272727</v>
      </c>
      <c r="S254" s="7">
        <f>+AV_PLAN[[#This Row],[TERMINO PLAN ACUMULADO]]/$G$471</f>
        <v>0.4375</v>
      </c>
      <c r="T254" s="7">
        <f t="shared" si="7"/>
        <v>0.15482954545454544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160</v>
      </c>
      <c r="F255">
        <v>2</v>
      </c>
      <c r="G255">
        <v>310</v>
      </c>
      <c r="H255">
        <v>0</v>
      </c>
      <c r="I255">
        <v>109</v>
      </c>
      <c r="J255" t="s">
        <v>815</v>
      </c>
      <c r="K255">
        <f>+WEEKNUM(AV_PLAN[[#This Row],[Días]])</f>
        <v>44</v>
      </c>
      <c r="L255" s="4">
        <f>IFERROR(AV_PLAN[[#This Row],[INICIO REAL ACUMULADO]]/AV_PLAN[[#This Row],[PLAN ACUMULADO]],"")</f>
        <v>0.43956043956043955</v>
      </c>
      <c r="M255" s="4">
        <f>IFERROR(AV_PLAN[[#This Row],[TERMINO REAL ACUMULADO]]/AV_PLAN[[#This Row],[TERMINO PLAN ACUMULADO]],"")</f>
        <v>0.35161290322580646</v>
      </c>
      <c r="N255">
        <f>+AV_PLAN[[#This Row],[PLAN ACUMULADO]]-AV_PLAN[[#This Row],[INICIO REAL ACUMULADO]]</f>
        <v>204</v>
      </c>
      <c r="O255">
        <f>+AV_PLAN[[#This Row],[TERMINO PLAN ACUMULADO]]-AV_PLAN[[#This Row],[TERMINO REAL ACUMULADO]]</f>
        <v>201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0.22727272727272727</v>
      </c>
      <c r="S255" s="7">
        <f>+AV_PLAN[[#This Row],[TERMINO PLAN ACUMULADO]]/$G$471</f>
        <v>0.44034090909090912</v>
      </c>
      <c r="T255" s="7">
        <f t="shared" si="7"/>
        <v>0.15482954545454544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160</v>
      </c>
      <c r="F256">
        <v>3</v>
      </c>
      <c r="G256">
        <v>313</v>
      </c>
      <c r="H256">
        <v>0</v>
      </c>
      <c r="I256">
        <v>109</v>
      </c>
      <c r="J256" t="s">
        <v>815</v>
      </c>
      <c r="K256">
        <f>+WEEKNUM(AV_PLAN[[#This Row],[Días]])</f>
        <v>44</v>
      </c>
      <c r="L256" s="4">
        <f>IFERROR(AV_PLAN[[#This Row],[INICIO REAL ACUMULADO]]/AV_PLAN[[#This Row],[PLAN ACUMULADO]],"")</f>
        <v>0.43596730245231607</v>
      </c>
      <c r="M256" s="4">
        <f>IFERROR(AV_PLAN[[#This Row],[TERMINO REAL ACUMULADO]]/AV_PLAN[[#This Row],[TERMINO PLAN ACUMULADO]],"")</f>
        <v>0.34824281150159747</v>
      </c>
      <c r="N256">
        <f>+AV_PLAN[[#This Row],[PLAN ACUMULADO]]-AV_PLAN[[#This Row],[INICIO REAL ACUMULADO]]</f>
        <v>207</v>
      </c>
      <c r="O256">
        <f>+AV_PLAN[[#This Row],[TERMINO PLAN ACUMULADO]]-AV_PLAN[[#This Row],[TERMINO REAL ACUMULADO]]</f>
        <v>204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0.22727272727272727</v>
      </c>
      <c r="S256" s="7">
        <f>+AV_PLAN[[#This Row],[TERMINO PLAN ACUMULADO]]/$G$471</f>
        <v>0.44460227272727271</v>
      </c>
      <c r="T256" s="7">
        <f t="shared" si="7"/>
        <v>0.15482954545454544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160</v>
      </c>
      <c r="F257">
        <v>3</v>
      </c>
      <c r="G257">
        <v>316</v>
      </c>
      <c r="H257">
        <v>0</v>
      </c>
      <c r="I257">
        <v>109</v>
      </c>
      <c r="J257" t="s">
        <v>815</v>
      </c>
      <c r="K257">
        <f>+WEEKNUM(AV_PLAN[[#This Row],[Días]])</f>
        <v>44</v>
      </c>
      <c r="L257" s="4">
        <f>IFERROR(AV_PLAN[[#This Row],[INICIO REAL ACUMULADO]]/AV_PLAN[[#This Row],[PLAN ACUMULADO]],"")</f>
        <v>0.43243243243243246</v>
      </c>
      <c r="M257" s="4">
        <f>IFERROR(AV_PLAN[[#This Row],[TERMINO REAL ACUMULADO]]/AV_PLAN[[#This Row],[TERMINO PLAN ACUMULADO]],"")</f>
        <v>0.3449367088607595</v>
      </c>
      <c r="N257">
        <f>+AV_PLAN[[#This Row],[PLAN ACUMULADO]]-AV_PLAN[[#This Row],[INICIO REAL ACUMULADO]]</f>
        <v>210</v>
      </c>
      <c r="O257">
        <f>+AV_PLAN[[#This Row],[TERMINO PLAN ACUMULADO]]-AV_PLAN[[#This Row],[TERMINO REAL ACUMULADO]]</f>
        <v>207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0.22727272727272727</v>
      </c>
      <c r="S257" s="7">
        <f>+AV_PLAN[[#This Row],[TERMINO PLAN ACUMULADO]]/$G$471</f>
        <v>0.44886363636363635</v>
      </c>
      <c r="T257" s="7">
        <f t="shared" si="7"/>
        <v>0.15482954545454544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160</v>
      </c>
      <c r="F258">
        <v>2</v>
      </c>
      <c r="G258">
        <v>318</v>
      </c>
      <c r="H258">
        <v>0</v>
      </c>
      <c r="I258">
        <v>109</v>
      </c>
      <c r="J258" t="s">
        <v>815</v>
      </c>
      <c r="K258">
        <f>+WEEKNUM(AV_PLAN[[#This Row],[Días]])</f>
        <v>44</v>
      </c>
      <c r="L258" s="4">
        <f>IFERROR(AV_PLAN[[#This Row],[INICIO REAL ACUMULADO]]/AV_PLAN[[#This Row],[PLAN ACUMULADO]],"")</f>
        <v>0.42895442359249331</v>
      </c>
      <c r="M258" s="4">
        <f>IFERROR(AV_PLAN[[#This Row],[TERMINO REAL ACUMULADO]]/AV_PLAN[[#This Row],[TERMINO PLAN ACUMULADO]],"")</f>
        <v>0.34276729559748426</v>
      </c>
      <c r="N258">
        <f>+AV_PLAN[[#This Row],[PLAN ACUMULADO]]-AV_PLAN[[#This Row],[INICIO REAL ACUMULADO]]</f>
        <v>213</v>
      </c>
      <c r="O258">
        <f>+AV_PLAN[[#This Row],[TERMINO PLAN ACUMULADO]]-AV_PLAN[[#This Row],[TERMINO REAL ACUMULADO]]</f>
        <v>209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0.22727272727272727</v>
      </c>
      <c r="S258" s="7">
        <f>+AV_PLAN[[#This Row],[TERMINO PLAN ACUMULADO]]/$G$471</f>
        <v>0.45170454545454547</v>
      </c>
      <c r="T258" s="7">
        <f t="shared" ref="T258:T321" si="9">IF(H258="",NA(),I258/$G$471)</f>
        <v>0.15482954545454544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160</v>
      </c>
      <c r="F259">
        <v>1</v>
      </c>
      <c r="G259">
        <v>319</v>
      </c>
      <c r="H259">
        <v>0</v>
      </c>
      <c r="I259">
        <v>109</v>
      </c>
      <c r="J259" t="s">
        <v>815</v>
      </c>
      <c r="K259">
        <f>+WEEKNUM(AV_PLAN[[#This Row],[Días]])</f>
        <v>44</v>
      </c>
      <c r="L259" s="4">
        <f>IFERROR(AV_PLAN[[#This Row],[INICIO REAL ACUMULADO]]/AV_PLAN[[#This Row],[PLAN ACUMULADO]],"")</f>
        <v>0.42895442359249331</v>
      </c>
      <c r="M259" s="4">
        <f>IFERROR(AV_PLAN[[#This Row],[TERMINO REAL ACUMULADO]]/AV_PLAN[[#This Row],[TERMINO PLAN ACUMULADO]],"")</f>
        <v>0.34169278996865204</v>
      </c>
      <c r="N259">
        <f>+AV_PLAN[[#This Row],[PLAN ACUMULADO]]-AV_PLAN[[#This Row],[INICIO REAL ACUMULADO]]</f>
        <v>213</v>
      </c>
      <c r="O259">
        <f>+AV_PLAN[[#This Row],[TERMINO PLAN ACUMULADO]]-AV_PLAN[[#This Row],[TERMINO REAL ACUMULADO]]</f>
        <v>210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0.22727272727272727</v>
      </c>
      <c r="S259" s="7">
        <f>+AV_PLAN[[#This Row],[TERMINO PLAN ACUMULADO]]/$G$471</f>
        <v>0.453125</v>
      </c>
      <c r="T259" s="7">
        <f t="shared" si="9"/>
        <v>0.15482954545454544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160</v>
      </c>
      <c r="F260">
        <v>2</v>
      </c>
      <c r="G260">
        <v>321</v>
      </c>
      <c r="H260">
        <v>0</v>
      </c>
      <c r="I260">
        <v>109</v>
      </c>
      <c r="J260" t="s">
        <v>816</v>
      </c>
      <c r="K260">
        <f>+WEEKNUM(AV_PLAN[[#This Row],[Días]])</f>
        <v>45</v>
      </c>
      <c r="L260" s="4">
        <f>IFERROR(AV_PLAN[[#This Row],[INICIO REAL ACUMULADO]]/AV_PLAN[[#This Row],[PLAN ACUMULADO]],"")</f>
        <v>0.42895442359249331</v>
      </c>
      <c r="M260" s="4">
        <f>IFERROR(AV_PLAN[[#This Row],[TERMINO REAL ACUMULADO]]/AV_PLAN[[#This Row],[TERMINO PLAN ACUMULADO]],"")</f>
        <v>0.33956386292834889</v>
      </c>
      <c r="N260">
        <f>+AV_PLAN[[#This Row],[PLAN ACUMULADO]]-AV_PLAN[[#This Row],[INICIO REAL ACUMULADO]]</f>
        <v>213</v>
      </c>
      <c r="O260">
        <f>+AV_PLAN[[#This Row],[TERMINO PLAN ACUMULADO]]-AV_PLAN[[#This Row],[TERMINO REAL ACUMULADO]]</f>
        <v>212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0.22727272727272727</v>
      </c>
      <c r="S260" s="7">
        <f>+AV_PLAN[[#This Row],[TERMINO PLAN ACUMULADO]]/$G$471</f>
        <v>0.45596590909090912</v>
      </c>
      <c r="T260" s="7">
        <f t="shared" si="9"/>
        <v>0.15482954545454544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160</v>
      </c>
      <c r="F261">
        <v>2</v>
      </c>
      <c r="G261">
        <v>323</v>
      </c>
      <c r="H261">
        <v>0</v>
      </c>
      <c r="I261">
        <v>109</v>
      </c>
      <c r="J261" t="s">
        <v>816</v>
      </c>
      <c r="K261">
        <f>+WEEKNUM(AV_PLAN[[#This Row],[Días]])</f>
        <v>45</v>
      </c>
      <c r="L261" s="4">
        <f>IFERROR(AV_PLAN[[#This Row],[INICIO REAL ACUMULADO]]/AV_PLAN[[#This Row],[PLAN ACUMULADO]],"")</f>
        <v>0.42553191489361702</v>
      </c>
      <c r="M261" s="4">
        <f>IFERROR(AV_PLAN[[#This Row],[TERMINO REAL ACUMULADO]]/AV_PLAN[[#This Row],[TERMINO PLAN ACUMULADO]],"")</f>
        <v>0.33746130030959753</v>
      </c>
      <c r="N261">
        <f>+AV_PLAN[[#This Row],[PLAN ACUMULADO]]-AV_PLAN[[#This Row],[INICIO REAL ACUMULADO]]</f>
        <v>216</v>
      </c>
      <c r="O261">
        <f>+AV_PLAN[[#This Row],[TERMINO PLAN ACUMULADO]]-AV_PLAN[[#This Row],[TERMINO REAL ACUMULADO]]</f>
        <v>214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0.22727272727272727</v>
      </c>
      <c r="S261" s="7">
        <f>+AV_PLAN[[#This Row],[TERMINO PLAN ACUMULADO]]/$G$471</f>
        <v>0.45880681818181818</v>
      </c>
      <c r="T261" s="7">
        <f t="shared" si="9"/>
        <v>0.15482954545454544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160</v>
      </c>
      <c r="F262">
        <v>2</v>
      </c>
      <c r="G262">
        <v>325</v>
      </c>
      <c r="H262">
        <v>0</v>
      </c>
      <c r="I262">
        <v>109</v>
      </c>
      <c r="J262" t="s">
        <v>816</v>
      </c>
      <c r="K262">
        <f>+WEEKNUM(AV_PLAN[[#This Row],[Días]])</f>
        <v>45</v>
      </c>
      <c r="L262" s="4">
        <f>IFERROR(AV_PLAN[[#This Row],[INICIO REAL ACUMULADO]]/AV_PLAN[[#This Row],[PLAN ACUMULADO]],"")</f>
        <v>0.42216358839050133</v>
      </c>
      <c r="M262" s="4">
        <f>IFERROR(AV_PLAN[[#This Row],[TERMINO REAL ACUMULADO]]/AV_PLAN[[#This Row],[TERMINO PLAN ACUMULADO]],"")</f>
        <v>0.33538461538461539</v>
      </c>
      <c r="N262">
        <f>+AV_PLAN[[#This Row],[PLAN ACUMULADO]]-AV_PLAN[[#This Row],[INICIO REAL ACUMULADO]]</f>
        <v>219</v>
      </c>
      <c r="O262">
        <f>+AV_PLAN[[#This Row],[TERMINO PLAN ACUMULADO]]-AV_PLAN[[#This Row],[TERMINO REAL ACUMULADO]]</f>
        <v>216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0.22727272727272727</v>
      </c>
      <c r="S262" s="7">
        <f>+AV_PLAN[[#This Row],[TERMINO PLAN ACUMULADO]]/$G$471</f>
        <v>0.46164772727272729</v>
      </c>
      <c r="T262" s="7">
        <f t="shared" si="9"/>
        <v>0.15482954545454544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160</v>
      </c>
      <c r="F263">
        <v>3</v>
      </c>
      <c r="G263">
        <v>328</v>
      </c>
      <c r="H263">
        <v>0</v>
      </c>
      <c r="I263">
        <v>109</v>
      </c>
      <c r="J263" t="s">
        <v>816</v>
      </c>
      <c r="K263">
        <f>+WEEKNUM(AV_PLAN[[#This Row],[Días]])</f>
        <v>45</v>
      </c>
      <c r="L263" s="4">
        <f>IFERROR(AV_PLAN[[#This Row],[INICIO REAL ACUMULADO]]/AV_PLAN[[#This Row],[PLAN ACUMULADO]],"")</f>
        <v>0.41884816753926701</v>
      </c>
      <c r="M263" s="4">
        <f>IFERROR(AV_PLAN[[#This Row],[TERMINO REAL ACUMULADO]]/AV_PLAN[[#This Row],[TERMINO PLAN ACUMULADO]],"")</f>
        <v>0.33231707317073172</v>
      </c>
      <c r="N263">
        <f>+AV_PLAN[[#This Row],[PLAN ACUMULADO]]-AV_PLAN[[#This Row],[INICIO REAL ACUMULADO]]</f>
        <v>222</v>
      </c>
      <c r="O263">
        <f>+AV_PLAN[[#This Row],[TERMINO PLAN ACUMULADO]]-AV_PLAN[[#This Row],[TERMINO REAL ACUMULADO]]</f>
        <v>219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0.22727272727272727</v>
      </c>
      <c r="S263" s="7">
        <f>+AV_PLAN[[#This Row],[TERMINO PLAN ACUMULADO]]/$G$471</f>
        <v>0.46590909090909088</v>
      </c>
      <c r="T263" s="7">
        <f t="shared" si="9"/>
        <v>0.15482954545454544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160</v>
      </c>
      <c r="F264">
        <v>3</v>
      </c>
      <c r="G264">
        <v>331</v>
      </c>
      <c r="H264">
        <v>0</v>
      </c>
      <c r="I264">
        <v>109</v>
      </c>
      <c r="J264" t="s">
        <v>816</v>
      </c>
      <c r="K264">
        <f>+WEEKNUM(AV_PLAN[[#This Row],[Días]])</f>
        <v>45</v>
      </c>
      <c r="L264" s="4">
        <f>IFERROR(AV_PLAN[[#This Row],[INICIO REAL ACUMULADO]]/AV_PLAN[[#This Row],[PLAN ACUMULADO]],"")</f>
        <v>0.41558441558441561</v>
      </c>
      <c r="M264" s="4">
        <f>IFERROR(AV_PLAN[[#This Row],[TERMINO REAL ACUMULADO]]/AV_PLAN[[#This Row],[TERMINO PLAN ACUMULADO]],"")</f>
        <v>0.32930513595166161</v>
      </c>
      <c r="N264">
        <f>+AV_PLAN[[#This Row],[PLAN ACUMULADO]]-AV_PLAN[[#This Row],[INICIO REAL ACUMULADO]]</f>
        <v>225</v>
      </c>
      <c r="O264">
        <f>+AV_PLAN[[#This Row],[TERMINO PLAN ACUMULADO]]-AV_PLAN[[#This Row],[TERMINO REAL ACUMULADO]]</f>
        <v>222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0.22727272727272727</v>
      </c>
      <c r="S264" s="7">
        <f>+AV_PLAN[[#This Row],[TERMINO PLAN ACUMULADO]]/$G$471</f>
        <v>0.47017045454545453</v>
      </c>
      <c r="T264" s="7">
        <f t="shared" si="9"/>
        <v>0.15482954545454544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160</v>
      </c>
      <c r="F265">
        <v>1</v>
      </c>
      <c r="G265">
        <v>332</v>
      </c>
      <c r="H265">
        <v>0</v>
      </c>
      <c r="I265">
        <v>109</v>
      </c>
      <c r="J265" t="s">
        <v>816</v>
      </c>
      <c r="K265">
        <f>+WEEKNUM(AV_PLAN[[#This Row],[Días]])</f>
        <v>45</v>
      </c>
      <c r="L265" s="4">
        <f>IFERROR(AV_PLAN[[#This Row],[INICIO REAL ACUMULADO]]/AV_PLAN[[#This Row],[PLAN ACUMULADO]],"")</f>
        <v>0.41237113402061853</v>
      </c>
      <c r="M265" s="4">
        <f>IFERROR(AV_PLAN[[#This Row],[TERMINO REAL ACUMULADO]]/AV_PLAN[[#This Row],[TERMINO PLAN ACUMULADO]],"")</f>
        <v>0.32831325301204817</v>
      </c>
      <c r="N265">
        <f>+AV_PLAN[[#This Row],[PLAN ACUMULADO]]-AV_PLAN[[#This Row],[INICIO REAL ACUMULADO]]</f>
        <v>228</v>
      </c>
      <c r="O265">
        <f>+AV_PLAN[[#This Row],[TERMINO PLAN ACUMULADO]]-AV_PLAN[[#This Row],[TERMINO REAL ACUMULADO]]</f>
        <v>223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0.22727272727272727</v>
      </c>
      <c r="S265" s="7">
        <f>+AV_PLAN[[#This Row],[TERMINO PLAN ACUMULADO]]/$G$471</f>
        <v>0.47159090909090912</v>
      </c>
      <c r="T265" s="7">
        <f t="shared" si="9"/>
        <v>0.15482954545454544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160</v>
      </c>
      <c r="F266">
        <v>1</v>
      </c>
      <c r="G266">
        <v>333</v>
      </c>
      <c r="H266">
        <v>0</v>
      </c>
      <c r="I266">
        <v>109</v>
      </c>
      <c r="J266" t="s">
        <v>816</v>
      </c>
      <c r="K266">
        <f>+WEEKNUM(AV_PLAN[[#This Row],[Días]])</f>
        <v>45</v>
      </c>
      <c r="L266" s="4">
        <f>IFERROR(AV_PLAN[[#This Row],[INICIO REAL ACUMULADO]]/AV_PLAN[[#This Row],[PLAN ACUMULADO]],"")</f>
        <v>0.41237113402061853</v>
      </c>
      <c r="M266" s="4">
        <f>IFERROR(AV_PLAN[[#This Row],[TERMINO REAL ACUMULADO]]/AV_PLAN[[#This Row],[TERMINO PLAN ACUMULADO]],"")</f>
        <v>0.32732732732732733</v>
      </c>
      <c r="N266">
        <f>+AV_PLAN[[#This Row],[PLAN ACUMULADO]]-AV_PLAN[[#This Row],[INICIO REAL ACUMULADO]]</f>
        <v>228</v>
      </c>
      <c r="O266">
        <f>+AV_PLAN[[#This Row],[TERMINO PLAN ACUMULADO]]-AV_PLAN[[#This Row],[TERMINO REAL ACUMULADO]]</f>
        <v>224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0.22727272727272727</v>
      </c>
      <c r="S266" s="7">
        <f>+AV_PLAN[[#This Row],[TERMINO PLAN ACUMULADO]]/$G$471</f>
        <v>0.47301136363636365</v>
      </c>
      <c r="T266" s="7">
        <f t="shared" si="9"/>
        <v>0.15482954545454544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160</v>
      </c>
      <c r="F267">
        <v>4</v>
      </c>
      <c r="G267">
        <v>337</v>
      </c>
      <c r="H267">
        <v>0</v>
      </c>
      <c r="I267">
        <v>109</v>
      </c>
      <c r="J267" t="s">
        <v>816</v>
      </c>
      <c r="K267">
        <f>+WEEKNUM(AV_PLAN[[#This Row],[Días]])</f>
        <v>46</v>
      </c>
      <c r="L267" s="4">
        <f>IFERROR(AV_PLAN[[#This Row],[INICIO REAL ACUMULADO]]/AV_PLAN[[#This Row],[PLAN ACUMULADO]],"")</f>
        <v>0.41237113402061853</v>
      </c>
      <c r="M267" s="4">
        <f>IFERROR(AV_PLAN[[#This Row],[TERMINO REAL ACUMULADO]]/AV_PLAN[[#This Row],[TERMINO PLAN ACUMULADO]],"")</f>
        <v>0.32344213649851633</v>
      </c>
      <c r="N267">
        <f>+AV_PLAN[[#This Row],[PLAN ACUMULADO]]-AV_PLAN[[#This Row],[INICIO REAL ACUMULADO]]</f>
        <v>228</v>
      </c>
      <c r="O267">
        <f>+AV_PLAN[[#This Row],[TERMINO PLAN ACUMULADO]]-AV_PLAN[[#This Row],[TERMINO REAL ACUMULADO]]</f>
        <v>228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0.22727272727272727</v>
      </c>
      <c r="S267" s="7">
        <f>+AV_PLAN[[#This Row],[TERMINO PLAN ACUMULADO]]/$G$471</f>
        <v>0.47869318181818182</v>
      </c>
      <c r="T267" s="7">
        <f t="shared" si="9"/>
        <v>0.15482954545454544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160</v>
      </c>
      <c r="F268">
        <v>2</v>
      </c>
      <c r="G268">
        <v>339</v>
      </c>
      <c r="H268">
        <v>0</v>
      </c>
      <c r="I268">
        <v>109</v>
      </c>
      <c r="J268" t="s">
        <v>816</v>
      </c>
      <c r="K268">
        <f>+WEEKNUM(AV_PLAN[[#This Row],[Días]])</f>
        <v>46</v>
      </c>
      <c r="L268" s="4">
        <f>IFERROR(AV_PLAN[[#This Row],[INICIO REAL ACUMULADO]]/AV_PLAN[[#This Row],[PLAN ACUMULADO]],"")</f>
        <v>0.40920716112531969</v>
      </c>
      <c r="M268" s="4">
        <f>IFERROR(AV_PLAN[[#This Row],[TERMINO REAL ACUMULADO]]/AV_PLAN[[#This Row],[TERMINO PLAN ACUMULADO]],"")</f>
        <v>0.32153392330383479</v>
      </c>
      <c r="N268">
        <f>+AV_PLAN[[#This Row],[PLAN ACUMULADO]]-AV_PLAN[[#This Row],[INICIO REAL ACUMULADO]]</f>
        <v>231</v>
      </c>
      <c r="O268">
        <f>+AV_PLAN[[#This Row],[TERMINO PLAN ACUMULADO]]-AV_PLAN[[#This Row],[TERMINO REAL ACUMULADO]]</f>
        <v>230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0.22727272727272727</v>
      </c>
      <c r="S268" s="7">
        <f>+AV_PLAN[[#This Row],[TERMINO PLAN ACUMULADO]]/$G$471</f>
        <v>0.48153409090909088</v>
      </c>
      <c r="T268" s="7">
        <f t="shared" si="9"/>
        <v>0.15482954545454544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160</v>
      </c>
      <c r="F269">
        <v>1</v>
      </c>
      <c r="G269">
        <v>340</v>
      </c>
      <c r="H269">
        <v>0</v>
      </c>
      <c r="I269">
        <v>109</v>
      </c>
      <c r="J269" t="s">
        <v>816</v>
      </c>
      <c r="K269">
        <f>+WEEKNUM(AV_PLAN[[#This Row],[Días]])</f>
        <v>46</v>
      </c>
      <c r="L269" s="4">
        <f>IFERROR(AV_PLAN[[#This Row],[INICIO REAL ACUMULADO]]/AV_PLAN[[#This Row],[PLAN ACUMULADO]],"")</f>
        <v>0.40609137055837563</v>
      </c>
      <c r="M269" s="4">
        <f>IFERROR(AV_PLAN[[#This Row],[TERMINO REAL ACUMULADO]]/AV_PLAN[[#This Row],[TERMINO PLAN ACUMULADO]],"")</f>
        <v>0.32058823529411767</v>
      </c>
      <c r="N269">
        <f>+AV_PLAN[[#This Row],[PLAN ACUMULADO]]-AV_PLAN[[#This Row],[INICIO REAL ACUMULADO]]</f>
        <v>234</v>
      </c>
      <c r="O269">
        <f>+AV_PLAN[[#This Row],[TERMINO PLAN ACUMULADO]]-AV_PLAN[[#This Row],[TERMINO REAL ACUMULADO]]</f>
        <v>231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0.22727272727272727</v>
      </c>
      <c r="S269" s="7">
        <f>+AV_PLAN[[#This Row],[TERMINO PLAN ACUMULADO]]/$G$471</f>
        <v>0.48295454545454547</v>
      </c>
      <c r="T269" s="7">
        <f t="shared" si="9"/>
        <v>0.15482954545454544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160</v>
      </c>
      <c r="F270">
        <v>3</v>
      </c>
      <c r="G270">
        <v>343</v>
      </c>
      <c r="H270">
        <v>0</v>
      </c>
      <c r="I270">
        <v>109</v>
      </c>
      <c r="J270" t="s">
        <v>816</v>
      </c>
      <c r="K270">
        <f>+WEEKNUM(AV_PLAN[[#This Row],[Días]])</f>
        <v>46</v>
      </c>
      <c r="L270" s="4">
        <f>IFERROR(AV_PLAN[[#This Row],[INICIO REAL ACUMULADO]]/AV_PLAN[[#This Row],[PLAN ACUMULADO]],"")</f>
        <v>0.40302267002518893</v>
      </c>
      <c r="M270" s="4">
        <f>IFERROR(AV_PLAN[[#This Row],[TERMINO REAL ACUMULADO]]/AV_PLAN[[#This Row],[TERMINO PLAN ACUMULADO]],"")</f>
        <v>0.31778425655976678</v>
      </c>
      <c r="N270">
        <f>+AV_PLAN[[#This Row],[PLAN ACUMULADO]]-AV_PLAN[[#This Row],[INICIO REAL ACUMULADO]]</f>
        <v>237</v>
      </c>
      <c r="O270">
        <f>+AV_PLAN[[#This Row],[TERMINO PLAN ACUMULADO]]-AV_PLAN[[#This Row],[TERMINO REAL ACUMULADO]]</f>
        <v>234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0.22727272727272727</v>
      </c>
      <c r="S270" s="7">
        <f>+AV_PLAN[[#This Row],[TERMINO PLAN ACUMULADO]]/$G$471</f>
        <v>0.48721590909090912</v>
      </c>
      <c r="T270" s="7">
        <f t="shared" si="9"/>
        <v>0.15482954545454544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160</v>
      </c>
      <c r="F271">
        <v>3</v>
      </c>
      <c r="G271">
        <v>346</v>
      </c>
      <c r="H271">
        <v>0</v>
      </c>
      <c r="I271">
        <v>109</v>
      </c>
      <c r="J271" t="s">
        <v>816</v>
      </c>
      <c r="K271">
        <f>+WEEKNUM(AV_PLAN[[#This Row],[Días]])</f>
        <v>46</v>
      </c>
      <c r="L271" s="4">
        <f>IFERROR(AV_PLAN[[#This Row],[INICIO REAL ACUMULADO]]/AV_PLAN[[#This Row],[PLAN ACUMULADO]],"")</f>
        <v>0.4</v>
      </c>
      <c r="M271" s="4">
        <f>IFERROR(AV_PLAN[[#This Row],[TERMINO REAL ACUMULADO]]/AV_PLAN[[#This Row],[TERMINO PLAN ACUMULADO]],"")</f>
        <v>0.31502890173410403</v>
      </c>
      <c r="N271">
        <f>+AV_PLAN[[#This Row],[PLAN ACUMULADO]]-AV_PLAN[[#This Row],[INICIO REAL ACUMULADO]]</f>
        <v>240</v>
      </c>
      <c r="O271">
        <f>+AV_PLAN[[#This Row],[TERMINO PLAN ACUMULADO]]-AV_PLAN[[#This Row],[TERMINO REAL ACUMULADO]]</f>
        <v>237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0.22727272727272727</v>
      </c>
      <c r="S271" s="7">
        <f>+AV_PLAN[[#This Row],[TERMINO PLAN ACUMULADO]]/$G$471</f>
        <v>0.49147727272727271</v>
      </c>
      <c r="T271" s="7">
        <f t="shared" si="9"/>
        <v>0.15482954545454544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160</v>
      </c>
      <c r="F272">
        <v>1</v>
      </c>
      <c r="G272">
        <v>347</v>
      </c>
      <c r="H272">
        <v>0</v>
      </c>
      <c r="I272">
        <v>109</v>
      </c>
      <c r="J272" t="s">
        <v>816</v>
      </c>
      <c r="K272">
        <f>+WEEKNUM(AV_PLAN[[#This Row],[Días]])</f>
        <v>46</v>
      </c>
      <c r="L272" s="4">
        <f>IFERROR(AV_PLAN[[#This Row],[INICIO REAL ACUMULADO]]/AV_PLAN[[#This Row],[PLAN ACUMULADO]],"")</f>
        <v>0.3970223325062035</v>
      </c>
      <c r="M272" s="4">
        <f>IFERROR(AV_PLAN[[#This Row],[TERMINO REAL ACUMULADO]]/AV_PLAN[[#This Row],[TERMINO PLAN ACUMULADO]],"")</f>
        <v>0.31412103746397696</v>
      </c>
      <c r="N272">
        <f>+AV_PLAN[[#This Row],[PLAN ACUMULADO]]-AV_PLAN[[#This Row],[INICIO REAL ACUMULADO]]</f>
        <v>243</v>
      </c>
      <c r="O272">
        <f>+AV_PLAN[[#This Row],[TERMINO PLAN ACUMULADO]]-AV_PLAN[[#This Row],[TERMINO REAL ACUMULADO]]</f>
        <v>238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0.22727272727272727</v>
      </c>
      <c r="S272" s="7">
        <f>+AV_PLAN[[#This Row],[TERMINO PLAN ACUMULADO]]/$G$471</f>
        <v>0.49289772727272729</v>
      </c>
      <c r="T272" s="7">
        <f t="shared" si="9"/>
        <v>0.15482954545454544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160</v>
      </c>
      <c r="F273">
        <v>2</v>
      </c>
      <c r="G273">
        <v>349</v>
      </c>
      <c r="H273">
        <v>0</v>
      </c>
      <c r="I273">
        <v>109</v>
      </c>
      <c r="J273" t="s">
        <v>816</v>
      </c>
      <c r="K273">
        <f>+WEEKNUM(AV_PLAN[[#This Row],[Días]])</f>
        <v>46</v>
      </c>
      <c r="L273" s="4">
        <f>IFERROR(AV_PLAN[[#This Row],[INICIO REAL ACUMULADO]]/AV_PLAN[[#This Row],[PLAN ACUMULADO]],"")</f>
        <v>0.3970223325062035</v>
      </c>
      <c r="M273" s="4">
        <f>IFERROR(AV_PLAN[[#This Row],[TERMINO REAL ACUMULADO]]/AV_PLAN[[#This Row],[TERMINO PLAN ACUMULADO]],"")</f>
        <v>0.31232091690544411</v>
      </c>
      <c r="N273">
        <f>+AV_PLAN[[#This Row],[PLAN ACUMULADO]]-AV_PLAN[[#This Row],[INICIO REAL ACUMULADO]]</f>
        <v>243</v>
      </c>
      <c r="O273">
        <f>+AV_PLAN[[#This Row],[TERMINO PLAN ACUMULADO]]-AV_PLAN[[#This Row],[TERMINO REAL ACUMULADO]]</f>
        <v>240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0.22727272727272727</v>
      </c>
      <c r="S273" s="7">
        <f>+AV_PLAN[[#This Row],[TERMINO PLAN ACUMULADO]]/$G$471</f>
        <v>0.49573863636363635</v>
      </c>
      <c r="T273" s="7">
        <f t="shared" si="9"/>
        <v>0.15482954545454544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160</v>
      </c>
      <c r="F274">
        <v>4</v>
      </c>
      <c r="G274">
        <v>353</v>
      </c>
      <c r="H274">
        <v>0</v>
      </c>
      <c r="I274">
        <v>109</v>
      </c>
      <c r="J274" t="s">
        <v>816</v>
      </c>
      <c r="K274">
        <f>+WEEKNUM(AV_PLAN[[#This Row],[Días]])</f>
        <v>47</v>
      </c>
      <c r="L274" s="4">
        <f>IFERROR(AV_PLAN[[#This Row],[INICIO REAL ACUMULADO]]/AV_PLAN[[#This Row],[PLAN ACUMULADO]],"")</f>
        <v>0.3970223325062035</v>
      </c>
      <c r="M274" s="4">
        <f>IFERROR(AV_PLAN[[#This Row],[TERMINO REAL ACUMULADO]]/AV_PLAN[[#This Row],[TERMINO PLAN ACUMULADO]],"")</f>
        <v>0.30878186968838528</v>
      </c>
      <c r="N274">
        <f>+AV_PLAN[[#This Row],[PLAN ACUMULADO]]-AV_PLAN[[#This Row],[INICIO REAL ACUMULADO]]</f>
        <v>243</v>
      </c>
      <c r="O274">
        <f>+AV_PLAN[[#This Row],[TERMINO PLAN ACUMULADO]]-AV_PLAN[[#This Row],[TERMINO REAL ACUMULADO]]</f>
        <v>244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0.22727272727272727</v>
      </c>
      <c r="S274" s="7">
        <f>+AV_PLAN[[#This Row],[TERMINO PLAN ACUMULADO]]/$G$471</f>
        <v>0.50142045454545459</v>
      </c>
      <c r="T274" s="7">
        <f t="shared" si="9"/>
        <v>0.15482954545454544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160</v>
      </c>
      <c r="F275">
        <v>1</v>
      </c>
      <c r="G275">
        <v>354</v>
      </c>
      <c r="H275">
        <v>0</v>
      </c>
      <c r="I275">
        <v>109</v>
      </c>
      <c r="J275" t="s">
        <v>816</v>
      </c>
      <c r="K275">
        <f>+WEEKNUM(AV_PLAN[[#This Row],[Días]])</f>
        <v>47</v>
      </c>
      <c r="L275" s="4">
        <f>IFERROR(AV_PLAN[[#This Row],[INICIO REAL ACUMULADO]]/AV_PLAN[[#This Row],[PLAN ACUMULADO]],"")</f>
        <v>0.39408866995073893</v>
      </c>
      <c r="M275" s="4">
        <f>IFERROR(AV_PLAN[[#This Row],[TERMINO REAL ACUMULADO]]/AV_PLAN[[#This Row],[TERMINO PLAN ACUMULADO]],"")</f>
        <v>0.30790960451977401</v>
      </c>
      <c r="N275">
        <f>+AV_PLAN[[#This Row],[PLAN ACUMULADO]]-AV_PLAN[[#This Row],[INICIO REAL ACUMULADO]]</f>
        <v>246</v>
      </c>
      <c r="O275">
        <f>+AV_PLAN[[#This Row],[TERMINO PLAN ACUMULADO]]-AV_PLAN[[#This Row],[TERMINO REAL ACUMULADO]]</f>
        <v>245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0.22727272727272727</v>
      </c>
      <c r="S275" s="7">
        <f>+AV_PLAN[[#This Row],[TERMINO PLAN ACUMULADO]]/$G$471</f>
        <v>0.50284090909090906</v>
      </c>
      <c r="T275" s="7">
        <f t="shared" si="9"/>
        <v>0.15482954545454544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160</v>
      </c>
      <c r="F276">
        <v>1</v>
      </c>
      <c r="G276">
        <v>355</v>
      </c>
      <c r="H276">
        <v>0</v>
      </c>
      <c r="I276">
        <v>109</v>
      </c>
      <c r="J276" t="s">
        <v>816</v>
      </c>
      <c r="K276">
        <f>+WEEKNUM(AV_PLAN[[#This Row],[Días]])</f>
        <v>47</v>
      </c>
      <c r="L276" s="4">
        <f>IFERROR(AV_PLAN[[#This Row],[INICIO REAL ACUMULADO]]/AV_PLAN[[#This Row],[PLAN ACUMULADO]],"")</f>
        <v>0.39119804400977998</v>
      </c>
      <c r="M276" s="4">
        <f>IFERROR(AV_PLAN[[#This Row],[TERMINO REAL ACUMULADO]]/AV_PLAN[[#This Row],[TERMINO PLAN ACUMULADO]],"")</f>
        <v>0.30704225352112674</v>
      </c>
      <c r="N276">
        <f>+AV_PLAN[[#This Row],[PLAN ACUMULADO]]-AV_PLAN[[#This Row],[INICIO REAL ACUMULADO]]</f>
        <v>249</v>
      </c>
      <c r="O276">
        <f>+AV_PLAN[[#This Row],[TERMINO PLAN ACUMULADO]]-AV_PLAN[[#This Row],[TERMINO REAL ACUMULADO]]</f>
        <v>246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0.22727272727272727</v>
      </c>
      <c r="S276" s="7">
        <f>+AV_PLAN[[#This Row],[TERMINO PLAN ACUMULADO]]/$G$471</f>
        <v>0.50426136363636365</v>
      </c>
      <c r="T276" s="7">
        <f t="shared" si="9"/>
        <v>0.15482954545454544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160</v>
      </c>
      <c r="F277">
        <v>3</v>
      </c>
      <c r="G277">
        <v>358</v>
      </c>
      <c r="H277">
        <v>0</v>
      </c>
      <c r="I277">
        <v>109</v>
      </c>
      <c r="J277" t="s">
        <v>816</v>
      </c>
      <c r="K277">
        <f>+WEEKNUM(AV_PLAN[[#This Row],[Días]])</f>
        <v>47</v>
      </c>
      <c r="L277" s="4">
        <f>IFERROR(AV_PLAN[[#This Row],[INICIO REAL ACUMULADO]]/AV_PLAN[[#This Row],[PLAN ACUMULADO]],"")</f>
        <v>0.38834951456310679</v>
      </c>
      <c r="M277" s="4">
        <f>IFERROR(AV_PLAN[[#This Row],[TERMINO REAL ACUMULADO]]/AV_PLAN[[#This Row],[TERMINO PLAN ACUMULADO]],"")</f>
        <v>0.30446927374301674</v>
      </c>
      <c r="N277">
        <f>+AV_PLAN[[#This Row],[PLAN ACUMULADO]]-AV_PLAN[[#This Row],[INICIO REAL ACUMULADO]]</f>
        <v>252</v>
      </c>
      <c r="O277">
        <f>+AV_PLAN[[#This Row],[TERMINO PLAN ACUMULADO]]-AV_PLAN[[#This Row],[TERMINO REAL ACUMULADO]]</f>
        <v>249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0.22727272727272727</v>
      </c>
      <c r="S277" s="7">
        <f>+AV_PLAN[[#This Row],[TERMINO PLAN ACUMULADO]]/$G$471</f>
        <v>0.50852272727272729</v>
      </c>
      <c r="T277" s="7">
        <f t="shared" si="9"/>
        <v>0.15482954545454544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160</v>
      </c>
      <c r="F278">
        <v>3</v>
      </c>
      <c r="G278">
        <v>361</v>
      </c>
      <c r="H278">
        <v>0</v>
      </c>
      <c r="I278">
        <v>109</v>
      </c>
      <c r="J278" t="s">
        <v>816</v>
      </c>
      <c r="K278">
        <f>+WEEKNUM(AV_PLAN[[#This Row],[Días]])</f>
        <v>47</v>
      </c>
      <c r="L278" s="4">
        <f>IFERROR(AV_PLAN[[#This Row],[INICIO REAL ACUMULADO]]/AV_PLAN[[#This Row],[PLAN ACUMULADO]],"")</f>
        <v>0.38554216867469882</v>
      </c>
      <c r="M278" s="4">
        <f>IFERROR(AV_PLAN[[#This Row],[TERMINO REAL ACUMULADO]]/AV_PLAN[[#This Row],[TERMINO PLAN ACUMULADO]],"")</f>
        <v>0.30193905817174516</v>
      </c>
      <c r="N278">
        <f>+AV_PLAN[[#This Row],[PLAN ACUMULADO]]-AV_PLAN[[#This Row],[INICIO REAL ACUMULADO]]</f>
        <v>255</v>
      </c>
      <c r="O278">
        <f>+AV_PLAN[[#This Row],[TERMINO PLAN ACUMULADO]]-AV_PLAN[[#This Row],[TERMINO REAL ACUMULADO]]</f>
        <v>252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0.22727272727272727</v>
      </c>
      <c r="S278" s="7">
        <f>+AV_PLAN[[#This Row],[TERMINO PLAN ACUMULADO]]/$G$471</f>
        <v>0.51278409090909094</v>
      </c>
      <c r="T278" s="7">
        <f t="shared" si="9"/>
        <v>0.15482954545454544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160</v>
      </c>
      <c r="F279">
        <v>2</v>
      </c>
      <c r="G279">
        <v>363</v>
      </c>
      <c r="H279">
        <v>0</v>
      </c>
      <c r="I279">
        <v>109</v>
      </c>
      <c r="J279" t="s">
        <v>816</v>
      </c>
      <c r="K279">
        <f>+WEEKNUM(AV_PLAN[[#This Row],[Días]])</f>
        <v>47</v>
      </c>
      <c r="L279" s="4">
        <f>IFERROR(AV_PLAN[[#This Row],[INICIO REAL ACUMULADO]]/AV_PLAN[[#This Row],[PLAN ACUMULADO]],"")</f>
        <v>0.38277511961722488</v>
      </c>
      <c r="M279" s="4">
        <f>IFERROR(AV_PLAN[[#This Row],[TERMINO REAL ACUMULADO]]/AV_PLAN[[#This Row],[TERMINO PLAN ACUMULADO]],"")</f>
        <v>0.30027548209366389</v>
      </c>
      <c r="N279">
        <f>+AV_PLAN[[#This Row],[PLAN ACUMULADO]]-AV_PLAN[[#This Row],[INICIO REAL ACUMULADO]]</f>
        <v>258</v>
      </c>
      <c r="O279">
        <f>+AV_PLAN[[#This Row],[TERMINO PLAN ACUMULADO]]-AV_PLAN[[#This Row],[TERMINO REAL ACUMULADO]]</f>
        <v>254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0.22727272727272727</v>
      </c>
      <c r="S279" s="7">
        <f>+AV_PLAN[[#This Row],[TERMINO PLAN ACUMULADO]]/$G$471</f>
        <v>0.515625</v>
      </c>
      <c r="T279" s="7">
        <f t="shared" si="9"/>
        <v>0.15482954545454544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160</v>
      </c>
      <c r="F280">
        <v>2</v>
      </c>
      <c r="G280">
        <v>365</v>
      </c>
      <c r="H280">
        <v>0</v>
      </c>
      <c r="I280">
        <v>109</v>
      </c>
      <c r="J280" t="s">
        <v>816</v>
      </c>
      <c r="K280">
        <f>+WEEKNUM(AV_PLAN[[#This Row],[Días]])</f>
        <v>47</v>
      </c>
      <c r="L280" s="4">
        <f>IFERROR(AV_PLAN[[#This Row],[INICIO REAL ACUMULADO]]/AV_PLAN[[#This Row],[PLAN ACUMULADO]],"")</f>
        <v>0.38277511961722488</v>
      </c>
      <c r="M280" s="4">
        <f>IFERROR(AV_PLAN[[#This Row],[TERMINO REAL ACUMULADO]]/AV_PLAN[[#This Row],[TERMINO PLAN ACUMULADO]],"")</f>
        <v>0.29863013698630136</v>
      </c>
      <c r="N280">
        <f>+AV_PLAN[[#This Row],[PLAN ACUMULADO]]-AV_PLAN[[#This Row],[INICIO REAL ACUMULADO]]</f>
        <v>258</v>
      </c>
      <c r="O280">
        <f>+AV_PLAN[[#This Row],[TERMINO PLAN ACUMULADO]]-AV_PLAN[[#This Row],[TERMINO REAL ACUMULADO]]</f>
        <v>256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0.22727272727272727</v>
      </c>
      <c r="S280" s="7">
        <f>+AV_PLAN[[#This Row],[TERMINO PLAN ACUMULADO]]/$G$471</f>
        <v>0.51846590909090906</v>
      </c>
      <c r="T280" s="7">
        <f t="shared" si="9"/>
        <v>0.15482954545454544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160</v>
      </c>
      <c r="F281">
        <v>2</v>
      </c>
      <c r="G281">
        <v>367</v>
      </c>
      <c r="H281">
        <v>0</v>
      </c>
      <c r="I281">
        <v>109</v>
      </c>
      <c r="J281" t="s">
        <v>816</v>
      </c>
      <c r="K281">
        <f>+WEEKNUM(AV_PLAN[[#This Row],[Días]])</f>
        <v>48</v>
      </c>
      <c r="L281" s="4">
        <f>IFERROR(AV_PLAN[[#This Row],[INICIO REAL ACUMULADO]]/AV_PLAN[[#This Row],[PLAN ACUMULADO]],"")</f>
        <v>0.38277511961722488</v>
      </c>
      <c r="M281" s="4">
        <f>IFERROR(AV_PLAN[[#This Row],[TERMINO REAL ACUMULADO]]/AV_PLAN[[#This Row],[TERMINO PLAN ACUMULADO]],"")</f>
        <v>0.29700272479564033</v>
      </c>
      <c r="N281">
        <f>+AV_PLAN[[#This Row],[PLAN ACUMULADO]]-AV_PLAN[[#This Row],[INICIO REAL ACUMULADO]]</f>
        <v>258</v>
      </c>
      <c r="O281">
        <f>+AV_PLAN[[#This Row],[TERMINO PLAN ACUMULADO]]-AV_PLAN[[#This Row],[TERMINO REAL ACUMULADO]]</f>
        <v>258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0.22727272727272727</v>
      </c>
      <c r="S281" s="7">
        <f>+AV_PLAN[[#This Row],[TERMINO PLAN ACUMULADO]]/$G$471</f>
        <v>0.52130681818181823</v>
      </c>
      <c r="T281" s="7">
        <f t="shared" si="9"/>
        <v>0.15482954545454544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160</v>
      </c>
      <c r="F282">
        <v>1</v>
      </c>
      <c r="G282">
        <v>368</v>
      </c>
      <c r="H282">
        <v>0</v>
      </c>
      <c r="I282">
        <v>109</v>
      </c>
      <c r="J282" t="s">
        <v>816</v>
      </c>
      <c r="K282">
        <f>+WEEKNUM(AV_PLAN[[#This Row],[Días]])</f>
        <v>48</v>
      </c>
      <c r="L282" s="4">
        <f>IFERROR(AV_PLAN[[#This Row],[INICIO REAL ACUMULADO]]/AV_PLAN[[#This Row],[PLAN ACUMULADO]],"")</f>
        <v>0.38004750593824227</v>
      </c>
      <c r="M282" s="4">
        <f>IFERROR(AV_PLAN[[#This Row],[TERMINO REAL ACUMULADO]]/AV_PLAN[[#This Row],[TERMINO PLAN ACUMULADO]],"")</f>
        <v>0.29619565217391303</v>
      </c>
      <c r="N282">
        <f>+AV_PLAN[[#This Row],[PLAN ACUMULADO]]-AV_PLAN[[#This Row],[INICIO REAL ACUMULADO]]</f>
        <v>261</v>
      </c>
      <c r="O282">
        <f>+AV_PLAN[[#This Row],[TERMINO PLAN ACUMULADO]]-AV_PLAN[[#This Row],[TERMINO REAL ACUMULADO]]</f>
        <v>259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0.22727272727272727</v>
      </c>
      <c r="S282" s="7">
        <f>+AV_PLAN[[#This Row],[TERMINO PLAN ACUMULADO]]/$G$471</f>
        <v>0.52272727272727271</v>
      </c>
      <c r="T282" s="7">
        <f t="shared" si="9"/>
        <v>0.15482954545454544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160</v>
      </c>
      <c r="F283">
        <v>2</v>
      </c>
      <c r="G283">
        <v>370</v>
      </c>
      <c r="H283">
        <v>0</v>
      </c>
      <c r="I283">
        <v>109</v>
      </c>
      <c r="J283" t="s">
        <v>816</v>
      </c>
      <c r="K283">
        <f>+WEEKNUM(AV_PLAN[[#This Row],[Días]])</f>
        <v>48</v>
      </c>
      <c r="L283" s="4">
        <f>IFERROR(AV_PLAN[[#This Row],[INICIO REAL ACUMULADO]]/AV_PLAN[[#This Row],[PLAN ACUMULADO]],"")</f>
        <v>0.37735849056603776</v>
      </c>
      <c r="M283" s="4">
        <f>IFERROR(AV_PLAN[[#This Row],[TERMINO REAL ACUMULADO]]/AV_PLAN[[#This Row],[TERMINO PLAN ACUMULADO]],"")</f>
        <v>0.29459459459459458</v>
      </c>
      <c r="N283">
        <f>+AV_PLAN[[#This Row],[PLAN ACUMULADO]]-AV_PLAN[[#This Row],[INICIO REAL ACUMULADO]]</f>
        <v>264</v>
      </c>
      <c r="O283">
        <f>+AV_PLAN[[#This Row],[TERMINO PLAN ACUMULADO]]-AV_PLAN[[#This Row],[TERMINO REAL ACUMULADO]]</f>
        <v>261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0.22727272727272727</v>
      </c>
      <c r="S283" s="7">
        <f>+AV_PLAN[[#This Row],[TERMINO PLAN ACUMULADO]]/$G$471</f>
        <v>0.52556818181818177</v>
      </c>
      <c r="T283" s="7">
        <f t="shared" si="9"/>
        <v>0.15482954545454544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160</v>
      </c>
      <c r="F284">
        <v>3</v>
      </c>
      <c r="G284">
        <v>373</v>
      </c>
      <c r="H284">
        <v>0</v>
      </c>
      <c r="I284">
        <v>109</v>
      </c>
      <c r="J284" t="s">
        <v>816</v>
      </c>
      <c r="K284">
        <f>+WEEKNUM(AV_PLAN[[#This Row],[Días]])</f>
        <v>48</v>
      </c>
      <c r="L284" s="4">
        <f>IFERROR(AV_PLAN[[#This Row],[INICIO REAL ACUMULADO]]/AV_PLAN[[#This Row],[PLAN ACUMULADO]],"")</f>
        <v>0.37470725995316162</v>
      </c>
      <c r="M284" s="4">
        <f>IFERROR(AV_PLAN[[#This Row],[TERMINO REAL ACUMULADO]]/AV_PLAN[[#This Row],[TERMINO PLAN ACUMULADO]],"")</f>
        <v>0.29222520107238603</v>
      </c>
      <c r="N284">
        <f>+AV_PLAN[[#This Row],[PLAN ACUMULADO]]-AV_PLAN[[#This Row],[INICIO REAL ACUMULADO]]</f>
        <v>267</v>
      </c>
      <c r="O284">
        <f>+AV_PLAN[[#This Row],[TERMINO PLAN ACUMULADO]]-AV_PLAN[[#This Row],[TERMINO REAL ACUMULADO]]</f>
        <v>264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0.22727272727272727</v>
      </c>
      <c r="S284" s="7">
        <f>+AV_PLAN[[#This Row],[TERMINO PLAN ACUMULADO]]/$G$471</f>
        <v>0.52982954545454541</v>
      </c>
      <c r="T284" s="7">
        <f t="shared" si="9"/>
        <v>0.15482954545454544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160</v>
      </c>
      <c r="F285">
        <v>3</v>
      </c>
      <c r="G285">
        <v>376</v>
      </c>
      <c r="H285">
        <v>0</v>
      </c>
      <c r="I285">
        <v>109</v>
      </c>
      <c r="J285" t="s">
        <v>816</v>
      </c>
      <c r="K285">
        <f>+WEEKNUM(AV_PLAN[[#This Row],[Días]])</f>
        <v>48</v>
      </c>
      <c r="L285" s="4">
        <f>IFERROR(AV_PLAN[[#This Row],[INICIO REAL ACUMULADO]]/AV_PLAN[[#This Row],[PLAN ACUMULADO]],"")</f>
        <v>0.37209302325581395</v>
      </c>
      <c r="M285" s="4">
        <f>IFERROR(AV_PLAN[[#This Row],[TERMINO REAL ACUMULADO]]/AV_PLAN[[#This Row],[TERMINO PLAN ACUMULADO]],"")</f>
        <v>0.28989361702127658</v>
      </c>
      <c r="N285">
        <f>+AV_PLAN[[#This Row],[PLAN ACUMULADO]]-AV_PLAN[[#This Row],[INICIO REAL ACUMULADO]]</f>
        <v>270</v>
      </c>
      <c r="O285">
        <f>+AV_PLAN[[#This Row],[TERMINO PLAN ACUMULADO]]-AV_PLAN[[#This Row],[TERMINO REAL ACUMULADO]]</f>
        <v>267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0.22727272727272727</v>
      </c>
      <c r="S285" s="7">
        <f>+AV_PLAN[[#This Row],[TERMINO PLAN ACUMULADO]]/$G$471</f>
        <v>0.53409090909090906</v>
      </c>
      <c r="T285" s="7">
        <f t="shared" si="9"/>
        <v>0.15482954545454544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160</v>
      </c>
      <c r="F286">
        <v>2</v>
      </c>
      <c r="G286">
        <v>378</v>
      </c>
      <c r="H286">
        <v>0</v>
      </c>
      <c r="I286">
        <v>109</v>
      </c>
      <c r="J286" t="s">
        <v>816</v>
      </c>
      <c r="K286">
        <f>+WEEKNUM(AV_PLAN[[#This Row],[Días]])</f>
        <v>48</v>
      </c>
      <c r="L286" s="4">
        <f>IFERROR(AV_PLAN[[#This Row],[INICIO REAL ACUMULADO]]/AV_PLAN[[#This Row],[PLAN ACUMULADO]],"")</f>
        <v>0.36951501154734412</v>
      </c>
      <c r="M286" s="4">
        <f>IFERROR(AV_PLAN[[#This Row],[TERMINO REAL ACUMULADO]]/AV_PLAN[[#This Row],[TERMINO PLAN ACUMULADO]],"")</f>
        <v>0.28835978835978837</v>
      </c>
      <c r="N286">
        <f>+AV_PLAN[[#This Row],[PLAN ACUMULADO]]-AV_PLAN[[#This Row],[INICIO REAL ACUMULADO]]</f>
        <v>273</v>
      </c>
      <c r="O286">
        <f>+AV_PLAN[[#This Row],[TERMINO PLAN ACUMULADO]]-AV_PLAN[[#This Row],[TERMINO REAL ACUMULADO]]</f>
        <v>269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0.22727272727272727</v>
      </c>
      <c r="S286" s="7">
        <f>+AV_PLAN[[#This Row],[TERMINO PLAN ACUMULADO]]/$G$471</f>
        <v>0.53693181818181823</v>
      </c>
      <c r="T286" s="7">
        <f t="shared" si="9"/>
        <v>0.15482954545454544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160</v>
      </c>
      <c r="F287">
        <v>1</v>
      </c>
      <c r="G287">
        <v>379</v>
      </c>
      <c r="H287">
        <v>0</v>
      </c>
      <c r="I287">
        <v>109</v>
      </c>
      <c r="J287" t="s">
        <v>816</v>
      </c>
      <c r="K287">
        <f>+WEEKNUM(AV_PLAN[[#This Row],[Días]])</f>
        <v>48</v>
      </c>
      <c r="L287" s="4">
        <f>IFERROR(AV_PLAN[[#This Row],[INICIO REAL ACUMULADO]]/AV_PLAN[[#This Row],[PLAN ACUMULADO]],"")</f>
        <v>0.36951501154734412</v>
      </c>
      <c r="M287" s="4">
        <f>IFERROR(AV_PLAN[[#This Row],[TERMINO REAL ACUMULADO]]/AV_PLAN[[#This Row],[TERMINO PLAN ACUMULADO]],"")</f>
        <v>0.28759894459102903</v>
      </c>
      <c r="N287">
        <f>+AV_PLAN[[#This Row],[PLAN ACUMULADO]]-AV_PLAN[[#This Row],[INICIO REAL ACUMULADO]]</f>
        <v>273</v>
      </c>
      <c r="O287">
        <f>+AV_PLAN[[#This Row],[TERMINO PLAN ACUMULADO]]-AV_PLAN[[#This Row],[TERMINO REAL ACUMULADO]]</f>
        <v>270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0.22727272727272727</v>
      </c>
      <c r="S287" s="7">
        <f>+AV_PLAN[[#This Row],[TERMINO PLAN ACUMULADO]]/$G$471</f>
        <v>0.53835227272727271</v>
      </c>
      <c r="T287" s="7">
        <f t="shared" si="9"/>
        <v>0.15482954545454544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160</v>
      </c>
      <c r="F288">
        <v>2</v>
      </c>
      <c r="G288">
        <v>381</v>
      </c>
      <c r="H288">
        <v>0</v>
      </c>
      <c r="I288">
        <v>109</v>
      </c>
      <c r="J288" t="s">
        <v>816</v>
      </c>
      <c r="K288">
        <f>+WEEKNUM(AV_PLAN[[#This Row],[Días]])</f>
        <v>49</v>
      </c>
      <c r="L288" s="4">
        <f>IFERROR(AV_PLAN[[#This Row],[INICIO REAL ACUMULADO]]/AV_PLAN[[#This Row],[PLAN ACUMULADO]],"")</f>
        <v>0.36951501154734412</v>
      </c>
      <c r="M288" s="4">
        <f>IFERROR(AV_PLAN[[#This Row],[TERMINO REAL ACUMULADO]]/AV_PLAN[[#This Row],[TERMINO PLAN ACUMULADO]],"")</f>
        <v>0.28608923884514437</v>
      </c>
      <c r="N288">
        <f>+AV_PLAN[[#This Row],[PLAN ACUMULADO]]-AV_PLAN[[#This Row],[INICIO REAL ACUMULADO]]</f>
        <v>273</v>
      </c>
      <c r="O288">
        <f>+AV_PLAN[[#This Row],[TERMINO PLAN ACUMULADO]]-AV_PLAN[[#This Row],[TERMINO REAL ACUMULADO]]</f>
        <v>272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0.22727272727272727</v>
      </c>
      <c r="S288" s="7">
        <f>+AV_PLAN[[#This Row],[TERMINO PLAN ACUMULADO]]/$G$471</f>
        <v>0.54119318181818177</v>
      </c>
      <c r="T288" s="7">
        <f t="shared" si="9"/>
        <v>0.15482954545454544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160</v>
      </c>
      <c r="F289">
        <v>2</v>
      </c>
      <c r="G289">
        <v>383</v>
      </c>
      <c r="H289">
        <v>0</v>
      </c>
      <c r="I289">
        <v>109</v>
      </c>
      <c r="J289" t="s">
        <v>816</v>
      </c>
      <c r="K289">
        <f>+WEEKNUM(AV_PLAN[[#This Row],[Días]])</f>
        <v>49</v>
      </c>
      <c r="L289" s="4">
        <f>IFERROR(AV_PLAN[[#This Row],[INICIO REAL ACUMULADO]]/AV_PLAN[[#This Row],[PLAN ACUMULADO]],"")</f>
        <v>0.3669724770642202</v>
      </c>
      <c r="M289" s="4">
        <f>IFERROR(AV_PLAN[[#This Row],[TERMINO REAL ACUMULADO]]/AV_PLAN[[#This Row],[TERMINO PLAN ACUMULADO]],"")</f>
        <v>0.28459530026109658</v>
      </c>
      <c r="N289">
        <f>+AV_PLAN[[#This Row],[PLAN ACUMULADO]]-AV_PLAN[[#This Row],[INICIO REAL ACUMULADO]]</f>
        <v>276</v>
      </c>
      <c r="O289">
        <f>+AV_PLAN[[#This Row],[TERMINO PLAN ACUMULADO]]-AV_PLAN[[#This Row],[TERMINO REAL ACUMULADO]]</f>
        <v>274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0.22727272727272727</v>
      </c>
      <c r="S289" s="7">
        <f>+AV_PLAN[[#This Row],[TERMINO PLAN ACUMULADO]]/$G$471</f>
        <v>0.54403409090909094</v>
      </c>
      <c r="T289" s="7">
        <f t="shared" si="9"/>
        <v>0.15482954545454544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160</v>
      </c>
      <c r="F290">
        <v>2</v>
      </c>
      <c r="G290">
        <v>385</v>
      </c>
      <c r="H290">
        <v>0</v>
      </c>
      <c r="I290">
        <v>109</v>
      </c>
      <c r="J290" t="s">
        <v>817</v>
      </c>
      <c r="K290">
        <f>+WEEKNUM(AV_PLAN[[#This Row],[Días]])</f>
        <v>49</v>
      </c>
      <c r="L290" s="4">
        <f>IFERROR(AV_PLAN[[#This Row],[INICIO REAL ACUMULADO]]/AV_PLAN[[#This Row],[PLAN ACUMULADO]],"")</f>
        <v>0.36446469248291574</v>
      </c>
      <c r="M290" s="4">
        <f>IFERROR(AV_PLAN[[#This Row],[TERMINO REAL ACUMULADO]]/AV_PLAN[[#This Row],[TERMINO PLAN ACUMULADO]],"")</f>
        <v>0.2831168831168831</v>
      </c>
      <c r="N290">
        <f>+AV_PLAN[[#This Row],[PLAN ACUMULADO]]-AV_PLAN[[#This Row],[INICIO REAL ACUMULADO]]</f>
        <v>279</v>
      </c>
      <c r="O290">
        <f>+AV_PLAN[[#This Row],[TERMINO PLAN ACUMULADO]]-AV_PLAN[[#This Row],[TERMINO REAL ACUMULADO]]</f>
        <v>276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0.22727272727272727</v>
      </c>
      <c r="S290" s="7">
        <f>+AV_PLAN[[#This Row],[TERMINO PLAN ACUMULADO]]/$G$471</f>
        <v>0.546875</v>
      </c>
      <c r="T290" s="7">
        <f t="shared" si="9"/>
        <v>0.15482954545454544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160</v>
      </c>
      <c r="F291">
        <v>3</v>
      </c>
      <c r="G291">
        <v>388</v>
      </c>
      <c r="H291">
        <v>0</v>
      </c>
      <c r="I291">
        <v>109</v>
      </c>
      <c r="J291" t="s">
        <v>817</v>
      </c>
      <c r="K291">
        <f>+WEEKNUM(AV_PLAN[[#This Row],[Días]])</f>
        <v>49</v>
      </c>
      <c r="L291" s="4">
        <f>IFERROR(AV_PLAN[[#This Row],[INICIO REAL ACUMULADO]]/AV_PLAN[[#This Row],[PLAN ACUMULADO]],"")</f>
        <v>0.36199095022624433</v>
      </c>
      <c r="M291" s="4">
        <f>IFERROR(AV_PLAN[[#This Row],[TERMINO REAL ACUMULADO]]/AV_PLAN[[#This Row],[TERMINO PLAN ACUMULADO]],"")</f>
        <v>0.28092783505154639</v>
      </c>
      <c r="N291">
        <f>+AV_PLAN[[#This Row],[PLAN ACUMULADO]]-AV_PLAN[[#This Row],[INICIO REAL ACUMULADO]]</f>
        <v>282</v>
      </c>
      <c r="O291">
        <f>+AV_PLAN[[#This Row],[TERMINO PLAN ACUMULADO]]-AV_PLAN[[#This Row],[TERMINO REAL ACUMULADO]]</f>
        <v>279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0.22727272727272727</v>
      </c>
      <c r="S291" s="7">
        <f>+AV_PLAN[[#This Row],[TERMINO PLAN ACUMULADO]]/$G$471</f>
        <v>0.55113636363636365</v>
      </c>
      <c r="T291" s="7">
        <f t="shared" si="9"/>
        <v>0.15482954545454544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160</v>
      </c>
      <c r="F292">
        <v>3</v>
      </c>
      <c r="G292">
        <v>391</v>
      </c>
      <c r="H292">
        <v>0</v>
      </c>
      <c r="I292">
        <v>109</v>
      </c>
      <c r="J292" t="s">
        <v>817</v>
      </c>
      <c r="K292">
        <f>+WEEKNUM(AV_PLAN[[#This Row],[Días]])</f>
        <v>49</v>
      </c>
      <c r="L292" s="4">
        <f>IFERROR(AV_PLAN[[#This Row],[INICIO REAL ACUMULADO]]/AV_PLAN[[#This Row],[PLAN ACUMULADO]],"")</f>
        <v>0.3595505617977528</v>
      </c>
      <c r="M292" s="4">
        <f>IFERROR(AV_PLAN[[#This Row],[TERMINO REAL ACUMULADO]]/AV_PLAN[[#This Row],[TERMINO PLAN ACUMULADO]],"")</f>
        <v>0.27877237851662406</v>
      </c>
      <c r="N292">
        <f>+AV_PLAN[[#This Row],[PLAN ACUMULADO]]-AV_PLAN[[#This Row],[INICIO REAL ACUMULADO]]</f>
        <v>285</v>
      </c>
      <c r="O292">
        <f>+AV_PLAN[[#This Row],[TERMINO PLAN ACUMULADO]]-AV_PLAN[[#This Row],[TERMINO REAL ACUMULADO]]</f>
        <v>282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0.22727272727272727</v>
      </c>
      <c r="S292" s="7">
        <f>+AV_PLAN[[#This Row],[TERMINO PLAN ACUMULADO]]/$G$471</f>
        <v>0.55539772727272729</v>
      </c>
      <c r="T292" s="7">
        <f t="shared" si="9"/>
        <v>0.15482954545454544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160</v>
      </c>
      <c r="F293">
        <v>1</v>
      </c>
      <c r="G293">
        <v>392</v>
      </c>
      <c r="H293">
        <v>0</v>
      </c>
      <c r="I293">
        <v>109</v>
      </c>
      <c r="J293" t="s">
        <v>817</v>
      </c>
      <c r="K293">
        <f>+WEEKNUM(AV_PLAN[[#This Row],[Días]])</f>
        <v>49</v>
      </c>
      <c r="L293" s="4">
        <f>IFERROR(AV_PLAN[[#This Row],[INICIO REAL ACUMULADO]]/AV_PLAN[[#This Row],[PLAN ACUMULADO]],"")</f>
        <v>0.35714285714285715</v>
      </c>
      <c r="M293" s="4">
        <f>IFERROR(AV_PLAN[[#This Row],[TERMINO REAL ACUMULADO]]/AV_PLAN[[#This Row],[TERMINO PLAN ACUMULADO]],"")</f>
        <v>0.27806122448979592</v>
      </c>
      <c r="N293">
        <f>+AV_PLAN[[#This Row],[PLAN ACUMULADO]]-AV_PLAN[[#This Row],[INICIO REAL ACUMULADO]]</f>
        <v>288</v>
      </c>
      <c r="O293">
        <f>+AV_PLAN[[#This Row],[TERMINO PLAN ACUMULADO]]-AV_PLAN[[#This Row],[TERMINO REAL ACUMULADO]]</f>
        <v>283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0.22727272727272727</v>
      </c>
      <c r="S293" s="7">
        <f>+AV_PLAN[[#This Row],[TERMINO PLAN ACUMULADO]]/$G$471</f>
        <v>0.55681818181818177</v>
      </c>
      <c r="T293" s="7">
        <f t="shared" si="9"/>
        <v>0.15482954545454544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160</v>
      </c>
      <c r="F294">
        <v>1</v>
      </c>
      <c r="G294">
        <v>393</v>
      </c>
      <c r="H294">
        <v>0</v>
      </c>
      <c r="I294">
        <v>109</v>
      </c>
      <c r="J294" t="s">
        <v>817</v>
      </c>
      <c r="K294">
        <f>+WEEKNUM(AV_PLAN[[#This Row],[Días]])</f>
        <v>49</v>
      </c>
      <c r="L294" s="4">
        <f>IFERROR(AV_PLAN[[#This Row],[INICIO REAL ACUMULADO]]/AV_PLAN[[#This Row],[PLAN ACUMULADO]],"")</f>
        <v>0.35714285714285715</v>
      </c>
      <c r="M294" s="4">
        <f>IFERROR(AV_PLAN[[#This Row],[TERMINO REAL ACUMULADO]]/AV_PLAN[[#This Row],[TERMINO PLAN ACUMULADO]],"")</f>
        <v>0.27735368956743001</v>
      </c>
      <c r="N294">
        <f>+AV_PLAN[[#This Row],[PLAN ACUMULADO]]-AV_PLAN[[#This Row],[INICIO REAL ACUMULADO]]</f>
        <v>288</v>
      </c>
      <c r="O294">
        <f>+AV_PLAN[[#This Row],[TERMINO PLAN ACUMULADO]]-AV_PLAN[[#This Row],[TERMINO REAL ACUMULADO]]</f>
        <v>284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0.22727272727272727</v>
      </c>
      <c r="S294" s="7">
        <f>+AV_PLAN[[#This Row],[TERMINO PLAN ACUMULADO]]/$G$471</f>
        <v>0.55823863636363635</v>
      </c>
      <c r="T294" s="7">
        <f t="shared" si="9"/>
        <v>0.15482954545454544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160</v>
      </c>
      <c r="F295">
        <v>4</v>
      </c>
      <c r="G295">
        <v>397</v>
      </c>
      <c r="H295">
        <v>0</v>
      </c>
      <c r="I295">
        <v>109</v>
      </c>
      <c r="J295" t="s">
        <v>817</v>
      </c>
      <c r="K295">
        <f>+WEEKNUM(AV_PLAN[[#This Row],[Días]])</f>
        <v>50</v>
      </c>
      <c r="L295" s="4">
        <f>IFERROR(AV_PLAN[[#This Row],[INICIO REAL ACUMULADO]]/AV_PLAN[[#This Row],[PLAN ACUMULADO]],"")</f>
        <v>0.35714285714285715</v>
      </c>
      <c r="M295" s="4">
        <f>IFERROR(AV_PLAN[[#This Row],[TERMINO REAL ACUMULADO]]/AV_PLAN[[#This Row],[TERMINO PLAN ACUMULADO]],"")</f>
        <v>0.27455919395465994</v>
      </c>
      <c r="N295">
        <f>+AV_PLAN[[#This Row],[PLAN ACUMULADO]]-AV_PLAN[[#This Row],[INICIO REAL ACUMULADO]]</f>
        <v>288</v>
      </c>
      <c r="O295">
        <f>+AV_PLAN[[#This Row],[TERMINO PLAN ACUMULADO]]-AV_PLAN[[#This Row],[TERMINO REAL ACUMULADO]]</f>
        <v>288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0.22727272727272727</v>
      </c>
      <c r="S295" s="7">
        <f>+AV_PLAN[[#This Row],[TERMINO PLAN ACUMULADO]]/$G$471</f>
        <v>0.56392045454545459</v>
      </c>
      <c r="T295" s="7">
        <f t="shared" si="9"/>
        <v>0.15482954545454544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160</v>
      </c>
      <c r="F296">
        <v>2</v>
      </c>
      <c r="G296">
        <v>399</v>
      </c>
      <c r="H296">
        <v>0</v>
      </c>
      <c r="I296">
        <v>109</v>
      </c>
      <c r="J296" t="s">
        <v>817</v>
      </c>
      <c r="K296">
        <f>+WEEKNUM(AV_PLAN[[#This Row],[Días]])</f>
        <v>50</v>
      </c>
      <c r="L296" s="4">
        <f>IFERROR(AV_PLAN[[#This Row],[INICIO REAL ACUMULADO]]/AV_PLAN[[#This Row],[PLAN ACUMULADO]],"")</f>
        <v>0.35476718403547675</v>
      </c>
      <c r="M296" s="4">
        <f>IFERROR(AV_PLAN[[#This Row],[TERMINO REAL ACUMULADO]]/AV_PLAN[[#This Row],[TERMINO PLAN ACUMULADO]],"")</f>
        <v>0.27318295739348369</v>
      </c>
      <c r="N296">
        <f>+AV_PLAN[[#This Row],[PLAN ACUMULADO]]-AV_PLAN[[#This Row],[INICIO REAL ACUMULADO]]</f>
        <v>291</v>
      </c>
      <c r="O296">
        <f>+AV_PLAN[[#This Row],[TERMINO PLAN ACUMULADO]]-AV_PLAN[[#This Row],[TERMINO REAL ACUMULADO]]</f>
        <v>290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0.22727272727272727</v>
      </c>
      <c r="S296" s="7">
        <f>+AV_PLAN[[#This Row],[TERMINO PLAN ACUMULADO]]/$G$471</f>
        <v>0.56676136363636365</v>
      </c>
      <c r="T296" s="7">
        <f t="shared" si="9"/>
        <v>0.15482954545454544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160</v>
      </c>
      <c r="F297">
        <v>1</v>
      </c>
      <c r="G297">
        <v>400</v>
      </c>
      <c r="H297">
        <v>0</v>
      </c>
      <c r="I297">
        <v>109</v>
      </c>
      <c r="J297" t="s">
        <v>817</v>
      </c>
      <c r="K297">
        <f>+WEEKNUM(AV_PLAN[[#This Row],[Días]])</f>
        <v>50</v>
      </c>
      <c r="L297" s="4">
        <f>IFERROR(AV_PLAN[[#This Row],[INICIO REAL ACUMULADO]]/AV_PLAN[[#This Row],[PLAN ACUMULADO]],"")</f>
        <v>0.35476718403547675</v>
      </c>
      <c r="M297" s="4">
        <f>IFERROR(AV_PLAN[[#This Row],[TERMINO REAL ACUMULADO]]/AV_PLAN[[#This Row],[TERMINO PLAN ACUMULADO]],"")</f>
        <v>0.27250000000000002</v>
      </c>
      <c r="N297">
        <f>+AV_PLAN[[#This Row],[PLAN ACUMULADO]]-AV_PLAN[[#This Row],[INICIO REAL ACUMULADO]]</f>
        <v>291</v>
      </c>
      <c r="O297">
        <f>+AV_PLAN[[#This Row],[TERMINO PLAN ACUMULADO]]-AV_PLAN[[#This Row],[TERMINO REAL ACUMULADO]]</f>
        <v>291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0.22727272727272727</v>
      </c>
      <c r="S297" s="7">
        <f>+AV_PLAN[[#This Row],[TERMINO PLAN ACUMULADO]]/$G$471</f>
        <v>0.56818181818181823</v>
      </c>
      <c r="T297" s="7">
        <f t="shared" si="9"/>
        <v>0.15482954545454544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160</v>
      </c>
      <c r="F298">
        <v>3</v>
      </c>
      <c r="G298">
        <v>403</v>
      </c>
      <c r="H298">
        <v>0</v>
      </c>
      <c r="I298">
        <v>109</v>
      </c>
      <c r="J298" t="s">
        <v>817</v>
      </c>
      <c r="K298">
        <f>+WEEKNUM(AV_PLAN[[#This Row],[Días]])</f>
        <v>50</v>
      </c>
      <c r="L298" s="4">
        <f>IFERROR(AV_PLAN[[#This Row],[INICIO REAL ACUMULADO]]/AV_PLAN[[#This Row],[PLAN ACUMULADO]],"")</f>
        <v>0.3524229074889868</v>
      </c>
      <c r="M298" s="4">
        <f>IFERROR(AV_PLAN[[#This Row],[TERMINO REAL ACUMULADO]]/AV_PLAN[[#This Row],[TERMINO PLAN ACUMULADO]],"")</f>
        <v>0.27047146401985112</v>
      </c>
      <c r="N298">
        <f>+AV_PLAN[[#This Row],[PLAN ACUMULADO]]-AV_PLAN[[#This Row],[INICIO REAL ACUMULADO]]</f>
        <v>294</v>
      </c>
      <c r="O298">
        <f>+AV_PLAN[[#This Row],[TERMINO PLAN ACUMULADO]]-AV_PLAN[[#This Row],[TERMINO REAL ACUMULADO]]</f>
        <v>294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0.22727272727272727</v>
      </c>
      <c r="S298" s="7">
        <f>+AV_PLAN[[#This Row],[TERMINO PLAN ACUMULADO]]/$G$471</f>
        <v>0.57244318181818177</v>
      </c>
      <c r="T298" s="7">
        <f t="shared" si="9"/>
        <v>0.15482954545454544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160</v>
      </c>
      <c r="F299">
        <v>3</v>
      </c>
      <c r="G299">
        <v>406</v>
      </c>
      <c r="H299">
        <v>0</v>
      </c>
      <c r="I299">
        <v>109</v>
      </c>
      <c r="J299" t="s">
        <v>817</v>
      </c>
      <c r="K299">
        <f>+WEEKNUM(AV_PLAN[[#This Row],[Días]])</f>
        <v>50</v>
      </c>
      <c r="L299" s="4">
        <f>IFERROR(AV_PLAN[[#This Row],[INICIO REAL ACUMULADO]]/AV_PLAN[[#This Row],[PLAN ACUMULADO]],"")</f>
        <v>0.35010940919037198</v>
      </c>
      <c r="M299" s="4">
        <f>IFERROR(AV_PLAN[[#This Row],[TERMINO REAL ACUMULADO]]/AV_PLAN[[#This Row],[TERMINO PLAN ACUMULADO]],"")</f>
        <v>0.26847290640394089</v>
      </c>
      <c r="N299">
        <f>+AV_PLAN[[#This Row],[PLAN ACUMULADO]]-AV_PLAN[[#This Row],[INICIO REAL ACUMULADO]]</f>
        <v>297</v>
      </c>
      <c r="O299">
        <f>+AV_PLAN[[#This Row],[TERMINO PLAN ACUMULADO]]-AV_PLAN[[#This Row],[TERMINO REAL ACUMULADO]]</f>
        <v>297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0.22727272727272727</v>
      </c>
      <c r="S299" s="7">
        <f>+AV_PLAN[[#This Row],[TERMINO PLAN ACUMULADO]]/$G$471</f>
        <v>0.57670454545454541</v>
      </c>
      <c r="T299" s="7">
        <f t="shared" si="9"/>
        <v>0.15482954545454544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160</v>
      </c>
      <c r="F300">
        <v>1</v>
      </c>
      <c r="G300">
        <v>407</v>
      </c>
      <c r="H300">
        <v>0</v>
      </c>
      <c r="I300">
        <v>109</v>
      </c>
      <c r="J300" t="s">
        <v>817</v>
      </c>
      <c r="K300">
        <f>+WEEKNUM(AV_PLAN[[#This Row],[Días]])</f>
        <v>50</v>
      </c>
      <c r="L300" s="4">
        <f>IFERROR(AV_PLAN[[#This Row],[INICIO REAL ACUMULADO]]/AV_PLAN[[#This Row],[PLAN ACUMULADO]],"")</f>
        <v>0.34782608695652173</v>
      </c>
      <c r="M300" s="4">
        <f>IFERROR(AV_PLAN[[#This Row],[TERMINO REAL ACUMULADO]]/AV_PLAN[[#This Row],[TERMINO PLAN ACUMULADO]],"")</f>
        <v>0.26781326781326781</v>
      </c>
      <c r="N300">
        <f>+AV_PLAN[[#This Row],[PLAN ACUMULADO]]-AV_PLAN[[#This Row],[INICIO REAL ACUMULADO]]</f>
        <v>300</v>
      </c>
      <c r="O300">
        <f>+AV_PLAN[[#This Row],[TERMINO PLAN ACUMULADO]]-AV_PLAN[[#This Row],[TERMINO REAL ACUMULADO]]</f>
        <v>298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0.22727272727272727</v>
      </c>
      <c r="S300" s="7">
        <f>+AV_PLAN[[#This Row],[TERMINO PLAN ACUMULADO]]/$G$471</f>
        <v>0.578125</v>
      </c>
      <c r="T300" s="7">
        <f t="shared" si="9"/>
        <v>0.15482954545454544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160</v>
      </c>
      <c r="F301">
        <v>2</v>
      </c>
      <c r="G301">
        <v>409</v>
      </c>
      <c r="H301">
        <v>0</v>
      </c>
      <c r="I301">
        <v>109</v>
      </c>
      <c r="J301" t="s">
        <v>817</v>
      </c>
      <c r="K301">
        <f>+WEEKNUM(AV_PLAN[[#This Row],[Días]])</f>
        <v>50</v>
      </c>
      <c r="L301" s="4">
        <f>IFERROR(AV_PLAN[[#This Row],[INICIO REAL ACUMULADO]]/AV_PLAN[[#This Row],[PLAN ACUMULADO]],"")</f>
        <v>0.34782608695652173</v>
      </c>
      <c r="M301" s="4">
        <f>IFERROR(AV_PLAN[[#This Row],[TERMINO REAL ACUMULADO]]/AV_PLAN[[#This Row],[TERMINO PLAN ACUMULADO]],"")</f>
        <v>0.2665036674816626</v>
      </c>
      <c r="N301">
        <f>+AV_PLAN[[#This Row],[PLAN ACUMULADO]]-AV_PLAN[[#This Row],[INICIO REAL ACUMULADO]]</f>
        <v>300</v>
      </c>
      <c r="O301">
        <f>+AV_PLAN[[#This Row],[TERMINO PLAN ACUMULADO]]-AV_PLAN[[#This Row],[TERMINO REAL ACUMULADO]]</f>
        <v>300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0.22727272727272727</v>
      </c>
      <c r="S301" s="7">
        <f>+AV_PLAN[[#This Row],[TERMINO PLAN ACUMULADO]]/$G$471</f>
        <v>0.58096590909090906</v>
      </c>
      <c r="T301" s="7">
        <f t="shared" si="9"/>
        <v>0.15482954545454544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160</v>
      </c>
      <c r="F302">
        <v>4</v>
      </c>
      <c r="G302">
        <v>413</v>
      </c>
      <c r="H302">
        <v>0</v>
      </c>
      <c r="I302">
        <v>109</v>
      </c>
      <c r="J302" t="s">
        <v>817</v>
      </c>
      <c r="K302">
        <f>+WEEKNUM(AV_PLAN[[#This Row],[Días]])</f>
        <v>51</v>
      </c>
      <c r="L302" s="4">
        <f>IFERROR(AV_PLAN[[#This Row],[INICIO REAL ACUMULADO]]/AV_PLAN[[#This Row],[PLAN ACUMULADO]],"")</f>
        <v>0.34782608695652173</v>
      </c>
      <c r="M302" s="4">
        <f>IFERROR(AV_PLAN[[#This Row],[TERMINO REAL ACUMULADO]]/AV_PLAN[[#This Row],[TERMINO PLAN ACUMULADO]],"")</f>
        <v>0.26392251815980627</v>
      </c>
      <c r="N302">
        <f>+AV_PLAN[[#This Row],[PLAN ACUMULADO]]-AV_PLAN[[#This Row],[INICIO REAL ACUMULADO]]</f>
        <v>300</v>
      </c>
      <c r="O302">
        <f>+AV_PLAN[[#This Row],[TERMINO PLAN ACUMULADO]]-AV_PLAN[[#This Row],[TERMINO REAL ACUMULADO]]</f>
        <v>304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0.22727272727272727</v>
      </c>
      <c r="S302" s="7">
        <f>+AV_PLAN[[#This Row],[TERMINO PLAN ACUMULADO]]/$G$471</f>
        <v>0.58664772727272729</v>
      </c>
      <c r="T302" s="7">
        <f t="shared" si="9"/>
        <v>0.15482954545454544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160</v>
      </c>
      <c r="F303">
        <v>1</v>
      </c>
      <c r="G303">
        <v>414</v>
      </c>
      <c r="H303">
        <v>0</v>
      </c>
      <c r="I303">
        <v>109</v>
      </c>
      <c r="J303" t="s">
        <v>817</v>
      </c>
      <c r="K303">
        <f>+WEEKNUM(AV_PLAN[[#This Row],[Días]])</f>
        <v>51</v>
      </c>
      <c r="L303" s="4">
        <f>IFERROR(AV_PLAN[[#This Row],[INICIO REAL ACUMULADO]]/AV_PLAN[[#This Row],[PLAN ACUMULADO]],"")</f>
        <v>0.34557235421166305</v>
      </c>
      <c r="M303" s="4">
        <f>IFERROR(AV_PLAN[[#This Row],[TERMINO REAL ACUMULADO]]/AV_PLAN[[#This Row],[TERMINO PLAN ACUMULADO]],"")</f>
        <v>0.26328502415458938</v>
      </c>
      <c r="N303">
        <f>+AV_PLAN[[#This Row],[PLAN ACUMULADO]]-AV_PLAN[[#This Row],[INICIO REAL ACUMULADO]]</f>
        <v>303</v>
      </c>
      <c r="O303">
        <f>+AV_PLAN[[#This Row],[TERMINO PLAN ACUMULADO]]-AV_PLAN[[#This Row],[TERMINO REAL ACUMULADO]]</f>
        <v>305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0.22727272727272727</v>
      </c>
      <c r="S303" s="7">
        <f>+AV_PLAN[[#This Row],[TERMINO PLAN ACUMULADO]]/$G$471</f>
        <v>0.58806818181818177</v>
      </c>
      <c r="T303" s="7">
        <f t="shared" si="9"/>
        <v>0.15482954545454544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160</v>
      </c>
      <c r="F304">
        <v>1</v>
      </c>
      <c r="G304">
        <v>415</v>
      </c>
      <c r="H304">
        <v>0</v>
      </c>
      <c r="I304">
        <v>109</v>
      </c>
      <c r="J304" t="s">
        <v>817</v>
      </c>
      <c r="K304">
        <f>+WEEKNUM(AV_PLAN[[#This Row],[Días]])</f>
        <v>51</v>
      </c>
      <c r="L304" s="4">
        <f>IFERROR(AV_PLAN[[#This Row],[INICIO REAL ACUMULADO]]/AV_PLAN[[#This Row],[PLAN ACUMULADO]],"")</f>
        <v>0.34334763948497854</v>
      </c>
      <c r="M304" s="4">
        <f>IFERROR(AV_PLAN[[#This Row],[TERMINO REAL ACUMULADO]]/AV_PLAN[[#This Row],[TERMINO PLAN ACUMULADO]],"")</f>
        <v>0.26265060240963856</v>
      </c>
      <c r="N304">
        <f>+AV_PLAN[[#This Row],[PLAN ACUMULADO]]-AV_PLAN[[#This Row],[INICIO REAL ACUMULADO]]</f>
        <v>306</v>
      </c>
      <c r="O304">
        <f>+AV_PLAN[[#This Row],[TERMINO PLAN ACUMULADO]]-AV_PLAN[[#This Row],[TERMINO REAL ACUMULADO]]</f>
        <v>306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0.22727272727272727</v>
      </c>
      <c r="S304" s="7">
        <f>+AV_PLAN[[#This Row],[TERMINO PLAN ACUMULADO]]/$G$471</f>
        <v>0.58948863636363635</v>
      </c>
      <c r="T304" s="7">
        <f t="shared" si="9"/>
        <v>0.15482954545454544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160</v>
      </c>
      <c r="F305">
        <v>3</v>
      </c>
      <c r="G305">
        <v>418</v>
      </c>
      <c r="H305">
        <v>0</v>
      </c>
      <c r="I305">
        <v>109</v>
      </c>
      <c r="J305" t="s">
        <v>817</v>
      </c>
      <c r="K305">
        <f>+WEEKNUM(AV_PLAN[[#This Row],[Días]])</f>
        <v>51</v>
      </c>
      <c r="L305" s="4">
        <f>IFERROR(AV_PLAN[[#This Row],[INICIO REAL ACUMULADO]]/AV_PLAN[[#This Row],[PLAN ACUMULADO]],"")</f>
        <v>0.34115138592750532</v>
      </c>
      <c r="M305" s="4">
        <f>IFERROR(AV_PLAN[[#This Row],[TERMINO REAL ACUMULADO]]/AV_PLAN[[#This Row],[TERMINO PLAN ACUMULADO]],"")</f>
        <v>0.26076555023923442</v>
      </c>
      <c r="N305">
        <f>+AV_PLAN[[#This Row],[PLAN ACUMULADO]]-AV_PLAN[[#This Row],[INICIO REAL ACUMULADO]]</f>
        <v>309</v>
      </c>
      <c r="O305">
        <f>+AV_PLAN[[#This Row],[TERMINO PLAN ACUMULADO]]-AV_PLAN[[#This Row],[TERMINO REAL ACUMULADO]]</f>
        <v>309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0.22727272727272727</v>
      </c>
      <c r="S305" s="7">
        <f>+AV_PLAN[[#This Row],[TERMINO PLAN ACUMULADO]]/$G$471</f>
        <v>0.59375</v>
      </c>
      <c r="T305" s="7">
        <f t="shared" si="9"/>
        <v>0.15482954545454544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160</v>
      </c>
      <c r="F306">
        <v>3</v>
      </c>
      <c r="G306">
        <v>421</v>
      </c>
      <c r="H306">
        <v>0</v>
      </c>
      <c r="I306">
        <v>109</v>
      </c>
      <c r="J306" t="s">
        <v>817</v>
      </c>
      <c r="K306">
        <f>+WEEKNUM(AV_PLAN[[#This Row],[Días]])</f>
        <v>51</v>
      </c>
      <c r="L306" s="4">
        <f>IFERROR(AV_PLAN[[#This Row],[INICIO REAL ACUMULADO]]/AV_PLAN[[#This Row],[PLAN ACUMULADO]],"")</f>
        <v>0.33898305084745761</v>
      </c>
      <c r="M306" s="4">
        <f>IFERROR(AV_PLAN[[#This Row],[TERMINO REAL ACUMULADO]]/AV_PLAN[[#This Row],[TERMINO PLAN ACUMULADO]],"")</f>
        <v>0.25890736342042753</v>
      </c>
      <c r="N306">
        <f>+AV_PLAN[[#This Row],[PLAN ACUMULADO]]-AV_PLAN[[#This Row],[INICIO REAL ACUMULADO]]</f>
        <v>312</v>
      </c>
      <c r="O306">
        <f>+AV_PLAN[[#This Row],[TERMINO PLAN ACUMULADO]]-AV_PLAN[[#This Row],[TERMINO REAL ACUMULADO]]</f>
        <v>312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0.22727272727272727</v>
      </c>
      <c r="S306" s="7">
        <f>+AV_PLAN[[#This Row],[TERMINO PLAN ACUMULADO]]/$G$471</f>
        <v>0.59801136363636365</v>
      </c>
      <c r="T306" s="7">
        <f t="shared" si="9"/>
        <v>0.15482954545454544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160</v>
      </c>
      <c r="F307">
        <v>2</v>
      </c>
      <c r="G307">
        <v>423</v>
      </c>
      <c r="H307">
        <v>0</v>
      </c>
      <c r="I307">
        <v>109</v>
      </c>
      <c r="J307" t="s">
        <v>817</v>
      </c>
      <c r="K307">
        <f>+WEEKNUM(AV_PLAN[[#This Row],[Días]])</f>
        <v>51</v>
      </c>
      <c r="L307" s="4">
        <f>IFERROR(AV_PLAN[[#This Row],[INICIO REAL ACUMULADO]]/AV_PLAN[[#This Row],[PLAN ACUMULADO]],"")</f>
        <v>0.33684210526315789</v>
      </c>
      <c r="M307" s="4">
        <f>IFERROR(AV_PLAN[[#This Row],[TERMINO REAL ACUMULADO]]/AV_PLAN[[#This Row],[TERMINO PLAN ACUMULADO]],"")</f>
        <v>0.25768321513002362</v>
      </c>
      <c r="N307">
        <f>+AV_PLAN[[#This Row],[PLAN ACUMULADO]]-AV_PLAN[[#This Row],[INICIO REAL ACUMULADO]]</f>
        <v>315</v>
      </c>
      <c r="O307">
        <f>+AV_PLAN[[#This Row],[TERMINO PLAN ACUMULADO]]-AV_PLAN[[#This Row],[TERMINO REAL ACUMULADO]]</f>
        <v>314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0.22727272727272727</v>
      </c>
      <c r="S307" s="7">
        <f>+AV_PLAN[[#This Row],[TERMINO PLAN ACUMULADO]]/$G$471</f>
        <v>0.60085227272727271</v>
      </c>
      <c r="T307" s="7">
        <f t="shared" si="9"/>
        <v>0.15482954545454544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160</v>
      </c>
      <c r="F308">
        <v>2</v>
      </c>
      <c r="G308">
        <v>425</v>
      </c>
      <c r="H308">
        <v>0</v>
      </c>
      <c r="I308">
        <v>109</v>
      </c>
      <c r="J308" t="s">
        <v>817</v>
      </c>
      <c r="K308">
        <f>+WEEKNUM(AV_PLAN[[#This Row],[Días]])</f>
        <v>51</v>
      </c>
      <c r="L308" s="4">
        <f>IFERROR(AV_PLAN[[#This Row],[INICIO REAL ACUMULADO]]/AV_PLAN[[#This Row],[PLAN ACUMULADO]],"")</f>
        <v>0.33684210526315789</v>
      </c>
      <c r="M308" s="4">
        <f>IFERROR(AV_PLAN[[#This Row],[TERMINO REAL ACUMULADO]]/AV_PLAN[[#This Row],[TERMINO PLAN ACUMULADO]],"")</f>
        <v>0.25647058823529412</v>
      </c>
      <c r="N308">
        <f>+AV_PLAN[[#This Row],[PLAN ACUMULADO]]-AV_PLAN[[#This Row],[INICIO REAL ACUMULADO]]</f>
        <v>315</v>
      </c>
      <c r="O308">
        <f>+AV_PLAN[[#This Row],[TERMINO PLAN ACUMULADO]]-AV_PLAN[[#This Row],[TERMINO REAL ACUMULADO]]</f>
        <v>316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0.22727272727272727</v>
      </c>
      <c r="S308" s="7">
        <f>+AV_PLAN[[#This Row],[TERMINO PLAN ACUMULADO]]/$G$471</f>
        <v>0.60369318181818177</v>
      </c>
      <c r="T308" s="7">
        <f t="shared" si="9"/>
        <v>0.15482954545454544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160</v>
      </c>
      <c r="F309">
        <v>2</v>
      </c>
      <c r="G309">
        <v>427</v>
      </c>
      <c r="H309">
        <v>0</v>
      </c>
      <c r="I309">
        <v>109</v>
      </c>
      <c r="J309" t="s">
        <v>817</v>
      </c>
      <c r="K309">
        <f>+WEEKNUM(AV_PLAN[[#This Row],[Días]])</f>
        <v>52</v>
      </c>
      <c r="L309" s="4">
        <f>IFERROR(AV_PLAN[[#This Row],[INICIO REAL ACUMULADO]]/AV_PLAN[[#This Row],[PLAN ACUMULADO]],"")</f>
        <v>0.33684210526315789</v>
      </c>
      <c r="M309" s="4">
        <f>IFERROR(AV_PLAN[[#This Row],[TERMINO REAL ACUMULADO]]/AV_PLAN[[#This Row],[TERMINO PLAN ACUMULADO]],"")</f>
        <v>0.25526932084309134</v>
      </c>
      <c r="N309">
        <f>+AV_PLAN[[#This Row],[PLAN ACUMULADO]]-AV_PLAN[[#This Row],[INICIO REAL ACUMULADO]]</f>
        <v>315</v>
      </c>
      <c r="O309">
        <f>+AV_PLAN[[#This Row],[TERMINO PLAN ACUMULADO]]-AV_PLAN[[#This Row],[TERMINO REAL ACUMULADO]]</f>
        <v>318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0.22727272727272727</v>
      </c>
      <c r="S309" s="7">
        <f>+AV_PLAN[[#This Row],[TERMINO PLAN ACUMULADO]]/$G$471</f>
        <v>0.60653409090909094</v>
      </c>
      <c r="T309" s="7">
        <f t="shared" si="9"/>
        <v>0.15482954545454544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160</v>
      </c>
      <c r="F310">
        <v>1</v>
      </c>
      <c r="G310">
        <v>428</v>
      </c>
      <c r="H310">
        <v>0</v>
      </c>
      <c r="I310">
        <v>109</v>
      </c>
      <c r="J310" t="s">
        <v>817</v>
      </c>
      <c r="K310">
        <f>+WEEKNUM(AV_PLAN[[#This Row],[Días]])</f>
        <v>52</v>
      </c>
      <c r="L310" s="4">
        <f>IFERROR(AV_PLAN[[#This Row],[INICIO REAL ACUMULADO]]/AV_PLAN[[#This Row],[PLAN ACUMULADO]],"")</f>
        <v>0.33472803347280333</v>
      </c>
      <c r="M310" s="4">
        <f>IFERROR(AV_PLAN[[#This Row],[TERMINO REAL ACUMULADO]]/AV_PLAN[[#This Row],[TERMINO PLAN ACUMULADO]],"")</f>
        <v>0.25467289719626168</v>
      </c>
      <c r="N310">
        <f>+AV_PLAN[[#This Row],[PLAN ACUMULADO]]-AV_PLAN[[#This Row],[INICIO REAL ACUMULADO]]</f>
        <v>318</v>
      </c>
      <c r="O310">
        <f>+AV_PLAN[[#This Row],[TERMINO PLAN ACUMULADO]]-AV_PLAN[[#This Row],[TERMINO REAL ACUMULADO]]</f>
        <v>319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0.22727272727272727</v>
      </c>
      <c r="S310" s="7">
        <f>+AV_PLAN[[#This Row],[TERMINO PLAN ACUMULADO]]/$G$471</f>
        <v>0.60795454545454541</v>
      </c>
      <c r="T310" s="7">
        <f t="shared" si="9"/>
        <v>0.15482954545454544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160</v>
      </c>
      <c r="F311">
        <v>2</v>
      </c>
      <c r="G311">
        <v>430</v>
      </c>
      <c r="H311">
        <v>0</v>
      </c>
      <c r="I311">
        <v>109</v>
      </c>
      <c r="J311" t="s">
        <v>817</v>
      </c>
      <c r="K311">
        <f>+WEEKNUM(AV_PLAN[[#This Row],[Días]])</f>
        <v>52</v>
      </c>
      <c r="L311" s="4">
        <f>IFERROR(AV_PLAN[[#This Row],[INICIO REAL ACUMULADO]]/AV_PLAN[[#This Row],[PLAN ACUMULADO]],"")</f>
        <v>0.33264033264033266</v>
      </c>
      <c r="M311" s="4">
        <f>IFERROR(AV_PLAN[[#This Row],[TERMINO REAL ACUMULADO]]/AV_PLAN[[#This Row],[TERMINO PLAN ACUMULADO]],"")</f>
        <v>0.25348837209302327</v>
      </c>
      <c r="N311">
        <f>+AV_PLAN[[#This Row],[PLAN ACUMULADO]]-AV_PLAN[[#This Row],[INICIO REAL ACUMULADO]]</f>
        <v>321</v>
      </c>
      <c r="O311">
        <f>+AV_PLAN[[#This Row],[TERMINO PLAN ACUMULADO]]-AV_PLAN[[#This Row],[TERMINO REAL ACUMULADO]]</f>
        <v>321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0.22727272727272727</v>
      </c>
      <c r="S311" s="7">
        <f>+AV_PLAN[[#This Row],[TERMINO PLAN ACUMULADO]]/$G$471</f>
        <v>0.61079545454545459</v>
      </c>
      <c r="T311" s="7">
        <f t="shared" si="9"/>
        <v>0.15482954545454544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160</v>
      </c>
      <c r="F312">
        <v>3</v>
      </c>
      <c r="G312">
        <v>433</v>
      </c>
      <c r="H312">
        <v>0</v>
      </c>
      <c r="I312">
        <v>109</v>
      </c>
      <c r="J312" t="s">
        <v>817</v>
      </c>
      <c r="K312">
        <f>+WEEKNUM(AV_PLAN[[#This Row],[Días]])</f>
        <v>52</v>
      </c>
      <c r="L312" s="4">
        <f>IFERROR(AV_PLAN[[#This Row],[INICIO REAL ACUMULADO]]/AV_PLAN[[#This Row],[PLAN ACUMULADO]],"")</f>
        <v>0.33057851239669422</v>
      </c>
      <c r="M312" s="4">
        <f>IFERROR(AV_PLAN[[#This Row],[TERMINO REAL ACUMULADO]]/AV_PLAN[[#This Row],[TERMINO PLAN ACUMULADO]],"")</f>
        <v>0.25173210161662818</v>
      </c>
      <c r="N312">
        <f>+AV_PLAN[[#This Row],[PLAN ACUMULADO]]-AV_PLAN[[#This Row],[INICIO REAL ACUMULADO]]</f>
        <v>324</v>
      </c>
      <c r="O312">
        <f>+AV_PLAN[[#This Row],[TERMINO PLAN ACUMULADO]]-AV_PLAN[[#This Row],[TERMINO REAL ACUMULADO]]</f>
        <v>324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0.22727272727272727</v>
      </c>
      <c r="S312" s="7">
        <f>+AV_PLAN[[#This Row],[TERMINO PLAN ACUMULADO]]/$G$471</f>
        <v>0.61505681818181823</v>
      </c>
      <c r="T312" s="7">
        <f t="shared" si="9"/>
        <v>0.15482954545454544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160</v>
      </c>
      <c r="F313">
        <v>3</v>
      </c>
      <c r="G313">
        <v>436</v>
      </c>
      <c r="H313">
        <v>0</v>
      </c>
      <c r="I313">
        <v>109</v>
      </c>
      <c r="J313" t="s">
        <v>817</v>
      </c>
      <c r="K313">
        <f>+WEEKNUM(AV_PLAN[[#This Row],[Días]])</f>
        <v>52</v>
      </c>
      <c r="L313" s="4">
        <f>IFERROR(AV_PLAN[[#This Row],[INICIO REAL ACUMULADO]]/AV_PLAN[[#This Row],[PLAN ACUMULADO]],"")</f>
        <v>0.33057851239669422</v>
      </c>
      <c r="M313" s="4">
        <f>IFERROR(AV_PLAN[[#This Row],[TERMINO REAL ACUMULADO]]/AV_PLAN[[#This Row],[TERMINO PLAN ACUMULADO]],"")</f>
        <v>0.25</v>
      </c>
      <c r="N313">
        <f>+AV_PLAN[[#This Row],[PLAN ACUMULADO]]-AV_PLAN[[#This Row],[INICIO REAL ACUMULADO]]</f>
        <v>324</v>
      </c>
      <c r="O313">
        <f>+AV_PLAN[[#This Row],[TERMINO PLAN ACUMULADO]]-AV_PLAN[[#This Row],[TERMINO REAL ACUMULADO]]</f>
        <v>327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0.22727272727272727</v>
      </c>
      <c r="S313" s="7">
        <f>+AV_PLAN[[#This Row],[TERMINO PLAN ACUMULADO]]/$G$471</f>
        <v>0.61931818181818177</v>
      </c>
      <c r="T313" s="7">
        <f t="shared" si="9"/>
        <v>0.15482954545454544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160</v>
      </c>
      <c r="F314">
        <v>2</v>
      </c>
      <c r="G314">
        <v>438</v>
      </c>
      <c r="H314">
        <v>0</v>
      </c>
      <c r="I314">
        <v>109</v>
      </c>
      <c r="J314" t="s">
        <v>817</v>
      </c>
      <c r="K314">
        <f>+WEEKNUM(AV_PLAN[[#This Row],[Días]])</f>
        <v>52</v>
      </c>
      <c r="L314" s="4">
        <f>IFERROR(AV_PLAN[[#This Row],[INICIO REAL ACUMULADO]]/AV_PLAN[[#This Row],[PLAN ACUMULADO]],"")</f>
        <v>0.33057851239669422</v>
      </c>
      <c r="M314" s="4">
        <f>IFERROR(AV_PLAN[[#This Row],[TERMINO REAL ACUMULADO]]/AV_PLAN[[#This Row],[TERMINO PLAN ACUMULADO]],"")</f>
        <v>0.24885844748858446</v>
      </c>
      <c r="N314">
        <f>+AV_PLAN[[#This Row],[PLAN ACUMULADO]]-AV_PLAN[[#This Row],[INICIO REAL ACUMULADO]]</f>
        <v>324</v>
      </c>
      <c r="O314">
        <f>+AV_PLAN[[#This Row],[TERMINO PLAN ACUMULADO]]-AV_PLAN[[#This Row],[TERMINO REAL ACUMULADO]]</f>
        <v>329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0.22727272727272727</v>
      </c>
      <c r="S314" s="7">
        <f>+AV_PLAN[[#This Row],[TERMINO PLAN ACUMULADO]]/$G$471</f>
        <v>0.62215909090909094</v>
      </c>
      <c r="T314" s="7">
        <f t="shared" si="9"/>
        <v>0.15482954545454544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160</v>
      </c>
      <c r="F315">
        <v>1</v>
      </c>
      <c r="G315">
        <v>439</v>
      </c>
      <c r="H315">
        <v>0</v>
      </c>
      <c r="I315">
        <v>109</v>
      </c>
      <c r="J315" t="s">
        <v>817</v>
      </c>
      <c r="K315">
        <f>+WEEKNUM(AV_PLAN[[#This Row],[Días]])</f>
        <v>52</v>
      </c>
      <c r="L315" s="4">
        <f>IFERROR(AV_PLAN[[#This Row],[INICIO REAL ACUMULADO]]/AV_PLAN[[#This Row],[PLAN ACUMULADO]],"")</f>
        <v>0.33057851239669422</v>
      </c>
      <c r="M315" s="4">
        <f>IFERROR(AV_PLAN[[#This Row],[TERMINO REAL ACUMULADO]]/AV_PLAN[[#This Row],[TERMINO PLAN ACUMULADO]],"")</f>
        <v>0.24829157175398633</v>
      </c>
      <c r="N315">
        <f>+AV_PLAN[[#This Row],[PLAN ACUMULADO]]-AV_PLAN[[#This Row],[INICIO REAL ACUMULADO]]</f>
        <v>324</v>
      </c>
      <c r="O315">
        <f>+AV_PLAN[[#This Row],[TERMINO PLAN ACUMULADO]]-AV_PLAN[[#This Row],[TERMINO REAL ACUMULADO]]</f>
        <v>330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0.22727272727272727</v>
      </c>
      <c r="S315" s="7">
        <f>+AV_PLAN[[#This Row],[TERMINO PLAN ACUMULADO]]/$G$471</f>
        <v>0.62357954545454541</v>
      </c>
      <c r="T315" s="7">
        <f t="shared" si="9"/>
        <v>0.15482954545454544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160</v>
      </c>
      <c r="F316">
        <v>2</v>
      </c>
      <c r="G316">
        <v>441</v>
      </c>
      <c r="H316">
        <v>0</v>
      </c>
      <c r="I316">
        <v>109</v>
      </c>
      <c r="J316" t="s">
        <v>817</v>
      </c>
      <c r="K316">
        <f>+WEEKNUM(AV_PLAN[[#This Row],[Días]])</f>
        <v>53</v>
      </c>
      <c r="L316" s="4">
        <f>IFERROR(AV_PLAN[[#This Row],[INICIO REAL ACUMULADO]]/AV_PLAN[[#This Row],[PLAN ACUMULADO]],"")</f>
        <v>0.33057851239669422</v>
      </c>
      <c r="M316" s="4">
        <f>IFERROR(AV_PLAN[[#This Row],[TERMINO REAL ACUMULADO]]/AV_PLAN[[#This Row],[TERMINO PLAN ACUMULADO]],"")</f>
        <v>0.2471655328798186</v>
      </c>
      <c r="N316">
        <f>+AV_PLAN[[#This Row],[PLAN ACUMULADO]]-AV_PLAN[[#This Row],[INICIO REAL ACUMULADO]]</f>
        <v>324</v>
      </c>
      <c r="O316">
        <f>+AV_PLAN[[#This Row],[TERMINO PLAN ACUMULADO]]-AV_PLAN[[#This Row],[TERMINO REAL ACUMULADO]]</f>
        <v>332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0.22727272727272727</v>
      </c>
      <c r="S316" s="7">
        <f>+AV_PLAN[[#This Row],[TERMINO PLAN ACUMULADO]]/$G$471</f>
        <v>0.62642045454545459</v>
      </c>
      <c r="T316" s="7">
        <f t="shared" si="9"/>
        <v>0.15482954545454544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160</v>
      </c>
      <c r="F317">
        <v>0</v>
      </c>
      <c r="G317">
        <v>441</v>
      </c>
      <c r="H317">
        <v>0</v>
      </c>
      <c r="I317">
        <v>109</v>
      </c>
      <c r="J317" t="s">
        <v>817</v>
      </c>
      <c r="K317">
        <f>+WEEKNUM(AV_PLAN[[#This Row],[Días]])</f>
        <v>53</v>
      </c>
      <c r="L317" s="4">
        <f>IFERROR(AV_PLAN[[#This Row],[INICIO REAL ACUMULADO]]/AV_PLAN[[#This Row],[PLAN ACUMULADO]],"")</f>
        <v>0.32854209445585214</v>
      </c>
      <c r="M317" s="4">
        <f>IFERROR(AV_PLAN[[#This Row],[TERMINO REAL ACUMULADO]]/AV_PLAN[[#This Row],[TERMINO PLAN ACUMULADO]],"")</f>
        <v>0.2471655328798186</v>
      </c>
      <c r="N317">
        <f>+AV_PLAN[[#This Row],[PLAN ACUMULADO]]-AV_PLAN[[#This Row],[INICIO REAL ACUMULADO]]</f>
        <v>327</v>
      </c>
      <c r="O317">
        <f>+AV_PLAN[[#This Row],[TERMINO PLAN ACUMULADO]]-AV_PLAN[[#This Row],[TERMINO REAL ACUMULADO]]</f>
        <v>332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0.22727272727272727</v>
      </c>
      <c r="S317" s="7">
        <f>+AV_PLAN[[#This Row],[TERMINO PLAN ACUMULADO]]/$G$471</f>
        <v>0.62642045454545459</v>
      </c>
      <c r="T317" s="7">
        <f t="shared" si="9"/>
        <v>0.15482954545454544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160</v>
      </c>
      <c r="F318">
        <v>2</v>
      </c>
      <c r="G318">
        <v>443</v>
      </c>
      <c r="H318">
        <v>0</v>
      </c>
      <c r="I318">
        <v>109</v>
      </c>
      <c r="J318" t="s">
        <v>817</v>
      </c>
      <c r="K318">
        <f>+WEEKNUM(AV_PLAN[[#This Row],[Días]])</f>
        <v>53</v>
      </c>
      <c r="L318" s="4">
        <f>IFERROR(AV_PLAN[[#This Row],[INICIO REAL ACUMULADO]]/AV_PLAN[[#This Row],[PLAN ACUMULADO]],"")</f>
        <v>0.32653061224489793</v>
      </c>
      <c r="M318" s="4">
        <f>IFERROR(AV_PLAN[[#This Row],[TERMINO REAL ACUMULADO]]/AV_PLAN[[#This Row],[TERMINO PLAN ACUMULADO]],"")</f>
        <v>0.24604966139954854</v>
      </c>
      <c r="N318">
        <f>+AV_PLAN[[#This Row],[PLAN ACUMULADO]]-AV_PLAN[[#This Row],[INICIO REAL ACUMULADO]]</f>
        <v>330</v>
      </c>
      <c r="O318">
        <f>+AV_PLAN[[#This Row],[TERMINO PLAN ACUMULADO]]-AV_PLAN[[#This Row],[TERMINO REAL ACUMULADO]]</f>
        <v>334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0.22727272727272727</v>
      </c>
      <c r="S318" s="7">
        <f>+AV_PLAN[[#This Row],[TERMINO PLAN ACUMULADO]]/$G$471</f>
        <v>0.62926136363636365</v>
      </c>
      <c r="T318" s="7">
        <f t="shared" si="9"/>
        <v>0.15482954545454544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160</v>
      </c>
      <c r="F319">
        <v>4</v>
      </c>
      <c r="G319">
        <v>447</v>
      </c>
      <c r="H319">
        <v>0</v>
      </c>
      <c r="I319">
        <v>109</v>
      </c>
      <c r="J319" t="s">
        <v>817</v>
      </c>
      <c r="K319">
        <f>+WEEKNUM(AV_PLAN[[#This Row],[Días]])</f>
        <v>53</v>
      </c>
      <c r="L319" s="4">
        <f>IFERROR(AV_PLAN[[#This Row],[INICIO REAL ACUMULADO]]/AV_PLAN[[#This Row],[PLAN ACUMULADO]],"")</f>
        <v>0.32454361054766734</v>
      </c>
      <c r="M319" s="4">
        <f>IFERROR(AV_PLAN[[#This Row],[TERMINO REAL ACUMULADO]]/AV_PLAN[[#This Row],[TERMINO PLAN ACUMULADO]],"")</f>
        <v>0.24384787472035793</v>
      </c>
      <c r="N319">
        <f>+AV_PLAN[[#This Row],[PLAN ACUMULADO]]-AV_PLAN[[#This Row],[INICIO REAL ACUMULADO]]</f>
        <v>333</v>
      </c>
      <c r="O319">
        <f>+AV_PLAN[[#This Row],[TERMINO PLAN ACUMULADO]]-AV_PLAN[[#This Row],[TERMINO REAL ACUMULADO]]</f>
        <v>338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0.22727272727272727</v>
      </c>
      <c r="S319" s="7">
        <f>+AV_PLAN[[#This Row],[TERMINO PLAN ACUMULADO]]/$G$471</f>
        <v>0.63494318181818177</v>
      </c>
      <c r="T319" s="7">
        <f t="shared" si="9"/>
        <v>0.15482954545454544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160</v>
      </c>
      <c r="F320">
        <v>3</v>
      </c>
      <c r="G320">
        <v>450</v>
      </c>
      <c r="H320">
        <v>0</v>
      </c>
      <c r="I320">
        <v>109</v>
      </c>
      <c r="J320" t="s">
        <v>817</v>
      </c>
      <c r="K320">
        <f>+WEEKNUM(AV_PLAN[[#This Row],[Días]])</f>
        <v>53</v>
      </c>
      <c r="L320" s="4">
        <f>IFERROR(AV_PLAN[[#This Row],[INICIO REAL ACUMULADO]]/AV_PLAN[[#This Row],[PLAN ACUMULADO]],"")</f>
        <v>0.32454361054766734</v>
      </c>
      <c r="M320" s="4">
        <f>IFERROR(AV_PLAN[[#This Row],[TERMINO REAL ACUMULADO]]/AV_PLAN[[#This Row],[TERMINO PLAN ACUMULADO]],"")</f>
        <v>0.24222222222222223</v>
      </c>
      <c r="N320">
        <f>+AV_PLAN[[#This Row],[PLAN ACUMULADO]]-AV_PLAN[[#This Row],[INICIO REAL ACUMULADO]]</f>
        <v>333</v>
      </c>
      <c r="O320">
        <f>+AV_PLAN[[#This Row],[TERMINO PLAN ACUMULADO]]-AV_PLAN[[#This Row],[TERMINO REAL ACUMULADO]]</f>
        <v>341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0.22727272727272727</v>
      </c>
      <c r="S320" s="7">
        <f>+AV_PLAN[[#This Row],[TERMINO PLAN ACUMULADO]]/$G$471</f>
        <v>0.63920454545454541</v>
      </c>
      <c r="T320" s="7">
        <f t="shared" si="9"/>
        <v>0.15482954545454544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160</v>
      </c>
      <c r="F321">
        <v>1</v>
      </c>
      <c r="G321">
        <v>451</v>
      </c>
      <c r="H321">
        <v>0</v>
      </c>
      <c r="I321">
        <v>109</v>
      </c>
      <c r="J321" t="s">
        <v>818</v>
      </c>
      <c r="K321">
        <f>+WEEKNUM(AV_PLAN[[#This Row],[Días]])</f>
        <v>1</v>
      </c>
      <c r="L321" s="4">
        <f>IFERROR(AV_PLAN[[#This Row],[INICIO REAL ACUMULADO]]/AV_PLAN[[#This Row],[PLAN ACUMULADO]],"")</f>
        <v>0.32454361054766734</v>
      </c>
      <c r="M321" s="4">
        <f>IFERROR(AV_PLAN[[#This Row],[TERMINO REAL ACUMULADO]]/AV_PLAN[[#This Row],[TERMINO PLAN ACUMULADO]],"")</f>
        <v>0.24168514412416853</v>
      </c>
      <c r="N321">
        <f>+AV_PLAN[[#This Row],[PLAN ACUMULADO]]-AV_PLAN[[#This Row],[INICIO REAL ACUMULADO]]</f>
        <v>333</v>
      </c>
      <c r="O321">
        <f>+AV_PLAN[[#This Row],[TERMINO PLAN ACUMULADO]]-AV_PLAN[[#This Row],[TERMINO REAL ACUMULADO]]</f>
        <v>342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0.22727272727272727</v>
      </c>
      <c r="S321" s="7">
        <f>+AV_PLAN[[#This Row],[TERMINO PLAN ACUMULADO]]/$G$471</f>
        <v>0.640625</v>
      </c>
      <c r="T321" s="7">
        <f t="shared" si="9"/>
        <v>0.15482954545454544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160</v>
      </c>
      <c r="F322">
        <v>1</v>
      </c>
      <c r="G322">
        <v>452</v>
      </c>
      <c r="H322">
        <v>0</v>
      </c>
      <c r="I322">
        <v>109</v>
      </c>
      <c r="J322" t="s">
        <v>818</v>
      </c>
      <c r="K322">
        <f>+WEEKNUM(AV_PLAN[[#This Row],[Días]])</f>
        <v>1</v>
      </c>
      <c r="L322" s="4">
        <f>IFERROR(AV_PLAN[[#This Row],[INICIO REAL ACUMULADO]]/AV_PLAN[[#This Row],[PLAN ACUMULADO]],"")</f>
        <v>0.32454361054766734</v>
      </c>
      <c r="M322" s="4">
        <f>IFERROR(AV_PLAN[[#This Row],[TERMINO REAL ACUMULADO]]/AV_PLAN[[#This Row],[TERMINO PLAN ACUMULADO]],"")</f>
        <v>0.24115044247787609</v>
      </c>
      <c r="N322">
        <f>+AV_PLAN[[#This Row],[PLAN ACUMULADO]]-AV_PLAN[[#This Row],[INICIO REAL ACUMULADO]]</f>
        <v>333</v>
      </c>
      <c r="O322">
        <f>+AV_PLAN[[#This Row],[TERMINO PLAN ACUMULADO]]-AV_PLAN[[#This Row],[TERMINO REAL ACUMULADO]]</f>
        <v>343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0.22727272727272727</v>
      </c>
      <c r="S322" s="7">
        <f>+AV_PLAN[[#This Row],[TERMINO PLAN ACUMULADO]]/$G$471</f>
        <v>0.64204545454545459</v>
      </c>
      <c r="T322" s="7">
        <f t="shared" ref="T322:T385" si="11">IF(H322="",NA(),I322/$G$471)</f>
        <v>0.15482954545454544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160</v>
      </c>
      <c r="F323">
        <v>3</v>
      </c>
      <c r="G323">
        <v>455</v>
      </c>
      <c r="H323">
        <v>0</v>
      </c>
      <c r="I323">
        <v>109</v>
      </c>
      <c r="J323" t="s">
        <v>818</v>
      </c>
      <c r="K323">
        <f>+WEEKNUM(AV_PLAN[[#This Row],[Días]])</f>
        <v>2</v>
      </c>
      <c r="L323" s="4">
        <f>IFERROR(AV_PLAN[[#This Row],[INICIO REAL ACUMULADO]]/AV_PLAN[[#This Row],[PLAN ACUMULADO]],"")</f>
        <v>0.32454361054766734</v>
      </c>
      <c r="M323" s="4">
        <f>IFERROR(AV_PLAN[[#This Row],[TERMINO REAL ACUMULADO]]/AV_PLAN[[#This Row],[TERMINO PLAN ACUMULADO]],"")</f>
        <v>0.23956043956043957</v>
      </c>
      <c r="N323">
        <f>+AV_PLAN[[#This Row],[PLAN ACUMULADO]]-AV_PLAN[[#This Row],[INICIO REAL ACUMULADO]]</f>
        <v>333</v>
      </c>
      <c r="O323">
        <f>+AV_PLAN[[#This Row],[TERMINO PLAN ACUMULADO]]-AV_PLAN[[#This Row],[TERMINO REAL ACUMULADO]]</f>
        <v>346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0.22727272727272727</v>
      </c>
      <c r="S323" s="7">
        <f>+AV_PLAN[[#This Row],[TERMINO PLAN ACUMULADO]]/$G$471</f>
        <v>0.64630681818181823</v>
      </c>
      <c r="T323" s="7">
        <f t="shared" si="11"/>
        <v>0.15482954545454544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160</v>
      </c>
      <c r="F324">
        <v>2</v>
      </c>
      <c r="G324">
        <v>457</v>
      </c>
      <c r="H324">
        <v>0</v>
      </c>
      <c r="I324">
        <v>109</v>
      </c>
      <c r="J324" t="s">
        <v>818</v>
      </c>
      <c r="K324">
        <f>+WEEKNUM(AV_PLAN[[#This Row],[Días]])</f>
        <v>2</v>
      </c>
      <c r="L324" s="4">
        <f>IFERROR(AV_PLAN[[#This Row],[INICIO REAL ACUMULADO]]/AV_PLAN[[#This Row],[PLAN ACUMULADO]],"")</f>
        <v>0.32258064516129031</v>
      </c>
      <c r="M324" s="4">
        <f>IFERROR(AV_PLAN[[#This Row],[TERMINO REAL ACUMULADO]]/AV_PLAN[[#This Row],[TERMINO PLAN ACUMULADO]],"")</f>
        <v>0.23851203501094093</v>
      </c>
      <c r="N324">
        <f>+AV_PLAN[[#This Row],[PLAN ACUMULADO]]-AV_PLAN[[#This Row],[INICIO REAL ACUMULADO]]</f>
        <v>336</v>
      </c>
      <c r="O324">
        <f>+AV_PLAN[[#This Row],[TERMINO PLAN ACUMULADO]]-AV_PLAN[[#This Row],[TERMINO REAL ACUMULADO]]</f>
        <v>348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0.22727272727272727</v>
      </c>
      <c r="S324" s="7">
        <f>+AV_PLAN[[#This Row],[TERMINO PLAN ACUMULADO]]/$G$471</f>
        <v>0.64914772727272729</v>
      </c>
      <c r="T324" s="7">
        <f t="shared" si="11"/>
        <v>0.15482954545454544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160</v>
      </c>
      <c r="F325">
        <v>2</v>
      </c>
      <c r="G325">
        <v>459</v>
      </c>
      <c r="H325">
        <v>0</v>
      </c>
      <c r="I325">
        <v>109</v>
      </c>
      <c r="J325" t="s">
        <v>818</v>
      </c>
      <c r="K325">
        <f>+WEEKNUM(AV_PLAN[[#This Row],[Días]])</f>
        <v>2</v>
      </c>
      <c r="L325" s="4">
        <f>IFERROR(AV_PLAN[[#This Row],[INICIO REAL ACUMULADO]]/AV_PLAN[[#This Row],[PLAN ACUMULADO]],"")</f>
        <v>0.32064128256513025</v>
      </c>
      <c r="M325" s="4">
        <f>IFERROR(AV_PLAN[[#This Row],[TERMINO REAL ACUMULADO]]/AV_PLAN[[#This Row],[TERMINO PLAN ACUMULADO]],"")</f>
        <v>0.23747276688453159</v>
      </c>
      <c r="N325">
        <f>+AV_PLAN[[#This Row],[PLAN ACUMULADO]]-AV_PLAN[[#This Row],[INICIO REAL ACUMULADO]]</f>
        <v>339</v>
      </c>
      <c r="O325">
        <f>+AV_PLAN[[#This Row],[TERMINO PLAN ACUMULADO]]-AV_PLAN[[#This Row],[TERMINO REAL ACUMULADO]]</f>
        <v>350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0.22727272727272727</v>
      </c>
      <c r="S325" s="7">
        <f>+AV_PLAN[[#This Row],[TERMINO PLAN ACUMULADO]]/$G$471</f>
        <v>0.65198863636363635</v>
      </c>
      <c r="T325" s="7">
        <f t="shared" si="11"/>
        <v>0.15482954545454544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160</v>
      </c>
      <c r="F326">
        <v>3</v>
      </c>
      <c r="G326">
        <v>462</v>
      </c>
      <c r="H326">
        <v>0</v>
      </c>
      <c r="I326">
        <v>109</v>
      </c>
      <c r="J326" t="s">
        <v>818</v>
      </c>
      <c r="K326">
        <f>+WEEKNUM(AV_PLAN[[#This Row],[Días]])</f>
        <v>2</v>
      </c>
      <c r="L326" s="4">
        <f>IFERROR(AV_PLAN[[#This Row],[INICIO REAL ACUMULADO]]/AV_PLAN[[#This Row],[PLAN ACUMULADO]],"")</f>
        <v>0.31872509960159362</v>
      </c>
      <c r="M326" s="4">
        <f>IFERROR(AV_PLAN[[#This Row],[TERMINO REAL ACUMULADO]]/AV_PLAN[[#This Row],[TERMINO PLAN ACUMULADO]],"")</f>
        <v>0.23593073593073594</v>
      </c>
      <c r="N326">
        <f>+AV_PLAN[[#This Row],[PLAN ACUMULADO]]-AV_PLAN[[#This Row],[INICIO REAL ACUMULADO]]</f>
        <v>342</v>
      </c>
      <c r="O326">
        <f>+AV_PLAN[[#This Row],[TERMINO PLAN ACUMULADO]]-AV_PLAN[[#This Row],[TERMINO REAL ACUMULADO]]</f>
        <v>353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0.22727272727272727</v>
      </c>
      <c r="S326" s="7">
        <f>+AV_PLAN[[#This Row],[TERMINO PLAN ACUMULADO]]/$G$471</f>
        <v>0.65625</v>
      </c>
      <c r="T326" s="7">
        <f t="shared" si="11"/>
        <v>0.15482954545454544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160</v>
      </c>
      <c r="F327">
        <v>1</v>
      </c>
      <c r="G327">
        <v>463</v>
      </c>
      <c r="H327">
        <v>0</v>
      </c>
      <c r="I327">
        <v>109</v>
      </c>
      <c r="J327" t="s">
        <v>818</v>
      </c>
      <c r="K327">
        <f>+WEEKNUM(AV_PLAN[[#This Row],[Días]])</f>
        <v>2</v>
      </c>
      <c r="L327" s="4">
        <f>IFERROR(AV_PLAN[[#This Row],[INICIO REAL ACUMULADO]]/AV_PLAN[[#This Row],[PLAN ACUMULADO]],"")</f>
        <v>0.31683168316831684</v>
      </c>
      <c r="M327" s="4">
        <f>IFERROR(AV_PLAN[[#This Row],[TERMINO REAL ACUMULADO]]/AV_PLAN[[#This Row],[TERMINO PLAN ACUMULADO]],"")</f>
        <v>0.23542116630669546</v>
      </c>
      <c r="N327">
        <f>+AV_PLAN[[#This Row],[PLAN ACUMULADO]]-AV_PLAN[[#This Row],[INICIO REAL ACUMULADO]]</f>
        <v>345</v>
      </c>
      <c r="O327">
        <f>+AV_PLAN[[#This Row],[TERMINO PLAN ACUMULADO]]-AV_PLAN[[#This Row],[TERMINO REAL ACUMULADO]]</f>
        <v>354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0.22727272727272727</v>
      </c>
      <c r="S327" s="7">
        <f>+AV_PLAN[[#This Row],[TERMINO PLAN ACUMULADO]]/$G$471</f>
        <v>0.65767045454545459</v>
      </c>
      <c r="T327" s="7">
        <f t="shared" si="11"/>
        <v>0.15482954545454544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160</v>
      </c>
      <c r="F328">
        <v>1</v>
      </c>
      <c r="G328">
        <v>464</v>
      </c>
      <c r="H328">
        <v>0</v>
      </c>
      <c r="I328">
        <v>109</v>
      </c>
      <c r="J328" t="s">
        <v>818</v>
      </c>
      <c r="K328">
        <f>+WEEKNUM(AV_PLAN[[#This Row],[Días]])</f>
        <v>2</v>
      </c>
      <c r="L328" s="4">
        <f>IFERROR(AV_PLAN[[#This Row],[INICIO REAL ACUMULADO]]/AV_PLAN[[#This Row],[PLAN ACUMULADO]],"")</f>
        <v>0.31496062992125984</v>
      </c>
      <c r="M328" s="4">
        <f>IFERROR(AV_PLAN[[#This Row],[TERMINO REAL ACUMULADO]]/AV_PLAN[[#This Row],[TERMINO PLAN ACUMULADO]],"")</f>
        <v>0.23491379310344829</v>
      </c>
      <c r="N328">
        <f>+AV_PLAN[[#This Row],[PLAN ACUMULADO]]-AV_PLAN[[#This Row],[INICIO REAL ACUMULADO]]</f>
        <v>348</v>
      </c>
      <c r="O328">
        <f>+AV_PLAN[[#This Row],[TERMINO PLAN ACUMULADO]]-AV_PLAN[[#This Row],[TERMINO REAL ACUMULADO]]</f>
        <v>355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0.22727272727272727</v>
      </c>
      <c r="S328" s="7">
        <f>+AV_PLAN[[#This Row],[TERMINO PLAN ACUMULADO]]/$G$471</f>
        <v>0.65909090909090906</v>
      </c>
      <c r="T328" s="7">
        <f t="shared" si="11"/>
        <v>0.15482954545454544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160</v>
      </c>
      <c r="F329">
        <v>1</v>
      </c>
      <c r="G329">
        <v>465</v>
      </c>
      <c r="H329">
        <v>0</v>
      </c>
      <c r="I329">
        <v>109</v>
      </c>
      <c r="J329" t="s">
        <v>818</v>
      </c>
      <c r="K329">
        <f>+WEEKNUM(AV_PLAN[[#This Row],[Días]])</f>
        <v>2</v>
      </c>
      <c r="L329" s="4">
        <f>IFERROR(AV_PLAN[[#This Row],[INICIO REAL ACUMULADO]]/AV_PLAN[[#This Row],[PLAN ACUMULADO]],"")</f>
        <v>0.31496062992125984</v>
      </c>
      <c r="M329" s="4">
        <f>IFERROR(AV_PLAN[[#This Row],[TERMINO REAL ACUMULADO]]/AV_PLAN[[#This Row],[TERMINO PLAN ACUMULADO]],"")</f>
        <v>0.23440860215053763</v>
      </c>
      <c r="N329">
        <f>+AV_PLAN[[#This Row],[PLAN ACUMULADO]]-AV_PLAN[[#This Row],[INICIO REAL ACUMULADO]]</f>
        <v>348</v>
      </c>
      <c r="O329">
        <f>+AV_PLAN[[#This Row],[TERMINO PLAN ACUMULADO]]-AV_PLAN[[#This Row],[TERMINO REAL ACUMULADO]]</f>
        <v>356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0.22727272727272727</v>
      </c>
      <c r="S329" s="7">
        <f>+AV_PLAN[[#This Row],[TERMINO PLAN ACUMULADO]]/$G$471</f>
        <v>0.66051136363636365</v>
      </c>
      <c r="T329" s="7">
        <f t="shared" si="11"/>
        <v>0.15482954545454544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160</v>
      </c>
      <c r="F330">
        <v>4</v>
      </c>
      <c r="G330">
        <v>469</v>
      </c>
      <c r="H330">
        <v>0</v>
      </c>
      <c r="I330">
        <v>109</v>
      </c>
      <c r="J330" t="s">
        <v>818</v>
      </c>
      <c r="K330">
        <f>+WEEKNUM(AV_PLAN[[#This Row],[Días]])</f>
        <v>3</v>
      </c>
      <c r="L330" s="4">
        <f>IFERROR(AV_PLAN[[#This Row],[INICIO REAL ACUMULADO]]/AV_PLAN[[#This Row],[PLAN ACUMULADO]],"")</f>
        <v>0.31496062992125984</v>
      </c>
      <c r="M330" s="4">
        <f>IFERROR(AV_PLAN[[#This Row],[TERMINO REAL ACUMULADO]]/AV_PLAN[[#This Row],[TERMINO PLAN ACUMULADO]],"")</f>
        <v>0.23240938166311301</v>
      </c>
      <c r="N330">
        <f>+AV_PLAN[[#This Row],[PLAN ACUMULADO]]-AV_PLAN[[#This Row],[INICIO REAL ACUMULADO]]</f>
        <v>348</v>
      </c>
      <c r="O330">
        <f>+AV_PLAN[[#This Row],[TERMINO PLAN ACUMULADO]]-AV_PLAN[[#This Row],[TERMINO REAL ACUMULADO]]</f>
        <v>360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0.22727272727272727</v>
      </c>
      <c r="S330" s="7">
        <f>+AV_PLAN[[#This Row],[TERMINO PLAN ACUMULADO]]/$G$471</f>
        <v>0.66619318181818177</v>
      </c>
      <c r="T330" s="7">
        <f t="shared" si="11"/>
        <v>0.15482954545454544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160</v>
      </c>
      <c r="F331">
        <v>2</v>
      </c>
      <c r="G331">
        <v>471</v>
      </c>
      <c r="H331">
        <v>0</v>
      </c>
      <c r="I331">
        <v>109</v>
      </c>
      <c r="J331" t="s">
        <v>818</v>
      </c>
      <c r="K331">
        <f>+WEEKNUM(AV_PLAN[[#This Row],[Días]])</f>
        <v>3</v>
      </c>
      <c r="L331" s="4">
        <f>IFERROR(AV_PLAN[[#This Row],[INICIO REAL ACUMULADO]]/AV_PLAN[[#This Row],[PLAN ACUMULADO]],"")</f>
        <v>0.3131115459882583</v>
      </c>
      <c r="M331" s="4">
        <f>IFERROR(AV_PLAN[[#This Row],[TERMINO REAL ACUMULADO]]/AV_PLAN[[#This Row],[TERMINO PLAN ACUMULADO]],"")</f>
        <v>0.23142250530785563</v>
      </c>
      <c r="N331">
        <f>+AV_PLAN[[#This Row],[PLAN ACUMULADO]]-AV_PLAN[[#This Row],[INICIO REAL ACUMULADO]]</f>
        <v>351</v>
      </c>
      <c r="O331">
        <f>+AV_PLAN[[#This Row],[TERMINO PLAN ACUMULADO]]-AV_PLAN[[#This Row],[TERMINO REAL ACUMULADO]]</f>
        <v>362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0.22727272727272727</v>
      </c>
      <c r="S331" s="7">
        <f>+AV_PLAN[[#This Row],[TERMINO PLAN ACUMULADO]]/$G$471</f>
        <v>0.66903409090909094</v>
      </c>
      <c r="T331" s="7">
        <f t="shared" si="11"/>
        <v>0.15482954545454544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160</v>
      </c>
      <c r="F332">
        <v>1</v>
      </c>
      <c r="G332">
        <v>472</v>
      </c>
      <c r="H332">
        <v>0</v>
      </c>
      <c r="I332">
        <v>109</v>
      </c>
      <c r="J332" t="s">
        <v>818</v>
      </c>
      <c r="K332">
        <f>+WEEKNUM(AV_PLAN[[#This Row],[Días]])</f>
        <v>3</v>
      </c>
      <c r="L332" s="4">
        <f>IFERROR(AV_PLAN[[#This Row],[INICIO REAL ACUMULADO]]/AV_PLAN[[#This Row],[PLAN ACUMULADO]],"")</f>
        <v>0.31128404669260701</v>
      </c>
      <c r="M332" s="4">
        <f>IFERROR(AV_PLAN[[#This Row],[TERMINO REAL ACUMULADO]]/AV_PLAN[[#This Row],[TERMINO PLAN ACUMULADO]],"")</f>
        <v>0.2309322033898305</v>
      </c>
      <c r="N332">
        <f>+AV_PLAN[[#This Row],[PLAN ACUMULADO]]-AV_PLAN[[#This Row],[INICIO REAL ACUMULADO]]</f>
        <v>354</v>
      </c>
      <c r="O332">
        <f>+AV_PLAN[[#This Row],[TERMINO PLAN ACUMULADO]]-AV_PLAN[[#This Row],[TERMINO REAL ACUMULADO]]</f>
        <v>363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0.22727272727272727</v>
      </c>
      <c r="S332" s="7">
        <f>+AV_PLAN[[#This Row],[TERMINO PLAN ACUMULADO]]/$G$471</f>
        <v>0.67045454545454541</v>
      </c>
      <c r="T332" s="7">
        <f t="shared" si="11"/>
        <v>0.15482954545454544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160</v>
      </c>
      <c r="F333">
        <v>2</v>
      </c>
      <c r="G333">
        <v>474</v>
      </c>
      <c r="H333">
        <v>0</v>
      </c>
      <c r="I333">
        <v>109</v>
      </c>
      <c r="J333" t="s">
        <v>818</v>
      </c>
      <c r="K333">
        <f>+WEEKNUM(AV_PLAN[[#This Row],[Días]])</f>
        <v>3</v>
      </c>
      <c r="L333" s="4">
        <f>IFERROR(AV_PLAN[[#This Row],[INICIO REAL ACUMULADO]]/AV_PLAN[[#This Row],[PLAN ACUMULADO]],"")</f>
        <v>0.30947775628626695</v>
      </c>
      <c r="M333" s="4">
        <f>IFERROR(AV_PLAN[[#This Row],[TERMINO REAL ACUMULADO]]/AV_PLAN[[#This Row],[TERMINO PLAN ACUMULADO]],"")</f>
        <v>0.22995780590717299</v>
      </c>
      <c r="N333">
        <f>+AV_PLAN[[#This Row],[PLAN ACUMULADO]]-AV_PLAN[[#This Row],[INICIO REAL ACUMULADO]]</f>
        <v>357</v>
      </c>
      <c r="O333">
        <f>+AV_PLAN[[#This Row],[TERMINO PLAN ACUMULADO]]-AV_PLAN[[#This Row],[TERMINO REAL ACUMULADO]]</f>
        <v>365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0.22727272727272727</v>
      </c>
      <c r="S333" s="7">
        <f>+AV_PLAN[[#This Row],[TERMINO PLAN ACUMULADO]]/$G$471</f>
        <v>0.67329545454545459</v>
      </c>
      <c r="T333" s="7">
        <f t="shared" si="11"/>
        <v>0.15482954545454544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160</v>
      </c>
      <c r="F334">
        <v>1</v>
      </c>
      <c r="G334">
        <v>475</v>
      </c>
      <c r="H334">
        <v>0</v>
      </c>
      <c r="I334">
        <v>109</v>
      </c>
      <c r="J334" t="s">
        <v>818</v>
      </c>
      <c r="K334">
        <f>+WEEKNUM(AV_PLAN[[#This Row],[Días]])</f>
        <v>3</v>
      </c>
      <c r="L334" s="4">
        <f>IFERROR(AV_PLAN[[#This Row],[INICIO REAL ACUMULADO]]/AV_PLAN[[#This Row],[PLAN ACUMULADO]],"")</f>
        <v>0.30769230769230771</v>
      </c>
      <c r="M334" s="4">
        <f>IFERROR(AV_PLAN[[#This Row],[TERMINO REAL ACUMULADO]]/AV_PLAN[[#This Row],[TERMINO PLAN ACUMULADO]],"")</f>
        <v>0.2294736842105263</v>
      </c>
      <c r="N334">
        <f>+AV_PLAN[[#This Row],[PLAN ACUMULADO]]-AV_PLAN[[#This Row],[INICIO REAL ACUMULADO]]</f>
        <v>360</v>
      </c>
      <c r="O334">
        <f>+AV_PLAN[[#This Row],[TERMINO PLAN ACUMULADO]]-AV_PLAN[[#This Row],[TERMINO REAL ACUMULADO]]</f>
        <v>366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0.22727272727272727</v>
      </c>
      <c r="S334" s="7">
        <f>+AV_PLAN[[#This Row],[TERMINO PLAN ACUMULADO]]/$G$471</f>
        <v>0.67471590909090906</v>
      </c>
      <c r="T334" s="7">
        <f t="shared" si="11"/>
        <v>0.15482954545454544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160</v>
      </c>
      <c r="F335">
        <v>1</v>
      </c>
      <c r="G335">
        <v>476</v>
      </c>
      <c r="H335">
        <v>0</v>
      </c>
      <c r="I335">
        <v>109</v>
      </c>
      <c r="J335" t="s">
        <v>818</v>
      </c>
      <c r="K335">
        <f>+WEEKNUM(AV_PLAN[[#This Row],[Días]])</f>
        <v>3</v>
      </c>
      <c r="L335" s="4">
        <f>IFERROR(AV_PLAN[[#This Row],[INICIO REAL ACUMULADO]]/AV_PLAN[[#This Row],[PLAN ACUMULADO]],"")</f>
        <v>0.30592734225621415</v>
      </c>
      <c r="M335" s="4">
        <f>IFERROR(AV_PLAN[[#This Row],[TERMINO REAL ACUMULADO]]/AV_PLAN[[#This Row],[TERMINO PLAN ACUMULADO]],"")</f>
        <v>0.22899159663865545</v>
      </c>
      <c r="N335">
        <f>+AV_PLAN[[#This Row],[PLAN ACUMULADO]]-AV_PLAN[[#This Row],[INICIO REAL ACUMULADO]]</f>
        <v>363</v>
      </c>
      <c r="O335">
        <f>+AV_PLAN[[#This Row],[TERMINO PLAN ACUMULADO]]-AV_PLAN[[#This Row],[TERMINO REAL ACUMULADO]]</f>
        <v>367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0.22727272727272727</v>
      </c>
      <c r="S335" s="7">
        <f>+AV_PLAN[[#This Row],[TERMINO PLAN ACUMULADO]]/$G$471</f>
        <v>0.67613636363636365</v>
      </c>
      <c r="T335" s="7">
        <f t="shared" si="11"/>
        <v>0.15482954545454544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160</v>
      </c>
      <c r="F336">
        <v>2</v>
      </c>
      <c r="G336">
        <v>478</v>
      </c>
      <c r="H336">
        <v>0</v>
      </c>
      <c r="I336">
        <v>109</v>
      </c>
      <c r="J336" t="s">
        <v>818</v>
      </c>
      <c r="K336">
        <f>+WEEKNUM(AV_PLAN[[#This Row],[Días]])</f>
        <v>3</v>
      </c>
      <c r="L336" s="4">
        <f>IFERROR(AV_PLAN[[#This Row],[INICIO REAL ACUMULADO]]/AV_PLAN[[#This Row],[PLAN ACUMULADO]],"")</f>
        <v>0.30592734225621415</v>
      </c>
      <c r="M336" s="4">
        <f>IFERROR(AV_PLAN[[#This Row],[TERMINO REAL ACUMULADO]]/AV_PLAN[[#This Row],[TERMINO PLAN ACUMULADO]],"")</f>
        <v>0.22803347280334729</v>
      </c>
      <c r="N336">
        <f>+AV_PLAN[[#This Row],[PLAN ACUMULADO]]-AV_PLAN[[#This Row],[INICIO REAL ACUMULADO]]</f>
        <v>363</v>
      </c>
      <c r="O336">
        <f>+AV_PLAN[[#This Row],[TERMINO PLAN ACUMULADO]]-AV_PLAN[[#This Row],[TERMINO REAL ACUMULADO]]</f>
        <v>369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0.22727272727272727</v>
      </c>
      <c r="S336" s="7">
        <f>+AV_PLAN[[#This Row],[TERMINO PLAN ACUMULADO]]/$G$471</f>
        <v>0.67897727272727271</v>
      </c>
      <c r="T336" s="7">
        <f t="shared" si="11"/>
        <v>0.15482954545454544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160</v>
      </c>
      <c r="F337">
        <v>3</v>
      </c>
      <c r="G337">
        <v>481</v>
      </c>
      <c r="H337">
        <v>0</v>
      </c>
      <c r="I337">
        <v>109</v>
      </c>
      <c r="J337" t="s">
        <v>818</v>
      </c>
      <c r="K337">
        <f>+WEEKNUM(AV_PLAN[[#This Row],[Días]])</f>
        <v>4</v>
      </c>
      <c r="L337" s="4">
        <f>IFERROR(AV_PLAN[[#This Row],[INICIO REAL ACUMULADO]]/AV_PLAN[[#This Row],[PLAN ACUMULADO]],"")</f>
        <v>0.30592734225621415</v>
      </c>
      <c r="M337" s="4">
        <f>IFERROR(AV_PLAN[[#This Row],[TERMINO REAL ACUMULADO]]/AV_PLAN[[#This Row],[TERMINO PLAN ACUMULADO]],"")</f>
        <v>0.22661122661122662</v>
      </c>
      <c r="N337">
        <f>+AV_PLAN[[#This Row],[PLAN ACUMULADO]]-AV_PLAN[[#This Row],[INICIO REAL ACUMULADO]]</f>
        <v>363</v>
      </c>
      <c r="O337">
        <f>+AV_PLAN[[#This Row],[TERMINO PLAN ACUMULADO]]-AV_PLAN[[#This Row],[TERMINO REAL ACUMULADO]]</f>
        <v>372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0.22727272727272727</v>
      </c>
      <c r="S337" s="7">
        <f>+AV_PLAN[[#This Row],[TERMINO PLAN ACUMULADO]]/$G$471</f>
        <v>0.68323863636363635</v>
      </c>
      <c r="T337" s="7">
        <f t="shared" si="11"/>
        <v>0.15482954545454544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160</v>
      </c>
      <c r="F338">
        <v>2</v>
      </c>
      <c r="G338">
        <v>483</v>
      </c>
      <c r="H338">
        <v>0</v>
      </c>
      <c r="I338">
        <v>109</v>
      </c>
      <c r="J338" t="s">
        <v>818</v>
      </c>
      <c r="K338">
        <f>+WEEKNUM(AV_PLAN[[#This Row],[Días]])</f>
        <v>4</v>
      </c>
      <c r="L338" s="4">
        <f>IFERROR(AV_PLAN[[#This Row],[INICIO REAL ACUMULADO]]/AV_PLAN[[#This Row],[PLAN ACUMULADO]],"")</f>
        <v>0.30418250950570341</v>
      </c>
      <c r="M338" s="4">
        <f>IFERROR(AV_PLAN[[#This Row],[TERMINO REAL ACUMULADO]]/AV_PLAN[[#This Row],[TERMINO PLAN ACUMULADO]],"")</f>
        <v>0.22567287784679088</v>
      </c>
      <c r="N338">
        <f>+AV_PLAN[[#This Row],[PLAN ACUMULADO]]-AV_PLAN[[#This Row],[INICIO REAL ACUMULADO]]</f>
        <v>366</v>
      </c>
      <c r="O338">
        <f>+AV_PLAN[[#This Row],[TERMINO PLAN ACUMULADO]]-AV_PLAN[[#This Row],[TERMINO REAL ACUMULADO]]</f>
        <v>374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0.22727272727272727</v>
      </c>
      <c r="S338" s="7">
        <f>+AV_PLAN[[#This Row],[TERMINO PLAN ACUMULADO]]/$G$471</f>
        <v>0.68607954545454541</v>
      </c>
      <c r="T338" s="7">
        <f t="shared" si="11"/>
        <v>0.15482954545454544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160</v>
      </c>
      <c r="F339">
        <v>2</v>
      </c>
      <c r="G339">
        <v>485</v>
      </c>
      <c r="H339">
        <v>0</v>
      </c>
      <c r="I339">
        <v>109</v>
      </c>
      <c r="J339" t="s">
        <v>818</v>
      </c>
      <c r="K339">
        <f>+WEEKNUM(AV_PLAN[[#This Row],[Días]])</f>
        <v>4</v>
      </c>
      <c r="L339" s="4">
        <f>IFERROR(AV_PLAN[[#This Row],[INICIO REAL ACUMULADO]]/AV_PLAN[[#This Row],[PLAN ACUMULADO]],"")</f>
        <v>0.30245746691871456</v>
      </c>
      <c r="M339" s="4">
        <f>IFERROR(AV_PLAN[[#This Row],[TERMINO REAL ACUMULADO]]/AV_PLAN[[#This Row],[TERMINO PLAN ACUMULADO]],"")</f>
        <v>0.22474226804123712</v>
      </c>
      <c r="N339">
        <f>+AV_PLAN[[#This Row],[PLAN ACUMULADO]]-AV_PLAN[[#This Row],[INICIO REAL ACUMULADO]]</f>
        <v>369</v>
      </c>
      <c r="O339">
        <f>+AV_PLAN[[#This Row],[TERMINO PLAN ACUMULADO]]-AV_PLAN[[#This Row],[TERMINO REAL ACUMULADO]]</f>
        <v>376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0.22727272727272727</v>
      </c>
      <c r="S339" s="7">
        <f>+AV_PLAN[[#This Row],[TERMINO PLAN ACUMULADO]]/$G$471</f>
        <v>0.68892045454545459</v>
      </c>
      <c r="T339" s="7">
        <f t="shared" si="11"/>
        <v>0.15482954545454544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160</v>
      </c>
      <c r="F340">
        <v>1</v>
      </c>
      <c r="G340">
        <v>486</v>
      </c>
      <c r="H340">
        <v>0</v>
      </c>
      <c r="I340">
        <v>109</v>
      </c>
      <c r="J340" t="s">
        <v>818</v>
      </c>
      <c r="K340">
        <f>+WEEKNUM(AV_PLAN[[#This Row],[Días]])</f>
        <v>4</v>
      </c>
      <c r="L340" s="4">
        <f>IFERROR(AV_PLAN[[#This Row],[INICIO REAL ACUMULADO]]/AV_PLAN[[#This Row],[PLAN ACUMULADO]],"")</f>
        <v>0.3007518796992481</v>
      </c>
      <c r="M340" s="4">
        <f>IFERROR(AV_PLAN[[#This Row],[TERMINO REAL ACUMULADO]]/AV_PLAN[[#This Row],[TERMINO PLAN ACUMULADO]],"")</f>
        <v>0.22427983539094651</v>
      </c>
      <c r="N340">
        <f>+AV_PLAN[[#This Row],[PLAN ACUMULADO]]-AV_PLAN[[#This Row],[INICIO REAL ACUMULADO]]</f>
        <v>372</v>
      </c>
      <c r="O340">
        <f>+AV_PLAN[[#This Row],[TERMINO PLAN ACUMULADO]]-AV_PLAN[[#This Row],[TERMINO REAL ACUMULADO]]</f>
        <v>377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0.22727272727272727</v>
      </c>
      <c r="S340" s="7">
        <f>+AV_PLAN[[#This Row],[TERMINO PLAN ACUMULADO]]/$G$471</f>
        <v>0.69034090909090906</v>
      </c>
      <c r="T340" s="7">
        <f t="shared" si="11"/>
        <v>0.15482954545454544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160</v>
      </c>
      <c r="F341">
        <v>1</v>
      </c>
      <c r="G341">
        <v>487</v>
      </c>
      <c r="H341">
        <v>0</v>
      </c>
      <c r="I341">
        <v>109</v>
      </c>
      <c r="J341" t="s">
        <v>818</v>
      </c>
      <c r="K341">
        <f>+WEEKNUM(AV_PLAN[[#This Row],[Días]])</f>
        <v>4</v>
      </c>
      <c r="L341" s="4">
        <f>IFERROR(AV_PLAN[[#This Row],[INICIO REAL ACUMULADO]]/AV_PLAN[[#This Row],[PLAN ACUMULADO]],"")</f>
        <v>0.29906542056074764</v>
      </c>
      <c r="M341" s="4">
        <f>IFERROR(AV_PLAN[[#This Row],[TERMINO REAL ACUMULADO]]/AV_PLAN[[#This Row],[TERMINO PLAN ACUMULADO]],"")</f>
        <v>0.22381930184804927</v>
      </c>
      <c r="N341">
        <f>+AV_PLAN[[#This Row],[PLAN ACUMULADO]]-AV_PLAN[[#This Row],[INICIO REAL ACUMULADO]]</f>
        <v>375</v>
      </c>
      <c r="O341">
        <f>+AV_PLAN[[#This Row],[TERMINO PLAN ACUMULADO]]-AV_PLAN[[#This Row],[TERMINO REAL ACUMULADO]]</f>
        <v>378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0.22727272727272727</v>
      </c>
      <c r="S341" s="7">
        <f>+AV_PLAN[[#This Row],[TERMINO PLAN ACUMULADO]]/$G$471</f>
        <v>0.69176136363636365</v>
      </c>
      <c r="T341" s="7">
        <f t="shared" si="11"/>
        <v>0.15482954545454544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160</v>
      </c>
      <c r="F342">
        <v>2</v>
      </c>
      <c r="G342">
        <v>489</v>
      </c>
      <c r="H342">
        <v>0</v>
      </c>
      <c r="I342">
        <v>109</v>
      </c>
      <c r="J342" t="s">
        <v>818</v>
      </c>
      <c r="K342">
        <f>+WEEKNUM(AV_PLAN[[#This Row],[Días]])</f>
        <v>4</v>
      </c>
      <c r="L342" s="4">
        <f>IFERROR(AV_PLAN[[#This Row],[INICIO REAL ACUMULADO]]/AV_PLAN[[#This Row],[PLAN ACUMULADO]],"")</f>
        <v>0.29739776951672864</v>
      </c>
      <c r="M342" s="4">
        <f>IFERROR(AV_PLAN[[#This Row],[TERMINO REAL ACUMULADO]]/AV_PLAN[[#This Row],[TERMINO PLAN ACUMULADO]],"")</f>
        <v>0.22290388548057261</v>
      </c>
      <c r="N342">
        <f>+AV_PLAN[[#This Row],[PLAN ACUMULADO]]-AV_PLAN[[#This Row],[INICIO REAL ACUMULADO]]</f>
        <v>378</v>
      </c>
      <c r="O342">
        <f>+AV_PLAN[[#This Row],[TERMINO PLAN ACUMULADO]]-AV_PLAN[[#This Row],[TERMINO REAL ACUMULADO]]</f>
        <v>380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0.22727272727272727</v>
      </c>
      <c r="S342" s="7">
        <f>+AV_PLAN[[#This Row],[TERMINO PLAN ACUMULADO]]/$G$471</f>
        <v>0.69460227272727271</v>
      </c>
      <c r="T342" s="7">
        <f t="shared" si="11"/>
        <v>0.15482954545454544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160</v>
      </c>
      <c r="F343">
        <v>0</v>
      </c>
      <c r="G343">
        <v>489</v>
      </c>
      <c r="H343">
        <v>0</v>
      </c>
      <c r="I343">
        <v>109</v>
      </c>
      <c r="J343" t="s">
        <v>818</v>
      </c>
      <c r="K343">
        <f>+WEEKNUM(AV_PLAN[[#This Row],[Días]])</f>
        <v>4</v>
      </c>
      <c r="L343" s="4">
        <f>IFERROR(AV_PLAN[[#This Row],[INICIO REAL ACUMULADO]]/AV_PLAN[[#This Row],[PLAN ACUMULADO]],"")</f>
        <v>0.29739776951672864</v>
      </c>
      <c r="M343" s="4">
        <f>IFERROR(AV_PLAN[[#This Row],[TERMINO REAL ACUMULADO]]/AV_PLAN[[#This Row],[TERMINO PLAN ACUMULADO]],"")</f>
        <v>0.22290388548057261</v>
      </c>
      <c r="N343">
        <f>+AV_PLAN[[#This Row],[PLAN ACUMULADO]]-AV_PLAN[[#This Row],[INICIO REAL ACUMULADO]]</f>
        <v>378</v>
      </c>
      <c r="O343">
        <f>+AV_PLAN[[#This Row],[TERMINO PLAN ACUMULADO]]-AV_PLAN[[#This Row],[TERMINO REAL ACUMULADO]]</f>
        <v>380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0.22727272727272727</v>
      </c>
      <c r="S343" s="7">
        <f>+AV_PLAN[[#This Row],[TERMINO PLAN ACUMULADO]]/$G$471</f>
        <v>0.69460227272727271</v>
      </c>
      <c r="T343" s="7">
        <f t="shared" si="11"/>
        <v>0.15482954545454544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160</v>
      </c>
      <c r="F344">
        <v>1</v>
      </c>
      <c r="G344">
        <v>490</v>
      </c>
      <c r="H344">
        <v>0</v>
      </c>
      <c r="I344">
        <v>109</v>
      </c>
      <c r="J344" t="s">
        <v>818</v>
      </c>
      <c r="K344">
        <f>+WEEKNUM(AV_PLAN[[#This Row],[Días]])</f>
        <v>5</v>
      </c>
      <c r="L344" s="4">
        <f>IFERROR(AV_PLAN[[#This Row],[INICIO REAL ACUMULADO]]/AV_PLAN[[#This Row],[PLAN ACUMULADO]],"")</f>
        <v>0.29739776951672864</v>
      </c>
      <c r="M344" s="4">
        <f>IFERROR(AV_PLAN[[#This Row],[TERMINO REAL ACUMULADO]]/AV_PLAN[[#This Row],[TERMINO PLAN ACUMULADO]],"")</f>
        <v>0.22244897959183674</v>
      </c>
      <c r="N344">
        <f>+AV_PLAN[[#This Row],[PLAN ACUMULADO]]-AV_PLAN[[#This Row],[INICIO REAL ACUMULADO]]</f>
        <v>378</v>
      </c>
      <c r="O344">
        <f>+AV_PLAN[[#This Row],[TERMINO PLAN ACUMULADO]]-AV_PLAN[[#This Row],[TERMINO REAL ACUMULADO]]</f>
        <v>381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0.22727272727272727</v>
      </c>
      <c r="S344" s="7">
        <f>+AV_PLAN[[#This Row],[TERMINO PLAN ACUMULADO]]/$G$471</f>
        <v>0.69602272727272729</v>
      </c>
      <c r="T344" s="7">
        <f t="shared" si="11"/>
        <v>0.15482954545454544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160</v>
      </c>
      <c r="F345">
        <v>1</v>
      </c>
      <c r="G345">
        <v>491</v>
      </c>
      <c r="H345">
        <v>0</v>
      </c>
      <c r="I345">
        <v>109</v>
      </c>
      <c r="J345" t="s">
        <v>818</v>
      </c>
      <c r="K345">
        <f>+WEEKNUM(AV_PLAN[[#This Row],[Días]])</f>
        <v>5</v>
      </c>
      <c r="L345" s="4">
        <f>IFERROR(AV_PLAN[[#This Row],[INICIO REAL ACUMULADO]]/AV_PLAN[[#This Row],[PLAN ACUMULADO]],"")</f>
        <v>0.29574861367837341</v>
      </c>
      <c r="M345" s="4">
        <f>IFERROR(AV_PLAN[[#This Row],[TERMINO REAL ACUMULADO]]/AV_PLAN[[#This Row],[TERMINO PLAN ACUMULADO]],"")</f>
        <v>0.2219959266802444</v>
      </c>
      <c r="N345">
        <f>+AV_PLAN[[#This Row],[PLAN ACUMULADO]]-AV_PLAN[[#This Row],[INICIO REAL ACUMULADO]]</f>
        <v>381</v>
      </c>
      <c r="O345">
        <f>+AV_PLAN[[#This Row],[TERMINO PLAN ACUMULADO]]-AV_PLAN[[#This Row],[TERMINO REAL ACUMULADO]]</f>
        <v>382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0.22727272727272727</v>
      </c>
      <c r="S345" s="7">
        <f>+AV_PLAN[[#This Row],[TERMINO PLAN ACUMULADO]]/$G$471</f>
        <v>0.69744318181818177</v>
      </c>
      <c r="T345" s="7">
        <f t="shared" si="11"/>
        <v>0.15482954545454544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160</v>
      </c>
      <c r="F346">
        <v>2</v>
      </c>
      <c r="G346">
        <v>493</v>
      </c>
      <c r="H346">
        <v>0</v>
      </c>
      <c r="I346">
        <v>109</v>
      </c>
      <c r="J346" t="s">
        <v>818</v>
      </c>
      <c r="K346">
        <f>+WEEKNUM(AV_PLAN[[#This Row],[Días]])</f>
        <v>5</v>
      </c>
      <c r="L346" s="4">
        <f>IFERROR(AV_PLAN[[#This Row],[INICIO REAL ACUMULADO]]/AV_PLAN[[#This Row],[PLAN ACUMULADO]],"")</f>
        <v>0.29411764705882354</v>
      </c>
      <c r="M346" s="4">
        <f>IFERROR(AV_PLAN[[#This Row],[TERMINO REAL ACUMULADO]]/AV_PLAN[[#This Row],[TERMINO PLAN ACUMULADO]],"")</f>
        <v>0.22109533468559839</v>
      </c>
      <c r="N346">
        <f>+AV_PLAN[[#This Row],[PLAN ACUMULADO]]-AV_PLAN[[#This Row],[INICIO REAL ACUMULADO]]</f>
        <v>384</v>
      </c>
      <c r="O346">
        <f>+AV_PLAN[[#This Row],[TERMINO PLAN ACUMULADO]]-AV_PLAN[[#This Row],[TERMINO REAL ACUMULADO]]</f>
        <v>384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0.22727272727272727</v>
      </c>
      <c r="S346" s="7">
        <f>+AV_PLAN[[#This Row],[TERMINO PLAN ACUMULADO]]/$G$471</f>
        <v>0.70028409090909094</v>
      </c>
      <c r="T346" s="7">
        <f t="shared" si="11"/>
        <v>0.15482954545454544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160</v>
      </c>
      <c r="F347">
        <v>4</v>
      </c>
      <c r="G347">
        <v>497</v>
      </c>
      <c r="H347">
        <v>0</v>
      </c>
      <c r="I347">
        <v>109</v>
      </c>
      <c r="J347" t="s">
        <v>818</v>
      </c>
      <c r="K347">
        <f>+WEEKNUM(AV_PLAN[[#This Row],[Días]])</f>
        <v>5</v>
      </c>
      <c r="L347" s="4">
        <f>IFERROR(AV_PLAN[[#This Row],[INICIO REAL ACUMULADO]]/AV_PLAN[[#This Row],[PLAN ACUMULADO]],"")</f>
        <v>0.29250457038391225</v>
      </c>
      <c r="M347" s="4">
        <f>IFERROR(AV_PLAN[[#This Row],[TERMINO REAL ACUMULADO]]/AV_PLAN[[#This Row],[TERMINO PLAN ACUMULADO]],"")</f>
        <v>0.21931589537223339</v>
      </c>
      <c r="N347">
        <f>+AV_PLAN[[#This Row],[PLAN ACUMULADO]]-AV_PLAN[[#This Row],[INICIO REAL ACUMULADO]]</f>
        <v>387</v>
      </c>
      <c r="O347">
        <f>+AV_PLAN[[#This Row],[TERMINO PLAN ACUMULADO]]-AV_PLAN[[#This Row],[TERMINO REAL ACUMULADO]]</f>
        <v>388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0.22727272727272727</v>
      </c>
      <c r="S347" s="7">
        <f>+AV_PLAN[[#This Row],[TERMINO PLAN ACUMULADO]]/$G$471</f>
        <v>0.70596590909090906</v>
      </c>
      <c r="T347" s="7">
        <f t="shared" si="11"/>
        <v>0.15482954545454544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160</v>
      </c>
      <c r="F348">
        <v>2</v>
      </c>
      <c r="G348">
        <v>499</v>
      </c>
      <c r="H348">
        <v>0</v>
      </c>
      <c r="I348">
        <v>109</v>
      </c>
      <c r="J348" t="s">
        <v>818</v>
      </c>
      <c r="K348">
        <f>+WEEKNUM(AV_PLAN[[#This Row],[Días]])</f>
        <v>5</v>
      </c>
      <c r="L348" s="4">
        <f>IFERROR(AV_PLAN[[#This Row],[INICIO REAL ACUMULADO]]/AV_PLAN[[#This Row],[PLAN ACUMULADO]],"")</f>
        <v>0.29090909090909089</v>
      </c>
      <c r="M348" s="4">
        <f>IFERROR(AV_PLAN[[#This Row],[TERMINO REAL ACUMULADO]]/AV_PLAN[[#This Row],[TERMINO PLAN ACUMULADO]],"")</f>
        <v>0.21843687374749499</v>
      </c>
      <c r="N348">
        <f>+AV_PLAN[[#This Row],[PLAN ACUMULADO]]-AV_PLAN[[#This Row],[INICIO REAL ACUMULADO]]</f>
        <v>390</v>
      </c>
      <c r="O348">
        <f>+AV_PLAN[[#This Row],[TERMINO PLAN ACUMULADO]]-AV_PLAN[[#This Row],[TERMINO REAL ACUMULADO]]</f>
        <v>390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0.22727272727272727</v>
      </c>
      <c r="S348" s="7">
        <f>+AV_PLAN[[#This Row],[TERMINO PLAN ACUMULADO]]/$G$471</f>
        <v>0.70880681818181823</v>
      </c>
      <c r="T348" s="7">
        <f t="shared" si="11"/>
        <v>0.15482954545454544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160</v>
      </c>
      <c r="F349">
        <v>1</v>
      </c>
      <c r="G349">
        <v>500</v>
      </c>
      <c r="H349">
        <v>0</v>
      </c>
      <c r="I349">
        <v>109</v>
      </c>
      <c r="J349" t="s">
        <v>818</v>
      </c>
      <c r="K349">
        <f>+WEEKNUM(AV_PLAN[[#This Row],[Días]])</f>
        <v>5</v>
      </c>
      <c r="L349" s="4">
        <f>IFERROR(AV_PLAN[[#This Row],[INICIO REAL ACUMULADO]]/AV_PLAN[[#This Row],[PLAN ACUMULADO]],"")</f>
        <v>0.28933092224231466</v>
      </c>
      <c r="M349" s="4">
        <f>IFERROR(AV_PLAN[[#This Row],[TERMINO REAL ACUMULADO]]/AV_PLAN[[#This Row],[TERMINO PLAN ACUMULADO]],"")</f>
        <v>0.218</v>
      </c>
      <c r="N349">
        <f>+AV_PLAN[[#This Row],[PLAN ACUMULADO]]-AV_PLAN[[#This Row],[INICIO REAL ACUMULADO]]</f>
        <v>393</v>
      </c>
      <c r="O349">
        <f>+AV_PLAN[[#This Row],[TERMINO PLAN ACUMULADO]]-AV_PLAN[[#This Row],[TERMINO REAL ACUMULADO]]</f>
        <v>391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0.22727272727272727</v>
      </c>
      <c r="S349" s="7">
        <f>+AV_PLAN[[#This Row],[TERMINO PLAN ACUMULADO]]/$G$471</f>
        <v>0.71022727272727271</v>
      </c>
      <c r="T349" s="7">
        <f t="shared" si="11"/>
        <v>0.15482954545454544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160</v>
      </c>
      <c r="F350">
        <v>0</v>
      </c>
      <c r="G350">
        <v>500</v>
      </c>
      <c r="H350">
        <v>0</v>
      </c>
      <c r="I350">
        <v>109</v>
      </c>
      <c r="J350" t="s">
        <v>818</v>
      </c>
      <c r="K350">
        <f>+WEEKNUM(AV_PLAN[[#This Row],[Días]])</f>
        <v>5</v>
      </c>
      <c r="L350" s="4">
        <f>IFERROR(AV_PLAN[[#This Row],[INICIO REAL ACUMULADO]]/AV_PLAN[[#This Row],[PLAN ACUMULADO]],"")</f>
        <v>0.28933092224231466</v>
      </c>
      <c r="M350" s="4">
        <f>IFERROR(AV_PLAN[[#This Row],[TERMINO REAL ACUMULADO]]/AV_PLAN[[#This Row],[TERMINO PLAN ACUMULADO]],"")</f>
        <v>0.218</v>
      </c>
      <c r="N350">
        <f>+AV_PLAN[[#This Row],[PLAN ACUMULADO]]-AV_PLAN[[#This Row],[INICIO REAL ACUMULADO]]</f>
        <v>393</v>
      </c>
      <c r="O350">
        <f>+AV_PLAN[[#This Row],[TERMINO PLAN ACUMULADO]]-AV_PLAN[[#This Row],[TERMINO REAL ACUMULADO]]</f>
        <v>391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0.22727272727272727</v>
      </c>
      <c r="S350" s="7">
        <f>+AV_PLAN[[#This Row],[TERMINO PLAN ACUMULADO]]/$G$471</f>
        <v>0.71022727272727271</v>
      </c>
      <c r="T350" s="7">
        <f t="shared" si="11"/>
        <v>0.15482954545454544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160</v>
      </c>
      <c r="F351">
        <v>1</v>
      </c>
      <c r="G351">
        <v>501</v>
      </c>
      <c r="H351">
        <v>0</v>
      </c>
      <c r="I351">
        <v>109</v>
      </c>
      <c r="J351" t="s">
        <v>818</v>
      </c>
      <c r="K351">
        <f>+WEEKNUM(AV_PLAN[[#This Row],[Días]])</f>
        <v>6</v>
      </c>
      <c r="L351" s="4">
        <f>IFERROR(AV_PLAN[[#This Row],[INICIO REAL ACUMULADO]]/AV_PLAN[[#This Row],[PLAN ACUMULADO]],"")</f>
        <v>0.28933092224231466</v>
      </c>
      <c r="M351" s="4">
        <f>IFERROR(AV_PLAN[[#This Row],[TERMINO REAL ACUMULADO]]/AV_PLAN[[#This Row],[TERMINO PLAN ACUMULADO]],"")</f>
        <v>0.21756487025948104</v>
      </c>
      <c r="N351">
        <f>+AV_PLAN[[#This Row],[PLAN ACUMULADO]]-AV_PLAN[[#This Row],[INICIO REAL ACUMULADO]]</f>
        <v>393</v>
      </c>
      <c r="O351">
        <f>+AV_PLAN[[#This Row],[TERMINO PLAN ACUMULADO]]-AV_PLAN[[#This Row],[TERMINO REAL ACUMULADO]]</f>
        <v>392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0.22727272727272727</v>
      </c>
      <c r="S351" s="7">
        <f>+AV_PLAN[[#This Row],[TERMINO PLAN ACUMULADO]]/$G$471</f>
        <v>0.71164772727272729</v>
      </c>
      <c r="T351" s="7">
        <f t="shared" si="11"/>
        <v>0.15482954545454544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160</v>
      </c>
      <c r="F352">
        <v>2</v>
      </c>
      <c r="G352">
        <v>503</v>
      </c>
      <c r="H352">
        <v>0</v>
      </c>
      <c r="I352">
        <v>109</v>
      </c>
      <c r="J352" t="s">
        <v>807</v>
      </c>
      <c r="K352">
        <f>+WEEKNUM(AV_PLAN[[#This Row],[Días]])</f>
        <v>6</v>
      </c>
      <c r="L352" s="4">
        <f>IFERROR(AV_PLAN[[#This Row],[INICIO REAL ACUMULADO]]/AV_PLAN[[#This Row],[PLAN ACUMULADO]],"")</f>
        <v>0.28776978417266186</v>
      </c>
      <c r="M352" s="4">
        <f>IFERROR(AV_PLAN[[#This Row],[TERMINO REAL ACUMULADO]]/AV_PLAN[[#This Row],[TERMINO PLAN ACUMULADO]],"")</f>
        <v>0.21669980119284293</v>
      </c>
      <c r="N352">
        <f>+AV_PLAN[[#This Row],[PLAN ACUMULADO]]-AV_PLAN[[#This Row],[INICIO REAL ACUMULADO]]</f>
        <v>396</v>
      </c>
      <c r="O352">
        <f>+AV_PLAN[[#This Row],[TERMINO PLAN ACUMULADO]]-AV_PLAN[[#This Row],[TERMINO REAL ACUMULADO]]</f>
        <v>394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0.22727272727272727</v>
      </c>
      <c r="S352" s="7">
        <f>+AV_PLAN[[#This Row],[TERMINO PLAN ACUMULADO]]/$G$471</f>
        <v>0.71448863636363635</v>
      </c>
      <c r="T352" s="7">
        <f t="shared" si="11"/>
        <v>0.15482954545454544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160</v>
      </c>
      <c r="F353">
        <v>2</v>
      </c>
      <c r="G353">
        <v>505</v>
      </c>
      <c r="H353">
        <v>0</v>
      </c>
      <c r="I353">
        <v>109</v>
      </c>
      <c r="J353" t="s">
        <v>807</v>
      </c>
      <c r="K353">
        <f>+WEEKNUM(AV_PLAN[[#This Row],[Días]])</f>
        <v>6</v>
      </c>
      <c r="L353" s="4">
        <f>IFERROR(AV_PLAN[[#This Row],[INICIO REAL ACUMULADO]]/AV_PLAN[[#This Row],[PLAN ACUMULADO]],"")</f>
        <v>0.28622540250447226</v>
      </c>
      <c r="M353" s="4">
        <f>IFERROR(AV_PLAN[[#This Row],[TERMINO REAL ACUMULADO]]/AV_PLAN[[#This Row],[TERMINO PLAN ACUMULADO]],"")</f>
        <v>0.21584158415841584</v>
      </c>
      <c r="N353">
        <f>+AV_PLAN[[#This Row],[PLAN ACUMULADO]]-AV_PLAN[[#This Row],[INICIO REAL ACUMULADO]]</f>
        <v>399</v>
      </c>
      <c r="O353">
        <f>+AV_PLAN[[#This Row],[TERMINO PLAN ACUMULADO]]-AV_PLAN[[#This Row],[TERMINO REAL ACUMULADO]]</f>
        <v>396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0.22727272727272727</v>
      </c>
      <c r="S353" s="7">
        <f>+AV_PLAN[[#This Row],[TERMINO PLAN ACUMULADO]]/$G$471</f>
        <v>0.71732954545454541</v>
      </c>
      <c r="T353" s="7">
        <f t="shared" si="11"/>
        <v>0.15482954545454544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160</v>
      </c>
      <c r="F354">
        <v>3</v>
      </c>
      <c r="G354">
        <v>508</v>
      </c>
      <c r="H354">
        <v>0</v>
      </c>
      <c r="I354">
        <v>109</v>
      </c>
      <c r="J354" t="s">
        <v>807</v>
      </c>
      <c r="K354">
        <f>+WEEKNUM(AV_PLAN[[#This Row],[Días]])</f>
        <v>6</v>
      </c>
      <c r="L354" s="4">
        <f>IFERROR(AV_PLAN[[#This Row],[INICIO REAL ACUMULADO]]/AV_PLAN[[#This Row],[PLAN ACUMULADO]],"")</f>
        <v>0.28469750889679718</v>
      </c>
      <c r="M354" s="4">
        <f>IFERROR(AV_PLAN[[#This Row],[TERMINO REAL ACUMULADO]]/AV_PLAN[[#This Row],[TERMINO PLAN ACUMULADO]],"")</f>
        <v>0.21456692913385828</v>
      </c>
      <c r="N354">
        <f>+AV_PLAN[[#This Row],[PLAN ACUMULADO]]-AV_PLAN[[#This Row],[INICIO REAL ACUMULADO]]</f>
        <v>402</v>
      </c>
      <c r="O354">
        <f>+AV_PLAN[[#This Row],[TERMINO PLAN ACUMULADO]]-AV_PLAN[[#This Row],[TERMINO REAL ACUMULADO]]</f>
        <v>399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0.22727272727272727</v>
      </c>
      <c r="S354" s="7">
        <f>+AV_PLAN[[#This Row],[TERMINO PLAN ACUMULADO]]/$G$471</f>
        <v>0.72159090909090906</v>
      </c>
      <c r="T354" s="7">
        <f t="shared" si="11"/>
        <v>0.15482954545454544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160</v>
      </c>
      <c r="F355">
        <v>3</v>
      </c>
      <c r="G355">
        <v>511</v>
      </c>
      <c r="H355">
        <v>0</v>
      </c>
      <c r="I355">
        <v>109</v>
      </c>
      <c r="J355" t="s">
        <v>807</v>
      </c>
      <c r="K355">
        <f>+WEEKNUM(AV_PLAN[[#This Row],[Días]])</f>
        <v>6</v>
      </c>
      <c r="L355" s="4">
        <f>IFERROR(AV_PLAN[[#This Row],[INICIO REAL ACUMULADO]]/AV_PLAN[[#This Row],[PLAN ACUMULADO]],"")</f>
        <v>0.2831858407079646</v>
      </c>
      <c r="M355" s="4">
        <f>IFERROR(AV_PLAN[[#This Row],[TERMINO REAL ACUMULADO]]/AV_PLAN[[#This Row],[TERMINO PLAN ACUMULADO]],"")</f>
        <v>0.21330724070450097</v>
      </c>
      <c r="N355">
        <f>+AV_PLAN[[#This Row],[PLAN ACUMULADO]]-AV_PLAN[[#This Row],[INICIO REAL ACUMULADO]]</f>
        <v>405</v>
      </c>
      <c r="O355">
        <f>+AV_PLAN[[#This Row],[TERMINO PLAN ACUMULADO]]-AV_PLAN[[#This Row],[TERMINO REAL ACUMULADO]]</f>
        <v>402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0.22727272727272727</v>
      </c>
      <c r="S355" s="7">
        <f>+AV_PLAN[[#This Row],[TERMINO PLAN ACUMULADO]]/$G$471</f>
        <v>0.72585227272727271</v>
      </c>
      <c r="T355" s="7">
        <f t="shared" si="11"/>
        <v>0.15482954545454544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160</v>
      </c>
      <c r="F356">
        <v>1</v>
      </c>
      <c r="G356">
        <v>512</v>
      </c>
      <c r="H356">
        <v>0</v>
      </c>
      <c r="I356">
        <v>109</v>
      </c>
      <c r="J356" t="s">
        <v>807</v>
      </c>
      <c r="K356">
        <f>+WEEKNUM(AV_PLAN[[#This Row],[Días]])</f>
        <v>6</v>
      </c>
      <c r="L356" s="4">
        <f>IFERROR(AV_PLAN[[#This Row],[INICIO REAL ACUMULADO]]/AV_PLAN[[#This Row],[PLAN ACUMULADO]],"")</f>
        <v>0.28169014084507044</v>
      </c>
      <c r="M356" s="4">
        <f>IFERROR(AV_PLAN[[#This Row],[TERMINO REAL ACUMULADO]]/AV_PLAN[[#This Row],[TERMINO PLAN ACUMULADO]],"")</f>
        <v>0.212890625</v>
      </c>
      <c r="N356">
        <f>+AV_PLAN[[#This Row],[PLAN ACUMULADO]]-AV_PLAN[[#This Row],[INICIO REAL ACUMULADO]]</f>
        <v>408</v>
      </c>
      <c r="O356">
        <f>+AV_PLAN[[#This Row],[TERMINO PLAN ACUMULADO]]-AV_PLAN[[#This Row],[TERMINO REAL ACUMULADO]]</f>
        <v>403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0.22727272727272727</v>
      </c>
      <c r="S356" s="7">
        <f>+AV_PLAN[[#This Row],[TERMINO PLAN ACUMULADO]]/$G$471</f>
        <v>0.72727272727272729</v>
      </c>
      <c r="T356" s="7">
        <f t="shared" si="11"/>
        <v>0.15482954545454544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160</v>
      </c>
      <c r="F357">
        <v>1</v>
      </c>
      <c r="G357">
        <v>513</v>
      </c>
      <c r="H357">
        <v>0</v>
      </c>
      <c r="I357">
        <v>109</v>
      </c>
      <c r="J357" t="s">
        <v>807</v>
      </c>
      <c r="K357">
        <f>+WEEKNUM(AV_PLAN[[#This Row],[Días]])</f>
        <v>6</v>
      </c>
      <c r="L357" s="4">
        <f>IFERROR(AV_PLAN[[#This Row],[INICIO REAL ACUMULADO]]/AV_PLAN[[#This Row],[PLAN ACUMULADO]],"")</f>
        <v>0.28169014084507044</v>
      </c>
      <c r="M357" s="4">
        <f>IFERROR(AV_PLAN[[#This Row],[TERMINO REAL ACUMULADO]]/AV_PLAN[[#This Row],[TERMINO PLAN ACUMULADO]],"")</f>
        <v>0.2124756335282651</v>
      </c>
      <c r="N357">
        <f>+AV_PLAN[[#This Row],[PLAN ACUMULADO]]-AV_PLAN[[#This Row],[INICIO REAL ACUMULADO]]</f>
        <v>408</v>
      </c>
      <c r="O357">
        <f>+AV_PLAN[[#This Row],[TERMINO PLAN ACUMULADO]]-AV_PLAN[[#This Row],[TERMINO REAL ACUMULADO]]</f>
        <v>404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0.22727272727272727</v>
      </c>
      <c r="S357" s="7">
        <f>+AV_PLAN[[#This Row],[TERMINO PLAN ACUMULADO]]/$G$471</f>
        <v>0.72869318181818177</v>
      </c>
      <c r="T357" s="7">
        <f t="shared" si="11"/>
        <v>0.15482954545454544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160</v>
      </c>
      <c r="F358">
        <v>4</v>
      </c>
      <c r="G358">
        <v>517</v>
      </c>
      <c r="H358">
        <v>0</v>
      </c>
      <c r="I358">
        <v>109</v>
      </c>
      <c r="J358" t="s">
        <v>807</v>
      </c>
      <c r="K358">
        <f>+WEEKNUM(AV_PLAN[[#This Row],[Días]])</f>
        <v>7</v>
      </c>
      <c r="L358" s="4">
        <f>IFERROR(AV_PLAN[[#This Row],[INICIO REAL ACUMULADO]]/AV_PLAN[[#This Row],[PLAN ACUMULADO]],"")</f>
        <v>0.28169014084507044</v>
      </c>
      <c r="M358" s="4">
        <f>IFERROR(AV_PLAN[[#This Row],[TERMINO REAL ACUMULADO]]/AV_PLAN[[#This Row],[TERMINO PLAN ACUMULADO]],"")</f>
        <v>0.21083172147001933</v>
      </c>
      <c r="N358">
        <f>+AV_PLAN[[#This Row],[PLAN ACUMULADO]]-AV_PLAN[[#This Row],[INICIO REAL ACUMULADO]]</f>
        <v>408</v>
      </c>
      <c r="O358">
        <f>+AV_PLAN[[#This Row],[TERMINO PLAN ACUMULADO]]-AV_PLAN[[#This Row],[TERMINO REAL ACUMULADO]]</f>
        <v>408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0.22727272727272727</v>
      </c>
      <c r="S358" s="7">
        <f>+AV_PLAN[[#This Row],[TERMINO PLAN ACUMULADO]]/$G$471</f>
        <v>0.734375</v>
      </c>
      <c r="T358" s="7">
        <f t="shared" si="11"/>
        <v>0.15482954545454544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160</v>
      </c>
      <c r="F359">
        <v>2</v>
      </c>
      <c r="G359">
        <v>519</v>
      </c>
      <c r="H359">
        <v>0</v>
      </c>
      <c r="I359">
        <v>109</v>
      </c>
      <c r="J359" t="s">
        <v>807</v>
      </c>
      <c r="K359">
        <f>+WEEKNUM(AV_PLAN[[#This Row],[Días]])</f>
        <v>7</v>
      </c>
      <c r="L359" s="4">
        <f>IFERROR(AV_PLAN[[#This Row],[INICIO REAL ACUMULADO]]/AV_PLAN[[#This Row],[PLAN ACUMULADO]],"")</f>
        <v>0.28021015761821366</v>
      </c>
      <c r="M359" s="4">
        <f>IFERROR(AV_PLAN[[#This Row],[TERMINO REAL ACUMULADO]]/AV_PLAN[[#This Row],[TERMINO PLAN ACUMULADO]],"")</f>
        <v>0.21001926782273603</v>
      </c>
      <c r="N359">
        <f>+AV_PLAN[[#This Row],[PLAN ACUMULADO]]-AV_PLAN[[#This Row],[INICIO REAL ACUMULADO]]</f>
        <v>411</v>
      </c>
      <c r="O359">
        <f>+AV_PLAN[[#This Row],[TERMINO PLAN ACUMULADO]]-AV_PLAN[[#This Row],[TERMINO REAL ACUMULADO]]</f>
        <v>410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0.22727272727272727</v>
      </c>
      <c r="S359" s="7">
        <f>+AV_PLAN[[#This Row],[TERMINO PLAN ACUMULADO]]/$G$471</f>
        <v>0.73721590909090906</v>
      </c>
      <c r="T359" s="7">
        <f t="shared" si="11"/>
        <v>0.15482954545454544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160</v>
      </c>
      <c r="F360">
        <v>1</v>
      </c>
      <c r="G360">
        <v>520</v>
      </c>
      <c r="H360">
        <v>0</v>
      </c>
      <c r="I360">
        <v>109</v>
      </c>
      <c r="J360" t="s">
        <v>807</v>
      </c>
      <c r="K360">
        <f>+WEEKNUM(AV_PLAN[[#This Row],[Días]])</f>
        <v>7</v>
      </c>
      <c r="L360" s="4">
        <f>IFERROR(AV_PLAN[[#This Row],[INICIO REAL ACUMULADO]]/AV_PLAN[[#This Row],[PLAN ACUMULADO]],"")</f>
        <v>0.27874564459930312</v>
      </c>
      <c r="M360" s="4">
        <f>IFERROR(AV_PLAN[[#This Row],[TERMINO REAL ACUMULADO]]/AV_PLAN[[#This Row],[TERMINO PLAN ACUMULADO]],"")</f>
        <v>0.20961538461538462</v>
      </c>
      <c r="N360">
        <f>+AV_PLAN[[#This Row],[PLAN ACUMULADO]]-AV_PLAN[[#This Row],[INICIO REAL ACUMULADO]]</f>
        <v>414</v>
      </c>
      <c r="O360">
        <f>+AV_PLAN[[#This Row],[TERMINO PLAN ACUMULADO]]-AV_PLAN[[#This Row],[TERMINO REAL ACUMULADO]]</f>
        <v>411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0.22727272727272727</v>
      </c>
      <c r="S360" s="7">
        <f>+AV_PLAN[[#This Row],[TERMINO PLAN ACUMULADO]]/$G$471</f>
        <v>0.73863636363636365</v>
      </c>
      <c r="T360" s="7">
        <f t="shared" si="11"/>
        <v>0.15482954545454544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160</v>
      </c>
      <c r="F361">
        <v>3</v>
      </c>
      <c r="G361">
        <v>523</v>
      </c>
      <c r="H361">
        <v>0</v>
      </c>
      <c r="I361">
        <v>109</v>
      </c>
      <c r="J361" t="s">
        <v>807</v>
      </c>
      <c r="K361">
        <f>+WEEKNUM(AV_PLAN[[#This Row],[Días]])</f>
        <v>7</v>
      </c>
      <c r="L361" s="4">
        <f>IFERROR(AV_PLAN[[#This Row],[INICIO REAL ACUMULADO]]/AV_PLAN[[#This Row],[PLAN ACUMULADO]],"")</f>
        <v>0.27729636048526862</v>
      </c>
      <c r="M361" s="4">
        <f>IFERROR(AV_PLAN[[#This Row],[TERMINO REAL ACUMULADO]]/AV_PLAN[[#This Row],[TERMINO PLAN ACUMULADO]],"")</f>
        <v>0.2084130019120459</v>
      </c>
      <c r="N361">
        <f>+AV_PLAN[[#This Row],[PLAN ACUMULADO]]-AV_PLAN[[#This Row],[INICIO REAL ACUMULADO]]</f>
        <v>417</v>
      </c>
      <c r="O361">
        <f>+AV_PLAN[[#This Row],[TERMINO PLAN ACUMULADO]]-AV_PLAN[[#This Row],[TERMINO REAL ACUMULADO]]</f>
        <v>414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0.22727272727272727</v>
      </c>
      <c r="S361" s="7">
        <f>+AV_PLAN[[#This Row],[TERMINO PLAN ACUMULADO]]/$G$471</f>
        <v>0.74289772727272729</v>
      </c>
      <c r="T361" s="7">
        <f t="shared" si="11"/>
        <v>0.15482954545454544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160</v>
      </c>
      <c r="F362">
        <v>3</v>
      </c>
      <c r="G362">
        <v>526</v>
      </c>
      <c r="H362">
        <v>0</v>
      </c>
      <c r="I362">
        <v>109</v>
      </c>
      <c r="J362" t="s">
        <v>807</v>
      </c>
      <c r="K362">
        <f>+WEEKNUM(AV_PLAN[[#This Row],[Días]])</f>
        <v>7</v>
      </c>
      <c r="L362" s="4">
        <f>IFERROR(AV_PLAN[[#This Row],[INICIO REAL ACUMULADO]]/AV_PLAN[[#This Row],[PLAN ACUMULADO]],"")</f>
        <v>0.27586206896551724</v>
      </c>
      <c r="M362" s="4">
        <f>IFERROR(AV_PLAN[[#This Row],[TERMINO REAL ACUMULADO]]/AV_PLAN[[#This Row],[TERMINO PLAN ACUMULADO]],"")</f>
        <v>0.20722433460076045</v>
      </c>
      <c r="N362">
        <f>+AV_PLAN[[#This Row],[PLAN ACUMULADO]]-AV_PLAN[[#This Row],[INICIO REAL ACUMULADO]]</f>
        <v>420</v>
      </c>
      <c r="O362">
        <f>+AV_PLAN[[#This Row],[TERMINO PLAN ACUMULADO]]-AV_PLAN[[#This Row],[TERMINO REAL ACUMULADO]]</f>
        <v>417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0.22727272727272727</v>
      </c>
      <c r="S362" s="7">
        <f>+AV_PLAN[[#This Row],[TERMINO PLAN ACUMULADO]]/$G$471</f>
        <v>0.74715909090909094</v>
      </c>
      <c r="T362" s="7">
        <f t="shared" si="11"/>
        <v>0.15482954545454544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160</v>
      </c>
      <c r="F363">
        <v>1</v>
      </c>
      <c r="G363">
        <v>527</v>
      </c>
      <c r="H363">
        <v>0</v>
      </c>
      <c r="I363">
        <v>109</v>
      </c>
      <c r="J363" t="s">
        <v>807</v>
      </c>
      <c r="K363">
        <f>+WEEKNUM(AV_PLAN[[#This Row],[Días]])</f>
        <v>7</v>
      </c>
      <c r="L363" s="4">
        <f>IFERROR(AV_PLAN[[#This Row],[INICIO REAL ACUMULADO]]/AV_PLAN[[#This Row],[PLAN ACUMULADO]],"")</f>
        <v>0.274442538593482</v>
      </c>
      <c r="M363" s="4">
        <f>IFERROR(AV_PLAN[[#This Row],[TERMINO REAL ACUMULADO]]/AV_PLAN[[#This Row],[TERMINO PLAN ACUMULADO]],"")</f>
        <v>0.20683111954459202</v>
      </c>
      <c r="N363">
        <f>+AV_PLAN[[#This Row],[PLAN ACUMULADO]]-AV_PLAN[[#This Row],[INICIO REAL ACUMULADO]]</f>
        <v>423</v>
      </c>
      <c r="O363">
        <f>+AV_PLAN[[#This Row],[TERMINO PLAN ACUMULADO]]-AV_PLAN[[#This Row],[TERMINO REAL ACUMULADO]]</f>
        <v>418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0.22727272727272727</v>
      </c>
      <c r="S363" s="7">
        <f>+AV_PLAN[[#This Row],[TERMINO PLAN ACUMULADO]]/$G$471</f>
        <v>0.74857954545454541</v>
      </c>
      <c r="T363" s="7">
        <f t="shared" si="11"/>
        <v>0.15482954545454544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160</v>
      </c>
      <c r="F364">
        <v>2</v>
      </c>
      <c r="G364">
        <v>529</v>
      </c>
      <c r="H364">
        <v>0</v>
      </c>
      <c r="I364">
        <v>109</v>
      </c>
      <c r="J364" t="s">
        <v>807</v>
      </c>
      <c r="K364">
        <f>+WEEKNUM(AV_PLAN[[#This Row],[Días]])</f>
        <v>7</v>
      </c>
      <c r="L364" s="4">
        <f>IFERROR(AV_PLAN[[#This Row],[INICIO REAL ACUMULADO]]/AV_PLAN[[#This Row],[PLAN ACUMULADO]],"")</f>
        <v>0.274442538593482</v>
      </c>
      <c r="M364" s="4">
        <f>IFERROR(AV_PLAN[[#This Row],[TERMINO REAL ACUMULADO]]/AV_PLAN[[#This Row],[TERMINO PLAN ACUMULADO]],"")</f>
        <v>0.20604914933837429</v>
      </c>
      <c r="N364">
        <f>+AV_PLAN[[#This Row],[PLAN ACUMULADO]]-AV_PLAN[[#This Row],[INICIO REAL ACUMULADO]]</f>
        <v>423</v>
      </c>
      <c r="O364">
        <f>+AV_PLAN[[#This Row],[TERMINO PLAN ACUMULADO]]-AV_PLAN[[#This Row],[TERMINO REAL ACUMULADO]]</f>
        <v>420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0.22727272727272727</v>
      </c>
      <c r="S364" s="7">
        <f>+AV_PLAN[[#This Row],[TERMINO PLAN ACUMULADO]]/$G$471</f>
        <v>0.75142045454545459</v>
      </c>
      <c r="T364" s="7">
        <f t="shared" si="11"/>
        <v>0.15482954545454544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160</v>
      </c>
      <c r="F365">
        <v>4</v>
      </c>
      <c r="G365">
        <v>533</v>
      </c>
      <c r="H365">
        <v>0</v>
      </c>
      <c r="I365">
        <v>109</v>
      </c>
      <c r="J365" t="s">
        <v>807</v>
      </c>
      <c r="K365">
        <f>+WEEKNUM(AV_PLAN[[#This Row],[Días]])</f>
        <v>8</v>
      </c>
      <c r="L365" s="4">
        <f>IFERROR(AV_PLAN[[#This Row],[INICIO REAL ACUMULADO]]/AV_PLAN[[#This Row],[PLAN ACUMULADO]],"")</f>
        <v>0.274442538593482</v>
      </c>
      <c r="M365" s="4">
        <f>IFERROR(AV_PLAN[[#This Row],[TERMINO REAL ACUMULADO]]/AV_PLAN[[#This Row],[TERMINO PLAN ACUMULADO]],"")</f>
        <v>0.20450281425891181</v>
      </c>
      <c r="N365">
        <f>+AV_PLAN[[#This Row],[PLAN ACUMULADO]]-AV_PLAN[[#This Row],[INICIO REAL ACUMULADO]]</f>
        <v>423</v>
      </c>
      <c r="O365">
        <f>+AV_PLAN[[#This Row],[TERMINO PLAN ACUMULADO]]-AV_PLAN[[#This Row],[TERMINO REAL ACUMULADO]]</f>
        <v>424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0.22727272727272727</v>
      </c>
      <c r="S365" s="7">
        <f>+AV_PLAN[[#This Row],[TERMINO PLAN ACUMULADO]]/$G$471</f>
        <v>0.75710227272727271</v>
      </c>
      <c r="T365" s="7">
        <f t="shared" si="11"/>
        <v>0.15482954545454544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160</v>
      </c>
      <c r="F366">
        <v>1</v>
      </c>
      <c r="G366">
        <v>534</v>
      </c>
      <c r="H366">
        <v>0</v>
      </c>
      <c r="I366">
        <v>109</v>
      </c>
      <c r="J366" t="s">
        <v>807</v>
      </c>
      <c r="K366">
        <f>+WEEKNUM(AV_PLAN[[#This Row],[Días]])</f>
        <v>8</v>
      </c>
      <c r="L366" s="4">
        <f>IFERROR(AV_PLAN[[#This Row],[INICIO REAL ACUMULADO]]/AV_PLAN[[#This Row],[PLAN ACUMULADO]],"")</f>
        <v>0.27303754266211605</v>
      </c>
      <c r="M366" s="4">
        <f>IFERROR(AV_PLAN[[#This Row],[TERMINO REAL ACUMULADO]]/AV_PLAN[[#This Row],[TERMINO PLAN ACUMULADO]],"")</f>
        <v>0.20411985018726592</v>
      </c>
      <c r="N366">
        <f>+AV_PLAN[[#This Row],[PLAN ACUMULADO]]-AV_PLAN[[#This Row],[INICIO REAL ACUMULADO]]</f>
        <v>426</v>
      </c>
      <c r="O366">
        <f>+AV_PLAN[[#This Row],[TERMINO PLAN ACUMULADO]]-AV_PLAN[[#This Row],[TERMINO REAL ACUMULADO]]</f>
        <v>425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0.22727272727272727</v>
      </c>
      <c r="S366" s="7">
        <f>+AV_PLAN[[#This Row],[TERMINO PLAN ACUMULADO]]/$G$471</f>
        <v>0.75852272727272729</v>
      </c>
      <c r="T366" s="7">
        <f t="shared" si="11"/>
        <v>0.15482954545454544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160</v>
      </c>
      <c r="F367">
        <v>1</v>
      </c>
      <c r="G367">
        <v>535</v>
      </c>
      <c r="H367">
        <v>0</v>
      </c>
      <c r="I367">
        <v>109</v>
      </c>
      <c r="J367" t="s">
        <v>807</v>
      </c>
      <c r="K367">
        <f>+WEEKNUM(AV_PLAN[[#This Row],[Días]])</f>
        <v>8</v>
      </c>
      <c r="L367" s="4">
        <f>IFERROR(AV_PLAN[[#This Row],[INICIO REAL ACUMULADO]]/AV_PLAN[[#This Row],[PLAN ACUMULADO]],"")</f>
        <v>0.27164685908319186</v>
      </c>
      <c r="M367" s="4">
        <f>IFERROR(AV_PLAN[[#This Row],[TERMINO REAL ACUMULADO]]/AV_PLAN[[#This Row],[TERMINO PLAN ACUMULADO]],"")</f>
        <v>0.20373831775700935</v>
      </c>
      <c r="N367">
        <f>+AV_PLAN[[#This Row],[PLAN ACUMULADO]]-AV_PLAN[[#This Row],[INICIO REAL ACUMULADO]]</f>
        <v>429</v>
      </c>
      <c r="O367">
        <f>+AV_PLAN[[#This Row],[TERMINO PLAN ACUMULADO]]-AV_PLAN[[#This Row],[TERMINO REAL ACUMULADO]]</f>
        <v>426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0.22727272727272727</v>
      </c>
      <c r="S367" s="7">
        <f>+AV_PLAN[[#This Row],[TERMINO PLAN ACUMULADO]]/$G$471</f>
        <v>0.75994318181818177</v>
      </c>
      <c r="T367" s="7">
        <f t="shared" si="11"/>
        <v>0.15482954545454544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160</v>
      </c>
      <c r="F368">
        <v>3</v>
      </c>
      <c r="G368">
        <v>538</v>
      </c>
      <c r="H368">
        <v>0</v>
      </c>
      <c r="I368">
        <v>109</v>
      </c>
      <c r="J368" t="s">
        <v>807</v>
      </c>
      <c r="K368">
        <f>+WEEKNUM(AV_PLAN[[#This Row],[Días]])</f>
        <v>8</v>
      </c>
      <c r="L368" s="4">
        <f>IFERROR(AV_PLAN[[#This Row],[INICIO REAL ACUMULADO]]/AV_PLAN[[#This Row],[PLAN ACUMULADO]],"")</f>
        <v>0.27027027027027029</v>
      </c>
      <c r="M368" s="4">
        <f>IFERROR(AV_PLAN[[#This Row],[TERMINO REAL ACUMULADO]]/AV_PLAN[[#This Row],[TERMINO PLAN ACUMULADO]],"")</f>
        <v>0.20260223048327136</v>
      </c>
      <c r="N368">
        <f>+AV_PLAN[[#This Row],[PLAN ACUMULADO]]-AV_PLAN[[#This Row],[INICIO REAL ACUMULADO]]</f>
        <v>432</v>
      </c>
      <c r="O368">
        <f>+AV_PLAN[[#This Row],[TERMINO PLAN ACUMULADO]]-AV_PLAN[[#This Row],[TERMINO REAL ACUMULADO]]</f>
        <v>429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0.22727272727272727</v>
      </c>
      <c r="S368" s="7">
        <f>+AV_PLAN[[#This Row],[TERMINO PLAN ACUMULADO]]/$G$471</f>
        <v>0.76420454545454541</v>
      </c>
      <c r="T368" s="7">
        <f t="shared" si="11"/>
        <v>0.15482954545454544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160</v>
      </c>
      <c r="F369">
        <v>3</v>
      </c>
      <c r="G369">
        <v>541</v>
      </c>
      <c r="H369">
        <v>0</v>
      </c>
      <c r="I369">
        <v>109</v>
      </c>
      <c r="J369" t="s">
        <v>807</v>
      </c>
      <c r="K369">
        <f>+WEEKNUM(AV_PLAN[[#This Row],[Días]])</f>
        <v>8</v>
      </c>
      <c r="L369" s="4">
        <f>IFERROR(AV_PLAN[[#This Row],[INICIO REAL ACUMULADO]]/AV_PLAN[[#This Row],[PLAN ACUMULADO]],"")</f>
        <v>0.26890756302521007</v>
      </c>
      <c r="M369" s="4">
        <f>IFERROR(AV_PLAN[[#This Row],[TERMINO REAL ACUMULADO]]/AV_PLAN[[#This Row],[TERMINO PLAN ACUMULADO]],"")</f>
        <v>0.20147874306839186</v>
      </c>
      <c r="N369">
        <f>+AV_PLAN[[#This Row],[PLAN ACUMULADO]]-AV_PLAN[[#This Row],[INICIO REAL ACUMULADO]]</f>
        <v>435</v>
      </c>
      <c r="O369">
        <f>+AV_PLAN[[#This Row],[TERMINO PLAN ACUMULADO]]-AV_PLAN[[#This Row],[TERMINO REAL ACUMULADO]]</f>
        <v>432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0.22727272727272727</v>
      </c>
      <c r="S369" s="7">
        <f>+AV_PLAN[[#This Row],[TERMINO PLAN ACUMULADO]]/$G$471</f>
        <v>0.76846590909090906</v>
      </c>
      <c r="T369" s="7">
        <f t="shared" si="11"/>
        <v>0.15482954545454544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160</v>
      </c>
      <c r="F370">
        <v>2</v>
      </c>
      <c r="G370">
        <v>543</v>
      </c>
      <c r="H370">
        <v>0</v>
      </c>
      <c r="I370">
        <v>109</v>
      </c>
      <c r="J370" t="s">
        <v>807</v>
      </c>
      <c r="K370">
        <f>+WEEKNUM(AV_PLAN[[#This Row],[Días]])</f>
        <v>8</v>
      </c>
      <c r="L370" s="4">
        <f>IFERROR(AV_PLAN[[#This Row],[INICIO REAL ACUMULADO]]/AV_PLAN[[#This Row],[PLAN ACUMULADO]],"")</f>
        <v>0.26755852842809363</v>
      </c>
      <c r="M370" s="4">
        <f>IFERROR(AV_PLAN[[#This Row],[TERMINO REAL ACUMULADO]]/AV_PLAN[[#This Row],[TERMINO PLAN ACUMULADO]],"")</f>
        <v>0.20073664825046039</v>
      </c>
      <c r="N370">
        <f>+AV_PLAN[[#This Row],[PLAN ACUMULADO]]-AV_PLAN[[#This Row],[INICIO REAL ACUMULADO]]</f>
        <v>438</v>
      </c>
      <c r="O370">
        <f>+AV_PLAN[[#This Row],[TERMINO PLAN ACUMULADO]]-AV_PLAN[[#This Row],[TERMINO REAL ACUMULADO]]</f>
        <v>434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0.22727272727272727</v>
      </c>
      <c r="S370" s="7">
        <f>+AV_PLAN[[#This Row],[TERMINO PLAN ACUMULADO]]/$G$471</f>
        <v>0.77130681818181823</v>
      </c>
      <c r="T370" s="7">
        <f t="shared" si="11"/>
        <v>0.15482954545454544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160</v>
      </c>
      <c r="F371">
        <v>2</v>
      </c>
      <c r="G371">
        <v>545</v>
      </c>
      <c r="H371">
        <v>0</v>
      </c>
      <c r="I371">
        <v>109</v>
      </c>
      <c r="J371" t="s">
        <v>807</v>
      </c>
      <c r="K371">
        <f>+WEEKNUM(AV_PLAN[[#This Row],[Días]])</f>
        <v>8</v>
      </c>
      <c r="L371" s="4">
        <f>IFERROR(AV_PLAN[[#This Row],[INICIO REAL ACUMULADO]]/AV_PLAN[[#This Row],[PLAN ACUMULADO]],"")</f>
        <v>0.26755852842809363</v>
      </c>
      <c r="M371" s="4">
        <f>IFERROR(AV_PLAN[[#This Row],[TERMINO REAL ACUMULADO]]/AV_PLAN[[#This Row],[TERMINO PLAN ACUMULADO]],"")</f>
        <v>0.2</v>
      </c>
      <c r="N371">
        <f>+AV_PLAN[[#This Row],[PLAN ACUMULADO]]-AV_PLAN[[#This Row],[INICIO REAL ACUMULADO]]</f>
        <v>438</v>
      </c>
      <c r="O371">
        <f>+AV_PLAN[[#This Row],[TERMINO PLAN ACUMULADO]]-AV_PLAN[[#This Row],[TERMINO REAL ACUMULADO]]</f>
        <v>436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0.22727272727272727</v>
      </c>
      <c r="S371" s="7">
        <f>+AV_PLAN[[#This Row],[TERMINO PLAN ACUMULADO]]/$G$471</f>
        <v>0.77414772727272729</v>
      </c>
      <c r="T371" s="7">
        <f t="shared" si="11"/>
        <v>0.15482954545454544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160</v>
      </c>
      <c r="F372">
        <v>2</v>
      </c>
      <c r="G372">
        <v>547</v>
      </c>
      <c r="H372">
        <v>0</v>
      </c>
      <c r="I372">
        <v>109</v>
      </c>
      <c r="J372" t="s">
        <v>807</v>
      </c>
      <c r="K372">
        <f>+WEEKNUM(AV_PLAN[[#This Row],[Días]])</f>
        <v>9</v>
      </c>
      <c r="L372" s="4">
        <f>IFERROR(AV_PLAN[[#This Row],[INICIO REAL ACUMULADO]]/AV_PLAN[[#This Row],[PLAN ACUMULADO]],"")</f>
        <v>0.26755852842809363</v>
      </c>
      <c r="M372" s="4">
        <f>IFERROR(AV_PLAN[[#This Row],[TERMINO REAL ACUMULADO]]/AV_PLAN[[#This Row],[TERMINO PLAN ACUMULADO]],"")</f>
        <v>0.19926873857404023</v>
      </c>
      <c r="N372">
        <f>+AV_PLAN[[#This Row],[PLAN ACUMULADO]]-AV_PLAN[[#This Row],[INICIO REAL ACUMULADO]]</f>
        <v>438</v>
      </c>
      <c r="O372">
        <f>+AV_PLAN[[#This Row],[TERMINO PLAN ACUMULADO]]-AV_PLAN[[#This Row],[TERMINO REAL ACUMULADO]]</f>
        <v>438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0.22727272727272727</v>
      </c>
      <c r="S372" s="7">
        <f>+AV_PLAN[[#This Row],[TERMINO PLAN ACUMULADO]]/$G$471</f>
        <v>0.77698863636363635</v>
      </c>
      <c r="T372" s="7">
        <f t="shared" si="11"/>
        <v>0.15482954545454544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160</v>
      </c>
      <c r="F373">
        <v>1</v>
      </c>
      <c r="G373">
        <v>548</v>
      </c>
      <c r="H373">
        <v>0</v>
      </c>
      <c r="I373">
        <v>109</v>
      </c>
      <c r="J373" t="s">
        <v>807</v>
      </c>
      <c r="K373">
        <f>+WEEKNUM(AV_PLAN[[#This Row],[Días]])</f>
        <v>9</v>
      </c>
      <c r="L373" s="4">
        <f>IFERROR(AV_PLAN[[#This Row],[INICIO REAL ACUMULADO]]/AV_PLAN[[#This Row],[PLAN ACUMULADO]],"")</f>
        <v>0.26622296173044924</v>
      </c>
      <c r="M373" s="4">
        <f>IFERROR(AV_PLAN[[#This Row],[TERMINO REAL ACUMULADO]]/AV_PLAN[[#This Row],[TERMINO PLAN ACUMULADO]],"")</f>
        <v>0.1989051094890511</v>
      </c>
      <c r="N373">
        <f>+AV_PLAN[[#This Row],[PLAN ACUMULADO]]-AV_PLAN[[#This Row],[INICIO REAL ACUMULADO]]</f>
        <v>441</v>
      </c>
      <c r="O373">
        <f>+AV_PLAN[[#This Row],[TERMINO PLAN ACUMULADO]]-AV_PLAN[[#This Row],[TERMINO REAL ACUMULADO]]</f>
        <v>439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0.22727272727272727</v>
      </c>
      <c r="S373" s="7">
        <f>+AV_PLAN[[#This Row],[TERMINO PLAN ACUMULADO]]/$G$471</f>
        <v>0.77840909090909094</v>
      </c>
      <c r="T373" s="7">
        <f t="shared" si="11"/>
        <v>0.15482954545454544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160</v>
      </c>
      <c r="F374">
        <v>2</v>
      </c>
      <c r="G374">
        <v>550</v>
      </c>
      <c r="H374">
        <v>0</v>
      </c>
      <c r="I374">
        <v>109</v>
      </c>
      <c r="J374" t="s">
        <v>807</v>
      </c>
      <c r="K374">
        <f>+WEEKNUM(AV_PLAN[[#This Row],[Días]])</f>
        <v>9</v>
      </c>
      <c r="L374" s="4">
        <f>IFERROR(AV_PLAN[[#This Row],[INICIO REAL ACUMULADO]]/AV_PLAN[[#This Row],[PLAN ACUMULADO]],"")</f>
        <v>0.26490066225165565</v>
      </c>
      <c r="M374" s="4">
        <f>IFERROR(AV_PLAN[[#This Row],[TERMINO REAL ACUMULADO]]/AV_PLAN[[#This Row],[TERMINO PLAN ACUMULADO]],"")</f>
        <v>0.19818181818181818</v>
      </c>
      <c r="N374">
        <f>+AV_PLAN[[#This Row],[PLAN ACUMULADO]]-AV_PLAN[[#This Row],[INICIO REAL ACUMULADO]]</f>
        <v>444</v>
      </c>
      <c r="O374">
        <f>+AV_PLAN[[#This Row],[TERMINO PLAN ACUMULADO]]-AV_PLAN[[#This Row],[TERMINO REAL ACUMULADO]]</f>
        <v>441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0.22727272727272727</v>
      </c>
      <c r="S374" s="7">
        <f>+AV_PLAN[[#This Row],[TERMINO PLAN ACUMULADO]]/$G$471</f>
        <v>0.78125</v>
      </c>
      <c r="T374" s="7">
        <f t="shared" si="11"/>
        <v>0.15482954545454544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160</v>
      </c>
      <c r="F375">
        <v>3</v>
      </c>
      <c r="G375">
        <v>553</v>
      </c>
      <c r="H375">
        <v>0</v>
      </c>
      <c r="I375">
        <v>109</v>
      </c>
      <c r="J375" t="s">
        <v>807</v>
      </c>
      <c r="K375">
        <f>+WEEKNUM(AV_PLAN[[#This Row],[Días]])</f>
        <v>9</v>
      </c>
      <c r="L375" s="4">
        <f>IFERROR(AV_PLAN[[#This Row],[INICIO REAL ACUMULADO]]/AV_PLAN[[#This Row],[PLAN ACUMULADO]],"")</f>
        <v>0.26359143327841844</v>
      </c>
      <c r="M375" s="4">
        <f>IFERROR(AV_PLAN[[#This Row],[TERMINO REAL ACUMULADO]]/AV_PLAN[[#This Row],[TERMINO PLAN ACUMULADO]],"")</f>
        <v>0.19710669077757687</v>
      </c>
      <c r="N375">
        <f>+AV_PLAN[[#This Row],[PLAN ACUMULADO]]-AV_PLAN[[#This Row],[INICIO REAL ACUMULADO]]</f>
        <v>447</v>
      </c>
      <c r="O375">
        <f>+AV_PLAN[[#This Row],[TERMINO PLAN ACUMULADO]]-AV_PLAN[[#This Row],[TERMINO REAL ACUMULADO]]</f>
        <v>444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0.22727272727272727</v>
      </c>
      <c r="S375" s="7">
        <f>+AV_PLAN[[#This Row],[TERMINO PLAN ACUMULADO]]/$G$471</f>
        <v>0.78551136363636365</v>
      </c>
      <c r="T375" s="7">
        <f t="shared" si="11"/>
        <v>0.15482954545454544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160</v>
      </c>
      <c r="F376">
        <v>3</v>
      </c>
      <c r="G376">
        <v>556</v>
      </c>
      <c r="H376">
        <v>0</v>
      </c>
      <c r="I376">
        <v>109</v>
      </c>
      <c r="J376" t="s">
        <v>807</v>
      </c>
      <c r="K376">
        <f>+WEEKNUM(AV_PLAN[[#This Row],[Días]])</f>
        <v>9</v>
      </c>
      <c r="L376" s="4">
        <f>IFERROR(AV_PLAN[[#This Row],[INICIO REAL ACUMULADO]]/AV_PLAN[[#This Row],[PLAN ACUMULADO]],"")</f>
        <v>0.26229508196721313</v>
      </c>
      <c r="M376" s="4">
        <f>IFERROR(AV_PLAN[[#This Row],[TERMINO REAL ACUMULADO]]/AV_PLAN[[#This Row],[TERMINO PLAN ACUMULADO]],"")</f>
        <v>0.1960431654676259</v>
      </c>
      <c r="N376">
        <f>+AV_PLAN[[#This Row],[PLAN ACUMULADO]]-AV_PLAN[[#This Row],[INICIO REAL ACUMULADO]]</f>
        <v>450</v>
      </c>
      <c r="O376">
        <f>+AV_PLAN[[#This Row],[TERMINO PLAN ACUMULADO]]-AV_PLAN[[#This Row],[TERMINO REAL ACUMULADO]]</f>
        <v>447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0.22727272727272727</v>
      </c>
      <c r="S376" s="7">
        <f>+AV_PLAN[[#This Row],[TERMINO PLAN ACUMULADO]]/$G$471</f>
        <v>0.78977272727272729</v>
      </c>
      <c r="T376" s="7">
        <f t="shared" si="11"/>
        <v>0.15482954545454544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160</v>
      </c>
      <c r="F377">
        <v>2</v>
      </c>
      <c r="G377">
        <v>558</v>
      </c>
      <c r="H377">
        <v>0</v>
      </c>
      <c r="I377">
        <v>109</v>
      </c>
      <c r="J377" t="s">
        <v>807</v>
      </c>
      <c r="K377">
        <f>+WEEKNUM(AV_PLAN[[#This Row],[Días]])</f>
        <v>9</v>
      </c>
      <c r="L377" s="4">
        <f>IFERROR(AV_PLAN[[#This Row],[INICIO REAL ACUMULADO]]/AV_PLAN[[#This Row],[PLAN ACUMULADO]],"")</f>
        <v>0.26101141924959215</v>
      </c>
      <c r="M377" s="4">
        <f>IFERROR(AV_PLAN[[#This Row],[TERMINO REAL ACUMULADO]]/AV_PLAN[[#This Row],[TERMINO PLAN ACUMULADO]],"")</f>
        <v>0.19534050179211471</v>
      </c>
      <c r="N377">
        <f>+AV_PLAN[[#This Row],[PLAN ACUMULADO]]-AV_PLAN[[#This Row],[INICIO REAL ACUMULADO]]</f>
        <v>453</v>
      </c>
      <c r="O377">
        <f>+AV_PLAN[[#This Row],[TERMINO PLAN ACUMULADO]]-AV_PLAN[[#This Row],[TERMINO REAL ACUMULADO]]</f>
        <v>449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0.22727272727272727</v>
      </c>
      <c r="S377" s="7">
        <f>+AV_PLAN[[#This Row],[TERMINO PLAN ACUMULADO]]/$G$471</f>
        <v>0.79261363636363635</v>
      </c>
      <c r="T377" s="7">
        <f t="shared" si="11"/>
        <v>0.15482954545454544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160</v>
      </c>
      <c r="F378">
        <v>1</v>
      </c>
      <c r="G378">
        <v>559</v>
      </c>
      <c r="H378">
        <v>0</v>
      </c>
      <c r="I378">
        <v>109</v>
      </c>
      <c r="J378" t="s">
        <v>807</v>
      </c>
      <c r="K378">
        <f>+WEEKNUM(AV_PLAN[[#This Row],[Días]])</f>
        <v>9</v>
      </c>
      <c r="L378" s="4">
        <f>IFERROR(AV_PLAN[[#This Row],[INICIO REAL ACUMULADO]]/AV_PLAN[[#This Row],[PLAN ACUMULADO]],"")</f>
        <v>0.26101141924959215</v>
      </c>
      <c r="M378" s="4">
        <f>IFERROR(AV_PLAN[[#This Row],[TERMINO REAL ACUMULADO]]/AV_PLAN[[#This Row],[TERMINO PLAN ACUMULADO]],"")</f>
        <v>0.19499105545617174</v>
      </c>
      <c r="N378">
        <f>+AV_PLAN[[#This Row],[PLAN ACUMULADO]]-AV_PLAN[[#This Row],[INICIO REAL ACUMULADO]]</f>
        <v>453</v>
      </c>
      <c r="O378">
        <f>+AV_PLAN[[#This Row],[TERMINO PLAN ACUMULADO]]-AV_PLAN[[#This Row],[TERMINO REAL ACUMULADO]]</f>
        <v>450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0.22727272727272727</v>
      </c>
      <c r="S378" s="7">
        <f>+AV_PLAN[[#This Row],[TERMINO PLAN ACUMULADO]]/$G$471</f>
        <v>0.79403409090909094</v>
      </c>
      <c r="T378" s="7">
        <f t="shared" si="11"/>
        <v>0.15482954545454544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160</v>
      </c>
      <c r="F379">
        <v>2</v>
      </c>
      <c r="G379">
        <v>561</v>
      </c>
      <c r="H379">
        <v>0</v>
      </c>
      <c r="I379">
        <v>109</v>
      </c>
      <c r="J379" t="s">
        <v>807</v>
      </c>
      <c r="K379">
        <f>+WEEKNUM(AV_PLAN[[#This Row],[Días]])</f>
        <v>10</v>
      </c>
      <c r="L379" s="4">
        <f>IFERROR(AV_PLAN[[#This Row],[INICIO REAL ACUMULADO]]/AV_PLAN[[#This Row],[PLAN ACUMULADO]],"")</f>
        <v>0.26101141924959215</v>
      </c>
      <c r="M379" s="4">
        <f>IFERROR(AV_PLAN[[#This Row],[TERMINO REAL ACUMULADO]]/AV_PLAN[[#This Row],[TERMINO PLAN ACUMULADO]],"")</f>
        <v>0.19429590017825313</v>
      </c>
      <c r="N379">
        <f>+AV_PLAN[[#This Row],[PLAN ACUMULADO]]-AV_PLAN[[#This Row],[INICIO REAL ACUMULADO]]</f>
        <v>453</v>
      </c>
      <c r="O379">
        <f>+AV_PLAN[[#This Row],[TERMINO PLAN ACUMULADO]]-AV_PLAN[[#This Row],[TERMINO REAL ACUMULADO]]</f>
        <v>452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0.22727272727272727</v>
      </c>
      <c r="S379" s="7">
        <f>+AV_PLAN[[#This Row],[TERMINO PLAN ACUMULADO]]/$G$471</f>
        <v>0.796875</v>
      </c>
      <c r="T379" s="7">
        <f t="shared" si="11"/>
        <v>0.15482954545454544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160</v>
      </c>
      <c r="F380">
        <v>2</v>
      </c>
      <c r="G380">
        <v>563</v>
      </c>
      <c r="H380">
        <v>0</v>
      </c>
      <c r="I380">
        <v>109</v>
      </c>
      <c r="J380" t="s">
        <v>808</v>
      </c>
      <c r="K380">
        <f>+WEEKNUM(AV_PLAN[[#This Row],[Días]])</f>
        <v>10</v>
      </c>
      <c r="L380" s="4">
        <f>IFERROR(AV_PLAN[[#This Row],[INICIO REAL ACUMULADO]]/AV_PLAN[[#This Row],[PLAN ACUMULADO]],"")</f>
        <v>0.25974025974025972</v>
      </c>
      <c r="M380" s="4">
        <f>IFERROR(AV_PLAN[[#This Row],[TERMINO REAL ACUMULADO]]/AV_PLAN[[#This Row],[TERMINO PLAN ACUMULADO]],"")</f>
        <v>0.19360568383658969</v>
      </c>
      <c r="N380">
        <f>+AV_PLAN[[#This Row],[PLAN ACUMULADO]]-AV_PLAN[[#This Row],[INICIO REAL ACUMULADO]]</f>
        <v>456</v>
      </c>
      <c r="O380">
        <f>+AV_PLAN[[#This Row],[TERMINO PLAN ACUMULADO]]-AV_PLAN[[#This Row],[TERMINO REAL ACUMULADO]]</f>
        <v>454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0.22727272727272727</v>
      </c>
      <c r="S380" s="7">
        <f>+AV_PLAN[[#This Row],[TERMINO PLAN ACUMULADO]]/$G$471</f>
        <v>0.79971590909090906</v>
      </c>
      <c r="T380" s="7">
        <f t="shared" si="11"/>
        <v>0.15482954545454544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160</v>
      </c>
      <c r="F381">
        <v>2</v>
      </c>
      <c r="G381">
        <v>565</v>
      </c>
      <c r="H381">
        <v>0</v>
      </c>
      <c r="I381">
        <v>109</v>
      </c>
      <c r="J381" t="s">
        <v>808</v>
      </c>
      <c r="K381">
        <f>+WEEKNUM(AV_PLAN[[#This Row],[Días]])</f>
        <v>10</v>
      </c>
      <c r="L381" s="4">
        <f>IFERROR(AV_PLAN[[#This Row],[INICIO REAL ACUMULADO]]/AV_PLAN[[#This Row],[PLAN ACUMULADO]],"")</f>
        <v>0.25848142164781907</v>
      </c>
      <c r="M381" s="4">
        <f>IFERROR(AV_PLAN[[#This Row],[TERMINO REAL ACUMULADO]]/AV_PLAN[[#This Row],[TERMINO PLAN ACUMULADO]],"")</f>
        <v>0.1929203539823009</v>
      </c>
      <c r="N381">
        <f>+AV_PLAN[[#This Row],[PLAN ACUMULADO]]-AV_PLAN[[#This Row],[INICIO REAL ACUMULADO]]</f>
        <v>459</v>
      </c>
      <c r="O381">
        <f>+AV_PLAN[[#This Row],[TERMINO PLAN ACUMULADO]]-AV_PLAN[[#This Row],[TERMINO REAL ACUMULADO]]</f>
        <v>456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0.22727272727272727</v>
      </c>
      <c r="S381" s="7">
        <f>+AV_PLAN[[#This Row],[TERMINO PLAN ACUMULADO]]/$G$471</f>
        <v>0.80255681818181823</v>
      </c>
      <c r="T381" s="7">
        <f t="shared" si="11"/>
        <v>0.15482954545454544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160</v>
      </c>
      <c r="F382">
        <v>3</v>
      </c>
      <c r="G382">
        <v>568</v>
      </c>
      <c r="H382">
        <v>0</v>
      </c>
      <c r="I382">
        <v>109</v>
      </c>
      <c r="J382" t="s">
        <v>808</v>
      </c>
      <c r="K382">
        <f>+WEEKNUM(AV_PLAN[[#This Row],[Días]])</f>
        <v>10</v>
      </c>
      <c r="L382" s="4">
        <f>IFERROR(AV_PLAN[[#This Row],[INICIO REAL ACUMULADO]]/AV_PLAN[[#This Row],[PLAN ACUMULADO]],"")</f>
        <v>0.25723472668810288</v>
      </c>
      <c r="M382" s="4">
        <f>IFERROR(AV_PLAN[[#This Row],[TERMINO REAL ACUMULADO]]/AV_PLAN[[#This Row],[TERMINO PLAN ACUMULADO]],"")</f>
        <v>0.19190140845070422</v>
      </c>
      <c r="N382">
        <f>+AV_PLAN[[#This Row],[PLAN ACUMULADO]]-AV_PLAN[[#This Row],[INICIO REAL ACUMULADO]]</f>
        <v>462</v>
      </c>
      <c r="O382">
        <f>+AV_PLAN[[#This Row],[TERMINO PLAN ACUMULADO]]-AV_PLAN[[#This Row],[TERMINO REAL ACUMULADO]]</f>
        <v>459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0.22727272727272727</v>
      </c>
      <c r="S382" s="7">
        <f>+AV_PLAN[[#This Row],[TERMINO PLAN ACUMULADO]]/$G$471</f>
        <v>0.80681818181818177</v>
      </c>
      <c r="T382" s="7">
        <f t="shared" si="11"/>
        <v>0.15482954545454544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160</v>
      </c>
      <c r="F383">
        <v>3</v>
      </c>
      <c r="G383">
        <v>571</v>
      </c>
      <c r="H383">
        <v>0</v>
      </c>
      <c r="I383">
        <v>109</v>
      </c>
      <c r="J383" t="s">
        <v>808</v>
      </c>
      <c r="K383">
        <f>+WEEKNUM(AV_PLAN[[#This Row],[Días]])</f>
        <v>10</v>
      </c>
      <c r="L383" s="4">
        <f>IFERROR(AV_PLAN[[#This Row],[INICIO REAL ACUMULADO]]/AV_PLAN[[#This Row],[PLAN ACUMULADO]],"")</f>
        <v>0.25600000000000001</v>
      </c>
      <c r="M383" s="4">
        <f>IFERROR(AV_PLAN[[#This Row],[TERMINO REAL ACUMULADO]]/AV_PLAN[[#This Row],[TERMINO PLAN ACUMULADO]],"")</f>
        <v>0.19089316987740806</v>
      </c>
      <c r="N383">
        <f>+AV_PLAN[[#This Row],[PLAN ACUMULADO]]-AV_PLAN[[#This Row],[INICIO REAL ACUMULADO]]</f>
        <v>465</v>
      </c>
      <c r="O383">
        <f>+AV_PLAN[[#This Row],[TERMINO PLAN ACUMULADO]]-AV_PLAN[[#This Row],[TERMINO REAL ACUMULADO]]</f>
        <v>462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0.22727272727272727</v>
      </c>
      <c r="S383" s="7">
        <f>+AV_PLAN[[#This Row],[TERMINO PLAN ACUMULADO]]/$G$471</f>
        <v>0.81107954545454541</v>
      </c>
      <c r="T383" s="7">
        <f t="shared" si="11"/>
        <v>0.15482954545454544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160</v>
      </c>
      <c r="F384">
        <v>1</v>
      </c>
      <c r="G384">
        <v>572</v>
      </c>
      <c r="H384">
        <v>0</v>
      </c>
      <c r="I384">
        <v>109</v>
      </c>
      <c r="J384" t="s">
        <v>808</v>
      </c>
      <c r="K384">
        <f>+WEEKNUM(AV_PLAN[[#This Row],[Días]])</f>
        <v>10</v>
      </c>
      <c r="L384" s="4">
        <f>IFERROR(AV_PLAN[[#This Row],[INICIO REAL ACUMULADO]]/AV_PLAN[[#This Row],[PLAN ACUMULADO]],"")</f>
        <v>0.25477707006369427</v>
      </c>
      <c r="M384" s="4">
        <f>IFERROR(AV_PLAN[[#This Row],[TERMINO REAL ACUMULADO]]/AV_PLAN[[#This Row],[TERMINO PLAN ACUMULADO]],"")</f>
        <v>0.19055944055944055</v>
      </c>
      <c r="N384">
        <f>+AV_PLAN[[#This Row],[PLAN ACUMULADO]]-AV_PLAN[[#This Row],[INICIO REAL ACUMULADO]]</f>
        <v>468</v>
      </c>
      <c r="O384">
        <f>+AV_PLAN[[#This Row],[TERMINO PLAN ACUMULADO]]-AV_PLAN[[#This Row],[TERMINO REAL ACUMULADO]]</f>
        <v>463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0.22727272727272727</v>
      </c>
      <c r="S384" s="7">
        <f>+AV_PLAN[[#This Row],[TERMINO PLAN ACUMULADO]]/$G$471</f>
        <v>0.8125</v>
      </c>
      <c r="T384" s="7">
        <f t="shared" si="11"/>
        <v>0.15482954545454544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160</v>
      </c>
      <c r="F385">
        <v>1</v>
      </c>
      <c r="G385">
        <v>573</v>
      </c>
      <c r="H385">
        <v>0</v>
      </c>
      <c r="I385">
        <v>109</v>
      </c>
      <c r="J385" t="s">
        <v>808</v>
      </c>
      <c r="K385">
        <f>+WEEKNUM(AV_PLAN[[#This Row],[Días]])</f>
        <v>10</v>
      </c>
      <c r="L385" s="4">
        <f>IFERROR(AV_PLAN[[#This Row],[INICIO REAL ACUMULADO]]/AV_PLAN[[#This Row],[PLAN ACUMULADO]],"")</f>
        <v>0.25477707006369427</v>
      </c>
      <c r="M385" s="4">
        <f>IFERROR(AV_PLAN[[#This Row],[TERMINO REAL ACUMULADO]]/AV_PLAN[[#This Row],[TERMINO PLAN ACUMULADO]],"")</f>
        <v>0.19022687609075042</v>
      </c>
      <c r="N385">
        <f>+AV_PLAN[[#This Row],[PLAN ACUMULADO]]-AV_PLAN[[#This Row],[INICIO REAL ACUMULADO]]</f>
        <v>468</v>
      </c>
      <c r="O385">
        <f>+AV_PLAN[[#This Row],[TERMINO PLAN ACUMULADO]]-AV_PLAN[[#This Row],[TERMINO REAL ACUMULADO]]</f>
        <v>464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0.22727272727272727</v>
      </c>
      <c r="S385" s="7">
        <f>+AV_PLAN[[#This Row],[TERMINO PLAN ACUMULADO]]/$G$471</f>
        <v>0.81392045454545459</v>
      </c>
      <c r="T385" s="7">
        <f t="shared" si="11"/>
        <v>0.15482954545454544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160</v>
      </c>
      <c r="F386">
        <v>4</v>
      </c>
      <c r="G386">
        <v>577</v>
      </c>
      <c r="H386">
        <v>0</v>
      </c>
      <c r="I386">
        <v>109</v>
      </c>
      <c r="J386" t="s">
        <v>808</v>
      </c>
      <c r="K386">
        <f>+WEEKNUM(AV_PLAN[[#This Row],[Días]])</f>
        <v>11</v>
      </c>
      <c r="L386" s="4">
        <f>IFERROR(AV_PLAN[[#This Row],[INICIO REAL ACUMULADO]]/AV_PLAN[[#This Row],[PLAN ACUMULADO]],"")</f>
        <v>0.25477707006369427</v>
      </c>
      <c r="M386" s="4">
        <f>IFERROR(AV_PLAN[[#This Row],[TERMINO REAL ACUMULADO]]/AV_PLAN[[#This Row],[TERMINO PLAN ACUMULADO]],"")</f>
        <v>0.18890814558058924</v>
      </c>
      <c r="N386">
        <f>+AV_PLAN[[#This Row],[PLAN ACUMULADO]]-AV_PLAN[[#This Row],[INICIO REAL ACUMULADO]]</f>
        <v>468</v>
      </c>
      <c r="O386">
        <f>+AV_PLAN[[#This Row],[TERMINO PLAN ACUMULADO]]-AV_PLAN[[#This Row],[TERMINO REAL ACUMULADO]]</f>
        <v>468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0.22727272727272727</v>
      </c>
      <c r="S386" s="7">
        <f>+AV_PLAN[[#This Row],[TERMINO PLAN ACUMULADO]]/$G$471</f>
        <v>0.81960227272727271</v>
      </c>
      <c r="T386" s="7">
        <f t="shared" ref="T386:T449" si="13">IF(H386="",NA(),I386/$G$471)</f>
        <v>0.15482954545454544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160</v>
      </c>
      <c r="F387">
        <v>2</v>
      </c>
      <c r="G387">
        <v>579</v>
      </c>
      <c r="H387">
        <v>0</v>
      </c>
      <c r="I387">
        <v>109</v>
      </c>
      <c r="J387" t="s">
        <v>808</v>
      </c>
      <c r="K387">
        <f>+WEEKNUM(AV_PLAN[[#This Row],[Días]])</f>
        <v>11</v>
      </c>
      <c r="L387" s="4">
        <f>IFERROR(AV_PLAN[[#This Row],[INICIO REAL ACUMULADO]]/AV_PLAN[[#This Row],[PLAN ACUMULADO]],"")</f>
        <v>0.25356576862123614</v>
      </c>
      <c r="M387" s="4">
        <f>IFERROR(AV_PLAN[[#This Row],[TERMINO REAL ACUMULADO]]/AV_PLAN[[#This Row],[TERMINO PLAN ACUMULADO]],"")</f>
        <v>0.18825561312607944</v>
      </c>
      <c r="N387">
        <f>+AV_PLAN[[#This Row],[PLAN ACUMULADO]]-AV_PLAN[[#This Row],[INICIO REAL ACUMULADO]]</f>
        <v>471</v>
      </c>
      <c r="O387">
        <f>+AV_PLAN[[#This Row],[TERMINO PLAN ACUMULADO]]-AV_PLAN[[#This Row],[TERMINO REAL ACUMULADO]]</f>
        <v>470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0.22727272727272727</v>
      </c>
      <c r="S387" s="7">
        <f>+AV_PLAN[[#This Row],[TERMINO PLAN ACUMULADO]]/$G$471</f>
        <v>0.82244318181818177</v>
      </c>
      <c r="T387" s="7">
        <f t="shared" si="13"/>
        <v>0.15482954545454544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160</v>
      </c>
      <c r="F388">
        <v>1</v>
      </c>
      <c r="G388">
        <v>580</v>
      </c>
      <c r="H388">
        <v>0</v>
      </c>
      <c r="I388">
        <v>109</v>
      </c>
      <c r="J388" t="s">
        <v>808</v>
      </c>
      <c r="K388">
        <f>+WEEKNUM(AV_PLAN[[#This Row],[Días]])</f>
        <v>11</v>
      </c>
      <c r="L388" s="4">
        <f>IFERROR(AV_PLAN[[#This Row],[INICIO REAL ACUMULADO]]/AV_PLAN[[#This Row],[PLAN ACUMULADO]],"")</f>
        <v>0.25236593059936907</v>
      </c>
      <c r="M388" s="4">
        <f>IFERROR(AV_PLAN[[#This Row],[TERMINO REAL ACUMULADO]]/AV_PLAN[[#This Row],[TERMINO PLAN ACUMULADO]],"")</f>
        <v>0.18793103448275861</v>
      </c>
      <c r="N388">
        <f>+AV_PLAN[[#This Row],[PLAN ACUMULADO]]-AV_PLAN[[#This Row],[INICIO REAL ACUMULADO]]</f>
        <v>474</v>
      </c>
      <c r="O388">
        <f>+AV_PLAN[[#This Row],[TERMINO PLAN ACUMULADO]]-AV_PLAN[[#This Row],[TERMINO REAL ACUMULADO]]</f>
        <v>471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0.22727272727272727</v>
      </c>
      <c r="S388" s="7">
        <f>+AV_PLAN[[#This Row],[TERMINO PLAN ACUMULADO]]/$G$471</f>
        <v>0.82386363636363635</v>
      </c>
      <c r="T388" s="7">
        <f t="shared" si="13"/>
        <v>0.15482954545454544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160</v>
      </c>
      <c r="F389">
        <v>3</v>
      </c>
      <c r="G389">
        <v>583</v>
      </c>
      <c r="H389">
        <v>0</v>
      </c>
      <c r="I389">
        <v>109</v>
      </c>
      <c r="J389" t="s">
        <v>808</v>
      </c>
      <c r="K389">
        <f>+WEEKNUM(AV_PLAN[[#This Row],[Días]])</f>
        <v>11</v>
      </c>
      <c r="L389" s="4">
        <f>IFERROR(AV_PLAN[[#This Row],[INICIO REAL ACUMULADO]]/AV_PLAN[[#This Row],[PLAN ACUMULADO]],"")</f>
        <v>0.25117739403453687</v>
      </c>
      <c r="M389" s="4">
        <f>IFERROR(AV_PLAN[[#This Row],[TERMINO REAL ACUMULADO]]/AV_PLAN[[#This Row],[TERMINO PLAN ACUMULADO]],"")</f>
        <v>0.18696397941680962</v>
      </c>
      <c r="N389">
        <f>+AV_PLAN[[#This Row],[PLAN ACUMULADO]]-AV_PLAN[[#This Row],[INICIO REAL ACUMULADO]]</f>
        <v>477</v>
      </c>
      <c r="O389">
        <f>+AV_PLAN[[#This Row],[TERMINO PLAN ACUMULADO]]-AV_PLAN[[#This Row],[TERMINO REAL ACUMULADO]]</f>
        <v>474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0.22727272727272727</v>
      </c>
      <c r="S389" s="7">
        <f>+AV_PLAN[[#This Row],[TERMINO PLAN ACUMULADO]]/$G$471</f>
        <v>0.828125</v>
      </c>
      <c r="T389" s="7">
        <f t="shared" si="13"/>
        <v>0.15482954545454544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160</v>
      </c>
      <c r="F390">
        <v>3</v>
      </c>
      <c r="G390">
        <v>586</v>
      </c>
      <c r="H390">
        <v>0</v>
      </c>
      <c r="I390">
        <v>109</v>
      </c>
      <c r="J390" t="s">
        <v>808</v>
      </c>
      <c r="K390">
        <f>+WEEKNUM(AV_PLAN[[#This Row],[Días]])</f>
        <v>11</v>
      </c>
      <c r="L390" s="4">
        <f>IFERROR(AV_PLAN[[#This Row],[INICIO REAL ACUMULADO]]/AV_PLAN[[#This Row],[PLAN ACUMULADO]],"")</f>
        <v>0.25</v>
      </c>
      <c r="M390" s="4">
        <f>IFERROR(AV_PLAN[[#This Row],[TERMINO REAL ACUMULADO]]/AV_PLAN[[#This Row],[TERMINO PLAN ACUMULADO]],"")</f>
        <v>0.18600682593856654</v>
      </c>
      <c r="N390">
        <f>+AV_PLAN[[#This Row],[PLAN ACUMULADO]]-AV_PLAN[[#This Row],[INICIO REAL ACUMULADO]]</f>
        <v>480</v>
      </c>
      <c r="O390">
        <f>+AV_PLAN[[#This Row],[TERMINO PLAN ACUMULADO]]-AV_PLAN[[#This Row],[TERMINO REAL ACUMULADO]]</f>
        <v>477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0.22727272727272727</v>
      </c>
      <c r="S390" s="7">
        <f>+AV_PLAN[[#This Row],[TERMINO PLAN ACUMULADO]]/$G$471</f>
        <v>0.83238636363636365</v>
      </c>
      <c r="T390" s="7">
        <f t="shared" si="13"/>
        <v>0.15482954545454544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160</v>
      </c>
      <c r="F391">
        <v>1</v>
      </c>
      <c r="G391">
        <v>587</v>
      </c>
      <c r="H391">
        <v>0</v>
      </c>
      <c r="I391">
        <v>109</v>
      </c>
      <c r="J391" t="s">
        <v>808</v>
      </c>
      <c r="K391">
        <f>+WEEKNUM(AV_PLAN[[#This Row],[Días]])</f>
        <v>11</v>
      </c>
      <c r="L391" s="4">
        <f>IFERROR(AV_PLAN[[#This Row],[INICIO REAL ACUMULADO]]/AV_PLAN[[#This Row],[PLAN ACUMULADO]],"")</f>
        <v>0.24883359253499224</v>
      </c>
      <c r="M391" s="4">
        <f>IFERROR(AV_PLAN[[#This Row],[TERMINO REAL ACUMULADO]]/AV_PLAN[[#This Row],[TERMINO PLAN ACUMULADO]],"")</f>
        <v>0.18568994889267462</v>
      </c>
      <c r="N391">
        <f>+AV_PLAN[[#This Row],[PLAN ACUMULADO]]-AV_PLAN[[#This Row],[INICIO REAL ACUMULADO]]</f>
        <v>483</v>
      </c>
      <c r="O391">
        <f>+AV_PLAN[[#This Row],[TERMINO PLAN ACUMULADO]]-AV_PLAN[[#This Row],[TERMINO REAL ACUMULADO]]</f>
        <v>478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0.22727272727272727</v>
      </c>
      <c r="S391" s="7">
        <f>+AV_PLAN[[#This Row],[TERMINO PLAN ACUMULADO]]/$G$471</f>
        <v>0.83380681818181823</v>
      </c>
      <c r="T391" s="7">
        <f t="shared" si="13"/>
        <v>0.15482954545454544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160</v>
      </c>
      <c r="F392">
        <v>2</v>
      </c>
      <c r="G392">
        <v>589</v>
      </c>
      <c r="H392">
        <v>0</v>
      </c>
      <c r="I392">
        <v>109</v>
      </c>
      <c r="J392" t="s">
        <v>808</v>
      </c>
      <c r="K392">
        <f>+WEEKNUM(AV_PLAN[[#This Row],[Días]])</f>
        <v>11</v>
      </c>
      <c r="L392" s="4">
        <f>IFERROR(AV_PLAN[[#This Row],[INICIO REAL ACUMULADO]]/AV_PLAN[[#This Row],[PLAN ACUMULADO]],"")</f>
        <v>0.24883359253499224</v>
      </c>
      <c r="M392" s="4">
        <f>IFERROR(AV_PLAN[[#This Row],[TERMINO REAL ACUMULADO]]/AV_PLAN[[#This Row],[TERMINO PLAN ACUMULADO]],"")</f>
        <v>0.18505942275042445</v>
      </c>
      <c r="N392">
        <f>+AV_PLAN[[#This Row],[PLAN ACUMULADO]]-AV_PLAN[[#This Row],[INICIO REAL ACUMULADO]]</f>
        <v>483</v>
      </c>
      <c r="O392">
        <f>+AV_PLAN[[#This Row],[TERMINO PLAN ACUMULADO]]-AV_PLAN[[#This Row],[TERMINO REAL ACUMULADO]]</f>
        <v>480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0.22727272727272727</v>
      </c>
      <c r="S392" s="7">
        <f>+AV_PLAN[[#This Row],[TERMINO PLAN ACUMULADO]]/$G$471</f>
        <v>0.83664772727272729</v>
      </c>
      <c r="T392" s="7">
        <f t="shared" si="13"/>
        <v>0.15482954545454544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160</v>
      </c>
      <c r="F393">
        <v>4</v>
      </c>
      <c r="G393">
        <v>593</v>
      </c>
      <c r="H393">
        <v>0</v>
      </c>
      <c r="I393">
        <v>109</v>
      </c>
      <c r="J393" t="s">
        <v>808</v>
      </c>
      <c r="K393">
        <f>+WEEKNUM(AV_PLAN[[#This Row],[Días]])</f>
        <v>12</v>
      </c>
      <c r="L393" s="4">
        <f>IFERROR(AV_PLAN[[#This Row],[INICIO REAL ACUMULADO]]/AV_PLAN[[#This Row],[PLAN ACUMULADO]],"")</f>
        <v>0.24883359253499224</v>
      </c>
      <c r="M393" s="4">
        <f>IFERROR(AV_PLAN[[#This Row],[TERMINO REAL ACUMULADO]]/AV_PLAN[[#This Row],[TERMINO PLAN ACUMULADO]],"")</f>
        <v>0.18381112984822934</v>
      </c>
      <c r="N393">
        <f>+AV_PLAN[[#This Row],[PLAN ACUMULADO]]-AV_PLAN[[#This Row],[INICIO REAL ACUMULADO]]</f>
        <v>483</v>
      </c>
      <c r="O393">
        <f>+AV_PLAN[[#This Row],[TERMINO PLAN ACUMULADO]]-AV_PLAN[[#This Row],[TERMINO REAL ACUMULADO]]</f>
        <v>484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0.22727272727272727</v>
      </c>
      <c r="S393" s="7">
        <f>+AV_PLAN[[#This Row],[TERMINO PLAN ACUMULADO]]/$G$471</f>
        <v>0.84232954545454541</v>
      </c>
      <c r="T393" s="7">
        <f t="shared" si="13"/>
        <v>0.15482954545454544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160</v>
      </c>
      <c r="F394">
        <v>1</v>
      </c>
      <c r="G394">
        <v>594</v>
      </c>
      <c r="H394">
        <v>0</v>
      </c>
      <c r="I394">
        <v>109</v>
      </c>
      <c r="J394" t="s">
        <v>808</v>
      </c>
      <c r="K394">
        <f>+WEEKNUM(AV_PLAN[[#This Row],[Días]])</f>
        <v>12</v>
      </c>
      <c r="L394" s="4">
        <f>IFERROR(AV_PLAN[[#This Row],[INICIO REAL ACUMULADO]]/AV_PLAN[[#This Row],[PLAN ACUMULADO]],"")</f>
        <v>0.24767801857585139</v>
      </c>
      <c r="M394" s="4">
        <f>IFERROR(AV_PLAN[[#This Row],[TERMINO REAL ACUMULADO]]/AV_PLAN[[#This Row],[TERMINO PLAN ACUMULADO]],"")</f>
        <v>0.1835016835016835</v>
      </c>
      <c r="N394">
        <f>+AV_PLAN[[#This Row],[PLAN ACUMULADO]]-AV_PLAN[[#This Row],[INICIO REAL ACUMULADO]]</f>
        <v>486</v>
      </c>
      <c r="O394">
        <f>+AV_PLAN[[#This Row],[TERMINO PLAN ACUMULADO]]-AV_PLAN[[#This Row],[TERMINO REAL ACUMULADO]]</f>
        <v>485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0.22727272727272727</v>
      </c>
      <c r="S394" s="7">
        <f>+AV_PLAN[[#This Row],[TERMINO PLAN ACUMULADO]]/$G$471</f>
        <v>0.84375</v>
      </c>
      <c r="T394" s="7">
        <f t="shared" si="13"/>
        <v>0.15482954545454544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160</v>
      </c>
      <c r="F395">
        <v>1</v>
      </c>
      <c r="G395">
        <v>595</v>
      </c>
      <c r="H395">
        <v>0</v>
      </c>
      <c r="I395">
        <v>109</v>
      </c>
      <c r="J395" t="s">
        <v>808</v>
      </c>
      <c r="K395">
        <f>+WEEKNUM(AV_PLAN[[#This Row],[Días]])</f>
        <v>12</v>
      </c>
      <c r="L395" s="4">
        <f>IFERROR(AV_PLAN[[#This Row],[INICIO REAL ACUMULADO]]/AV_PLAN[[#This Row],[PLAN ACUMULADO]],"")</f>
        <v>0.24653312788906009</v>
      </c>
      <c r="M395" s="4">
        <f>IFERROR(AV_PLAN[[#This Row],[TERMINO REAL ACUMULADO]]/AV_PLAN[[#This Row],[TERMINO PLAN ACUMULADO]],"")</f>
        <v>0.18319327731092436</v>
      </c>
      <c r="N395">
        <f>+AV_PLAN[[#This Row],[PLAN ACUMULADO]]-AV_PLAN[[#This Row],[INICIO REAL ACUMULADO]]</f>
        <v>489</v>
      </c>
      <c r="O395">
        <f>+AV_PLAN[[#This Row],[TERMINO PLAN ACUMULADO]]-AV_PLAN[[#This Row],[TERMINO REAL ACUMULADO]]</f>
        <v>486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0.22727272727272727</v>
      </c>
      <c r="S395" s="7">
        <f>+AV_PLAN[[#This Row],[TERMINO PLAN ACUMULADO]]/$G$471</f>
        <v>0.84517045454545459</v>
      </c>
      <c r="T395" s="7">
        <f t="shared" si="13"/>
        <v>0.15482954545454544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160</v>
      </c>
      <c r="F396">
        <v>3</v>
      </c>
      <c r="G396">
        <v>598</v>
      </c>
      <c r="H396">
        <v>0</v>
      </c>
      <c r="I396">
        <v>109</v>
      </c>
      <c r="J396" t="s">
        <v>808</v>
      </c>
      <c r="K396">
        <f>+WEEKNUM(AV_PLAN[[#This Row],[Días]])</f>
        <v>12</v>
      </c>
      <c r="L396" s="4">
        <f>IFERROR(AV_PLAN[[#This Row],[INICIO REAL ACUMULADO]]/AV_PLAN[[#This Row],[PLAN ACUMULADO]],"")</f>
        <v>0.24539877300613497</v>
      </c>
      <c r="M396" s="4">
        <f>IFERROR(AV_PLAN[[#This Row],[TERMINO REAL ACUMULADO]]/AV_PLAN[[#This Row],[TERMINO PLAN ACUMULADO]],"")</f>
        <v>0.18227424749163879</v>
      </c>
      <c r="N396">
        <f>+AV_PLAN[[#This Row],[PLAN ACUMULADO]]-AV_PLAN[[#This Row],[INICIO REAL ACUMULADO]]</f>
        <v>492</v>
      </c>
      <c r="O396">
        <f>+AV_PLAN[[#This Row],[TERMINO PLAN ACUMULADO]]-AV_PLAN[[#This Row],[TERMINO REAL ACUMULADO]]</f>
        <v>489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0.22727272727272727</v>
      </c>
      <c r="S396" s="7">
        <f>+AV_PLAN[[#This Row],[TERMINO PLAN ACUMULADO]]/$G$471</f>
        <v>0.84943181818181823</v>
      </c>
      <c r="T396" s="7">
        <f t="shared" si="13"/>
        <v>0.15482954545454544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160</v>
      </c>
      <c r="F397">
        <v>3</v>
      </c>
      <c r="G397">
        <v>601</v>
      </c>
      <c r="H397">
        <v>0</v>
      </c>
      <c r="I397">
        <v>109</v>
      </c>
      <c r="J397" t="s">
        <v>808</v>
      </c>
      <c r="K397">
        <f>+WEEKNUM(AV_PLAN[[#This Row],[Días]])</f>
        <v>12</v>
      </c>
      <c r="L397" s="4">
        <f>IFERROR(AV_PLAN[[#This Row],[INICIO REAL ACUMULADO]]/AV_PLAN[[#This Row],[PLAN ACUMULADO]],"")</f>
        <v>0.24427480916030533</v>
      </c>
      <c r="M397" s="4">
        <f>IFERROR(AV_PLAN[[#This Row],[TERMINO REAL ACUMULADO]]/AV_PLAN[[#This Row],[TERMINO PLAN ACUMULADO]],"")</f>
        <v>0.18136439267886856</v>
      </c>
      <c r="N397">
        <f>+AV_PLAN[[#This Row],[PLAN ACUMULADO]]-AV_PLAN[[#This Row],[INICIO REAL ACUMULADO]]</f>
        <v>495</v>
      </c>
      <c r="O397">
        <f>+AV_PLAN[[#This Row],[TERMINO PLAN ACUMULADO]]-AV_PLAN[[#This Row],[TERMINO REAL ACUMULADO]]</f>
        <v>492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0.22727272727272727</v>
      </c>
      <c r="S397" s="7">
        <f>+AV_PLAN[[#This Row],[TERMINO PLAN ACUMULADO]]/$G$471</f>
        <v>0.85369318181818177</v>
      </c>
      <c r="T397" s="7">
        <f t="shared" si="13"/>
        <v>0.15482954545454544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160</v>
      </c>
      <c r="F398">
        <v>2</v>
      </c>
      <c r="G398">
        <v>603</v>
      </c>
      <c r="H398">
        <v>0</v>
      </c>
      <c r="I398">
        <v>109</v>
      </c>
      <c r="J398" t="s">
        <v>808</v>
      </c>
      <c r="K398">
        <f>+WEEKNUM(AV_PLAN[[#This Row],[Días]])</f>
        <v>12</v>
      </c>
      <c r="L398" s="4">
        <f>IFERROR(AV_PLAN[[#This Row],[INICIO REAL ACUMULADO]]/AV_PLAN[[#This Row],[PLAN ACUMULADO]],"")</f>
        <v>0.24316109422492402</v>
      </c>
      <c r="M398" s="4">
        <f>IFERROR(AV_PLAN[[#This Row],[TERMINO REAL ACUMULADO]]/AV_PLAN[[#This Row],[TERMINO PLAN ACUMULADO]],"")</f>
        <v>0.18076285240464346</v>
      </c>
      <c r="N398">
        <f>+AV_PLAN[[#This Row],[PLAN ACUMULADO]]-AV_PLAN[[#This Row],[INICIO REAL ACUMULADO]]</f>
        <v>498</v>
      </c>
      <c r="O398">
        <f>+AV_PLAN[[#This Row],[TERMINO PLAN ACUMULADO]]-AV_PLAN[[#This Row],[TERMINO REAL ACUMULADO]]</f>
        <v>494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0.22727272727272727</v>
      </c>
      <c r="S398" s="7">
        <f>+AV_PLAN[[#This Row],[TERMINO PLAN ACUMULADO]]/$G$471</f>
        <v>0.85653409090909094</v>
      </c>
      <c r="T398" s="7">
        <f t="shared" si="13"/>
        <v>0.15482954545454544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160</v>
      </c>
      <c r="F399">
        <v>2</v>
      </c>
      <c r="G399">
        <v>605</v>
      </c>
      <c r="H399">
        <v>0</v>
      </c>
      <c r="I399">
        <v>109</v>
      </c>
      <c r="J399" t="s">
        <v>808</v>
      </c>
      <c r="K399">
        <f>+WEEKNUM(AV_PLAN[[#This Row],[Días]])</f>
        <v>12</v>
      </c>
      <c r="L399" s="4">
        <f>IFERROR(AV_PLAN[[#This Row],[INICIO REAL ACUMULADO]]/AV_PLAN[[#This Row],[PLAN ACUMULADO]],"")</f>
        <v>0.24316109422492402</v>
      </c>
      <c r="M399" s="4">
        <f>IFERROR(AV_PLAN[[#This Row],[TERMINO REAL ACUMULADO]]/AV_PLAN[[#This Row],[TERMINO PLAN ACUMULADO]],"")</f>
        <v>0.18016528925619835</v>
      </c>
      <c r="N399">
        <f>+AV_PLAN[[#This Row],[PLAN ACUMULADO]]-AV_PLAN[[#This Row],[INICIO REAL ACUMULADO]]</f>
        <v>498</v>
      </c>
      <c r="O399">
        <f>+AV_PLAN[[#This Row],[TERMINO PLAN ACUMULADO]]-AV_PLAN[[#This Row],[TERMINO REAL ACUMULADO]]</f>
        <v>496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0.22727272727272727</v>
      </c>
      <c r="S399" s="7">
        <f>+AV_PLAN[[#This Row],[TERMINO PLAN ACUMULADO]]/$G$471</f>
        <v>0.859375</v>
      </c>
      <c r="T399" s="7">
        <f t="shared" si="13"/>
        <v>0.15482954545454544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160</v>
      </c>
      <c r="F400">
        <v>2</v>
      </c>
      <c r="G400">
        <v>607</v>
      </c>
      <c r="H400">
        <v>0</v>
      </c>
      <c r="I400">
        <v>109</v>
      </c>
      <c r="J400" t="s">
        <v>808</v>
      </c>
      <c r="K400">
        <f>+WEEKNUM(AV_PLAN[[#This Row],[Días]])</f>
        <v>13</v>
      </c>
      <c r="L400" s="4">
        <f>IFERROR(AV_PLAN[[#This Row],[INICIO REAL ACUMULADO]]/AV_PLAN[[#This Row],[PLAN ACUMULADO]],"")</f>
        <v>0.24316109422492402</v>
      </c>
      <c r="M400" s="4">
        <f>IFERROR(AV_PLAN[[#This Row],[TERMINO REAL ACUMULADO]]/AV_PLAN[[#This Row],[TERMINO PLAN ACUMULADO]],"")</f>
        <v>0.17957166392092258</v>
      </c>
      <c r="N400">
        <f>+AV_PLAN[[#This Row],[PLAN ACUMULADO]]-AV_PLAN[[#This Row],[INICIO REAL ACUMULADO]]</f>
        <v>498</v>
      </c>
      <c r="O400">
        <f>+AV_PLAN[[#This Row],[TERMINO PLAN ACUMULADO]]-AV_PLAN[[#This Row],[TERMINO REAL ACUMULADO]]</f>
        <v>498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0.22727272727272727</v>
      </c>
      <c r="S400" s="7">
        <f>+AV_PLAN[[#This Row],[TERMINO PLAN ACUMULADO]]/$G$471</f>
        <v>0.86221590909090906</v>
      </c>
      <c r="T400" s="7">
        <f t="shared" si="13"/>
        <v>0.15482954545454544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160</v>
      </c>
      <c r="F401">
        <v>1</v>
      </c>
      <c r="G401">
        <v>608</v>
      </c>
      <c r="H401">
        <v>0</v>
      </c>
      <c r="I401">
        <v>109</v>
      </c>
      <c r="J401" t="s">
        <v>808</v>
      </c>
      <c r="K401">
        <f>+WEEKNUM(AV_PLAN[[#This Row],[Días]])</f>
        <v>13</v>
      </c>
      <c r="L401" s="4">
        <f>IFERROR(AV_PLAN[[#This Row],[INICIO REAL ACUMULADO]]/AV_PLAN[[#This Row],[PLAN ACUMULADO]],"")</f>
        <v>0.24205748865355523</v>
      </c>
      <c r="M401" s="4">
        <f>IFERROR(AV_PLAN[[#This Row],[TERMINO REAL ACUMULADO]]/AV_PLAN[[#This Row],[TERMINO PLAN ACUMULADO]],"")</f>
        <v>0.17927631578947367</v>
      </c>
      <c r="N401">
        <f>+AV_PLAN[[#This Row],[PLAN ACUMULADO]]-AV_PLAN[[#This Row],[INICIO REAL ACUMULADO]]</f>
        <v>501</v>
      </c>
      <c r="O401">
        <f>+AV_PLAN[[#This Row],[TERMINO PLAN ACUMULADO]]-AV_PLAN[[#This Row],[TERMINO REAL ACUMULADO]]</f>
        <v>499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0.22727272727272727</v>
      </c>
      <c r="S401" s="7">
        <f>+AV_PLAN[[#This Row],[TERMINO PLAN ACUMULADO]]/$G$471</f>
        <v>0.86363636363636365</v>
      </c>
      <c r="T401" s="7">
        <f t="shared" si="13"/>
        <v>0.15482954545454544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160</v>
      </c>
      <c r="F402">
        <v>2</v>
      </c>
      <c r="G402">
        <v>610</v>
      </c>
      <c r="H402">
        <v>0</v>
      </c>
      <c r="I402">
        <v>109</v>
      </c>
      <c r="J402" t="s">
        <v>808</v>
      </c>
      <c r="K402">
        <f>+WEEKNUM(AV_PLAN[[#This Row],[Días]])</f>
        <v>13</v>
      </c>
      <c r="L402" s="4">
        <f>IFERROR(AV_PLAN[[#This Row],[INICIO REAL ACUMULADO]]/AV_PLAN[[#This Row],[PLAN ACUMULADO]],"")</f>
        <v>0.24096385542168675</v>
      </c>
      <c r="M402" s="4">
        <f>IFERROR(AV_PLAN[[#This Row],[TERMINO REAL ACUMULADO]]/AV_PLAN[[#This Row],[TERMINO PLAN ACUMULADO]],"")</f>
        <v>0.17868852459016393</v>
      </c>
      <c r="N402">
        <f>+AV_PLAN[[#This Row],[PLAN ACUMULADO]]-AV_PLAN[[#This Row],[INICIO REAL ACUMULADO]]</f>
        <v>504</v>
      </c>
      <c r="O402">
        <f>+AV_PLAN[[#This Row],[TERMINO PLAN ACUMULADO]]-AV_PLAN[[#This Row],[TERMINO REAL ACUMULADO]]</f>
        <v>501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0.22727272727272727</v>
      </c>
      <c r="S402" s="7">
        <f>+AV_PLAN[[#This Row],[TERMINO PLAN ACUMULADO]]/$G$471</f>
        <v>0.86647727272727271</v>
      </c>
      <c r="T402" s="7">
        <f t="shared" si="13"/>
        <v>0.15482954545454544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160</v>
      </c>
      <c r="F403">
        <v>3</v>
      </c>
      <c r="G403">
        <v>613</v>
      </c>
      <c r="H403">
        <v>0</v>
      </c>
      <c r="I403">
        <v>109</v>
      </c>
      <c r="J403" t="s">
        <v>808</v>
      </c>
      <c r="K403">
        <f>+WEEKNUM(AV_PLAN[[#This Row],[Días]])</f>
        <v>13</v>
      </c>
      <c r="L403" s="4">
        <f>IFERROR(AV_PLAN[[#This Row],[INICIO REAL ACUMULADO]]/AV_PLAN[[#This Row],[PLAN ACUMULADO]],"")</f>
        <v>0.23988005997001499</v>
      </c>
      <c r="M403" s="4">
        <f>IFERROR(AV_PLAN[[#This Row],[TERMINO REAL ACUMULADO]]/AV_PLAN[[#This Row],[TERMINO PLAN ACUMULADO]],"")</f>
        <v>0.17781402936378465</v>
      </c>
      <c r="N403">
        <f>+AV_PLAN[[#This Row],[PLAN ACUMULADO]]-AV_PLAN[[#This Row],[INICIO REAL ACUMULADO]]</f>
        <v>507</v>
      </c>
      <c r="O403">
        <f>+AV_PLAN[[#This Row],[TERMINO PLAN ACUMULADO]]-AV_PLAN[[#This Row],[TERMINO REAL ACUMULADO]]</f>
        <v>504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0.22727272727272727</v>
      </c>
      <c r="S403" s="7">
        <f>+AV_PLAN[[#This Row],[TERMINO PLAN ACUMULADO]]/$G$471</f>
        <v>0.87073863636363635</v>
      </c>
      <c r="T403" s="7">
        <f t="shared" si="13"/>
        <v>0.15482954545454544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160</v>
      </c>
      <c r="F404">
        <v>3</v>
      </c>
      <c r="G404">
        <v>616</v>
      </c>
      <c r="H404">
        <v>0</v>
      </c>
      <c r="I404">
        <v>109</v>
      </c>
      <c r="J404" t="s">
        <v>808</v>
      </c>
      <c r="K404">
        <f>+WEEKNUM(AV_PLAN[[#This Row],[Días]])</f>
        <v>13</v>
      </c>
      <c r="L404" s="4">
        <f>IFERROR(AV_PLAN[[#This Row],[INICIO REAL ACUMULADO]]/AV_PLAN[[#This Row],[PLAN ACUMULADO]],"")</f>
        <v>0.23880597014925373</v>
      </c>
      <c r="M404" s="4">
        <f>IFERROR(AV_PLAN[[#This Row],[TERMINO REAL ACUMULADO]]/AV_PLAN[[#This Row],[TERMINO PLAN ACUMULADO]],"")</f>
        <v>0.17694805194805194</v>
      </c>
      <c r="N404">
        <f>+AV_PLAN[[#This Row],[PLAN ACUMULADO]]-AV_PLAN[[#This Row],[INICIO REAL ACUMULADO]]</f>
        <v>510</v>
      </c>
      <c r="O404">
        <f>+AV_PLAN[[#This Row],[TERMINO PLAN ACUMULADO]]-AV_PLAN[[#This Row],[TERMINO REAL ACUMULADO]]</f>
        <v>507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0.22727272727272727</v>
      </c>
      <c r="S404" s="7">
        <f>+AV_PLAN[[#This Row],[TERMINO PLAN ACUMULADO]]/$G$471</f>
        <v>0.875</v>
      </c>
      <c r="T404" s="7">
        <f t="shared" si="13"/>
        <v>0.15482954545454544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160</v>
      </c>
      <c r="F405">
        <v>2</v>
      </c>
      <c r="G405">
        <v>618</v>
      </c>
      <c r="H405">
        <v>0</v>
      </c>
      <c r="I405">
        <v>109</v>
      </c>
      <c r="J405" t="s">
        <v>808</v>
      </c>
      <c r="K405">
        <f>+WEEKNUM(AV_PLAN[[#This Row],[Días]])</f>
        <v>13</v>
      </c>
      <c r="L405" s="4">
        <f>IFERROR(AV_PLAN[[#This Row],[INICIO REAL ACUMULADO]]/AV_PLAN[[#This Row],[PLAN ACUMULADO]],"")</f>
        <v>0.23774145616641901</v>
      </c>
      <c r="M405" s="4">
        <f>IFERROR(AV_PLAN[[#This Row],[TERMINO REAL ACUMULADO]]/AV_PLAN[[#This Row],[TERMINO PLAN ACUMULADO]],"")</f>
        <v>0.17637540453074432</v>
      </c>
      <c r="N405">
        <f>+AV_PLAN[[#This Row],[PLAN ACUMULADO]]-AV_PLAN[[#This Row],[INICIO REAL ACUMULADO]]</f>
        <v>513</v>
      </c>
      <c r="O405">
        <f>+AV_PLAN[[#This Row],[TERMINO PLAN ACUMULADO]]-AV_PLAN[[#This Row],[TERMINO REAL ACUMULADO]]</f>
        <v>509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0.22727272727272727</v>
      </c>
      <c r="S405" s="7">
        <f>+AV_PLAN[[#This Row],[TERMINO PLAN ACUMULADO]]/$G$471</f>
        <v>0.87784090909090906</v>
      </c>
      <c r="T405" s="7">
        <f t="shared" si="13"/>
        <v>0.15482954545454544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160</v>
      </c>
      <c r="F406">
        <v>1</v>
      </c>
      <c r="G406">
        <v>619</v>
      </c>
      <c r="H406">
        <v>0</v>
      </c>
      <c r="I406">
        <v>109</v>
      </c>
      <c r="J406" t="s">
        <v>808</v>
      </c>
      <c r="K406">
        <f>+WEEKNUM(AV_PLAN[[#This Row],[Días]])</f>
        <v>13</v>
      </c>
      <c r="L406" s="4">
        <f>IFERROR(AV_PLAN[[#This Row],[INICIO REAL ACUMULADO]]/AV_PLAN[[#This Row],[PLAN ACUMULADO]],"")</f>
        <v>0.23774145616641901</v>
      </c>
      <c r="M406" s="4">
        <f>IFERROR(AV_PLAN[[#This Row],[TERMINO REAL ACUMULADO]]/AV_PLAN[[#This Row],[TERMINO PLAN ACUMULADO]],"")</f>
        <v>0.17609046849757673</v>
      </c>
      <c r="N406">
        <f>+AV_PLAN[[#This Row],[PLAN ACUMULADO]]-AV_PLAN[[#This Row],[INICIO REAL ACUMULADO]]</f>
        <v>513</v>
      </c>
      <c r="O406">
        <f>+AV_PLAN[[#This Row],[TERMINO PLAN ACUMULADO]]-AV_PLAN[[#This Row],[TERMINO REAL ACUMULADO]]</f>
        <v>510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0.22727272727272727</v>
      </c>
      <c r="S406" s="7">
        <f>+AV_PLAN[[#This Row],[TERMINO PLAN ACUMULADO]]/$G$471</f>
        <v>0.87926136363636365</v>
      </c>
      <c r="T406" s="7">
        <f t="shared" si="13"/>
        <v>0.15482954545454544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160</v>
      </c>
      <c r="F407">
        <v>2</v>
      </c>
      <c r="G407">
        <v>621</v>
      </c>
      <c r="H407">
        <v>0</v>
      </c>
      <c r="I407">
        <v>109</v>
      </c>
      <c r="J407" t="s">
        <v>808</v>
      </c>
      <c r="K407">
        <f>+WEEKNUM(AV_PLAN[[#This Row],[Días]])</f>
        <v>14</v>
      </c>
      <c r="L407" s="4">
        <f>IFERROR(AV_PLAN[[#This Row],[INICIO REAL ACUMULADO]]/AV_PLAN[[#This Row],[PLAN ACUMULADO]],"")</f>
        <v>0.23774145616641901</v>
      </c>
      <c r="M407" s="4">
        <f>IFERROR(AV_PLAN[[#This Row],[TERMINO REAL ACUMULADO]]/AV_PLAN[[#This Row],[TERMINO PLAN ACUMULADO]],"")</f>
        <v>0.17552334943639292</v>
      </c>
      <c r="N407">
        <f>+AV_PLAN[[#This Row],[PLAN ACUMULADO]]-AV_PLAN[[#This Row],[INICIO REAL ACUMULADO]]</f>
        <v>513</v>
      </c>
      <c r="O407">
        <f>+AV_PLAN[[#This Row],[TERMINO PLAN ACUMULADO]]-AV_PLAN[[#This Row],[TERMINO REAL ACUMULADO]]</f>
        <v>512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0.22727272727272727</v>
      </c>
      <c r="S407" s="7">
        <f>+AV_PLAN[[#This Row],[TERMINO PLAN ACUMULADO]]/$G$471</f>
        <v>0.88210227272727271</v>
      </c>
      <c r="T407" s="7">
        <f t="shared" si="13"/>
        <v>0.15482954545454544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160</v>
      </c>
      <c r="F408">
        <v>2</v>
      </c>
      <c r="G408">
        <v>623</v>
      </c>
      <c r="H408">
        <v>0</v>
      </c>
      <c r="I408">
        <v>109</v>
      </c>
      <c r="J408" t="s">
        <v>808</v>
      </c>
      <c r="K408">
        <f>+WEEKNUM(AV_PLAN[[#This Row],[Días]])</f>
        <v>14</v>
      </c>
      <c r="L408" s="4">
        <f>IFERROR(AV_PLAN[[#This Row],[INICIO REAL ACUMULADO]]/AV_PLAN[[#This Row],[PLAN ACUMULADO]],"")</f>
        <v>0.23668639053254437</v>
      </c>
      <c r="M408" s="4">
        <f>IFERROR(AV_PLAN[[#This Row],[TERMINO REAL ACUMULADO]]/AV_PLAN[[#This Row],[TERMINO PLAN ACUMULADO]],"")</f>
        <v>0.17495987158908508</v>
      </c>
      <c r="N408">
        <f>+AV_PLAN[[#This Row],[PLAN ACUMULADO]]-AV_PLAN[[#This Row],[INICIO REAL ACUMULADO]]</f>
        <v>516</v>
      </c>
      <c r="O408">
        <f>+AV_PLAN[[#This Row],[TERMINO PLAN ACUMULADO]]-AV_PLAN[[#This Row],[TERMINO REAL ACUMULADO]]</f>
        <v>514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0.22727272727272727</v>
      </c>
      <c r="S408" s="7">
        <f>+AV_PLAN[[#This Row],[TERMINO PLAN ACUMULADO]]/$G$471</f>
        <v>0.88494318181818177</v>
      </c>
      <c r="T408" s="7">
        <f t="shared" si="13"/>
        <v>0.15482954545454544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160</v>
      </c>
      <c r="F409">
        <v>2</v>
      </c>
      <c r="G409">
        <v>625</v>
      </c>
      <c r="H409">
        <v>0</v>
      </c>
      <c r="I409">
        <v>109</v>
      </c>
      <c r="J409" t="s">
        <v>808</v>
      </c>
      <c r="K409">
        <f>+WEEKNUM(AV_PLAN[[#This Row],[Días]])</f>
        <v>14</v>
      </c>
      <c r="L409" s="4">
        <f>IFERROR(AV_PLAN[[#This Row],[INICIO REAL ACUMULADO]]/AV_PLAN[[#This Row],[PLAN ACUMULADO]],"")</f>
        <v>0.23564064801178203</v>
      </c>
      <c r="M409" s="4">
        <f>IFERROR(AV_PLAN[[#This Row],[TERMINO REAL ACUMULADO]]/AV_PLAN[[#This Row],[TERMINO PLAN ACUMULADO]],"")</f>
        <v>0.1744</v>
      </c>
      <c r="N409">
        <f>+AV_PLAN[[#This Row],[PLAN ACUMULADO]]-AV_PLAN[[#This Row],[INICIO REAL ACUMULADO]]</f>
        <v>519</v>
      </c>
      <c r="O409">
        <f>+AV_PLAN[[#This Row],[TERMINO PLAN ACUMULADO]]-AV_PLAN[[#This Row],[TERMINO REAL ACUMULADO]]</f>
        <v>516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0.22727272727272727</v>
      </c>
      <c r="S409" s="7">
        <f>+AV_PLAN[[#This Row],[TERMINO PLAN ACUMULADO]]/$G$471</f>
        <v>0.88778409090909094</v>
      </c>
      <c r="T409" s="7">
        <f t="shared" si="13"/>
        <v>0.15482954545454544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160</v>
      </c>
      <c r="F410">
        <v>3</v>
      </c>
      <c r="G410">
        <v>628</v>
      </c>
      <c r="H410">
        <v>0</v>
      </c>
      <c r="I410">
        <v>109</v>
      </c>
      <c r="J410" t="s">
        <v>808</v>
      </c>
      <c r="K410">
        <f>+WEEKNUM(AV_PLAN[[#This Row],[Días]])</f>
        <v>14</v>
      </c>
      <c r="L410" s="4">
        <f>IFERROR(AV_PLAN[[#This Row],[INICIO REAL ACUMULADO]]/AV_PLAN[[#This Row],[PLAN ACUMULADO]],"")</f>
        <v>0.23460410557184752</v>
      </c>
      <c r="M410" s="4">
        <f>IFERROR(AV_PLAN[[#This Row],[TERMINO REAL ACUMULADO]]/AV_PLAN[[#This Row],[TERMINO PLAN ACUMULADO]],"")</f>
        <v>0.17356687898089171</v>
      </c>
      <c r="N410">
        <f>+AV_PLAN[[#This Row],[PLAN ACUMULADO]]-AV_PLAN[[#This Row],[INICIO REAL ACUMULADO]]</f>
        <v>522</v>
      </c>
      <c r="O410">
        <f>+AV_PLAN[[#This Row],[TERMINO PLAN ACUMULADO]]-AV_PLAN[[#This Row],[TERMINO REAL ACUMULADO]]</f>
        <v>519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0.22727272727272727</v>
      </c>
      <c r="S410" s="7">
        <f>+AV_PLAN[[#This Row],[TERMINO PLAN ACUMULADO]]/$G$471</f>
        <v>0.89204545454545459</v>
      </c>
      <c r="T410" s="7">
        <f t="shared" si="13"/>
        <v>0.15482954545454544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160</v>
      </c>
      <c r="F411">
        <v>3</v>
      </c>
      <c r="G411">
        <v>631</v>
      </c>
      <c r="H411">
        <v>0</v>
      </c>
      <c r="I411">
        <v>109</v>
      </c>
      <c r="J411" t="s">
        <v>809</v>
      </c>
      <c r="K411">
        <f>+WEEKNUM(AV_PLAN[[#This Row],[Días]])</f>
        <v>14</v>
      </c>
      <c r="L411" s="4">
        <f>IFERROR(AV_PLAN[[#This Row],[INICIO REAL ACUMULADO]]/AV_PLAN[[#This Row],[PLAN ACUMULADO]],"")</f>
        <v>0.23357664233576642</v>
      </c>
      <c r="M411" s="4">
        <f>IFERROR(AV_PLAN[[#This Row],[TERMINO REAL ACUMULADO]]/AV_PLAN[[#This Row],[TERMINO PLAN ACUMULADO]],"")</f>
        <v>0.17274167987321712</v>
      </c>
      <c r="N411">
        <f>+AV_PLAN[[#This Row],[PLAN ACUMULADO]]-AV_PLAN[[#This Row],[INICIO REAL ACUMULADO]]</f>
        <v>525</v>
      </c>
      <c r="O411">
        <f>+AV_PLAN[[#This Row],[TERMINO PLAN ACUMULADO]]-AV_PLAN[[#This Row],[TERMINO REAL ACUMULADO]]</f>
        <v>522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0.22727272727272727</v>
      </c>
      <c r="S411" s="7">
        <f>+AV_PLAN[[#This Row],[TERMINO PLAN ACUMULADO]]/$G$471</f>
        <v>0.89630681818181823</v>
      </c>
      <c r="T411" s="7">
        <f t="shared" si="13"/>
        <v>0.15482954545454544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160</v>
      </c>
      <c r="F412">
        <v>1</v>
      </c>
      <c r="G412">
        <v>632</v>
      </c>
      <c r="H412">
        <v>0</v>
      </c>
      <c r="I412">
        <v>109</v>
      </c>
      <c r="J412" t="s">
        <v>809</v>
      </c>
      <c r="K412">
        <f>+WEEKNUM(AV_PLAN[[#This Row],[Días]])</f>
        <v>14</v>
      </c>
      <c r="L412" s="4">
        <f>IFERROR(AV_PLAN[[#This Row],[INICIO REAL ACUMULADO]]/AV_PLAN[[#This Row],[PLAN ACUMULADO]],"")</f>
        <v>0.23255813953488372</v>
      </c>
      <c r="M412" s="4">
        <f>IFERROR(AV_PLAN[[#This Row],[TERMINO REAL ACUMULADO]]/AV_PLAN[[#This Row],[TERMINO PLAN ACUMULADO]],"")</f>
        <v>0.17246835443037975</v>
      </c>
      <c r="N412">
        <f>+AV_PLAN[[#This Row],[PLAN ACUMULADO]]-AV_PLAN[[#This Row],[INICIO REAL ACUMULADO]]</f>
        <v>528</v>
      </c>
      <c r="O412">
        <f>+AV_PLAN[[#This Row],[TERMINO PLAN ACUMULADO]]-AV_PLAN[[#This Row],[TERMINO REAL ACUMULADO]]</f>
        <v>523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0.22727272727272727</v>
      </c>
      <c r="S412" s="7">
        <f>+AV_PLAN[[#This Row],[TERMINO PLAN ACUMULADO]]/$G$471</f>
        <v>0.89772727272727271</v>
      </c>
      <c r="T412" s="7">
        <f t="shared" si="13"/>
        <v>0.15482954545454544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160</v>
      </c>
      <c r="F413">
        <v>1</v>
      </c>
      <c r="G413">
        <v>633</v>
      </c>
      <c r="H413">
        <v>0</v>
      </c>
      <c r="I413">
        <v>109</v>
      </c>
      <c r="J413" t="s">
        <v>809</v>
      </c>
      <c r="K413">
        <f>+WEEKNUM(AV_PLAN[[#This Row],[Días]])</f>
        <v>14</v>
      </c>
      <c r="L413" s="4">
        <f>IFERROR(AV_PLAN[[#This Row],[INICIO REAL ACUMULADO]]/AV_PLAN[[#This Row],[PLAN ACUMULADO]],"")</f>
        <v>0.23255813953488372</v>
      </c>
      <c r="M413" s="4">
        <f>IFERROR(AV_PLAN[[#This Row],[TERMINO REAL ACUMULADO]]/AV_PLAN[[#This Row],[TERMINO PLAN ACUMULADO]],"")</f>
        <v>0.17219589257503951</v>
      </c>
      <c r="N413">
        <f>+AV_PLAN[[#This Row],[PLAN ACUMULADO]]-AV_PLAN[[#This Row],[INICIO REAL ACUMULADO]]</f>
        <v>528</v>
      </c>
      <c r="O413">
        <f>+AV_PLAN[[#This Row],[TERMINO PLAN ACUMULADO]]-AV_PLAN[[#This Row],[TERMINO REAL ACUMULADO]]</f>
        <v>524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0.22727272727272727</v>
      </c>
      <c r="S413" s="7">
        <f>+AV_PLAN[[#This Row],[TERMINO PLAN ACUMULADO]]/$G$471</f>
        <v>0.89914772727272729</v>
      </c>
      <c r="T413" s="7">
        <f t="shared" si="13"/>
        <v>0.15482954545454544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160</v>
      </c>
      <c r="F414">
        <v>4</v>
      </c>
      <c r="G414">
        <v>637</v>
      </c>
      <c r="H414">
        <v>0</v>
      </c>
      <c r="I414">
        <v>109</v>
      </c>
      <c r="J414" t="s">
        <v>809</v>
      </c>
      <c r="K414">
        <f>+WEEKNUM(AV_PLAN[[#This Row],[Días]])</f>
        <v>15</v>
      </c>
      <c r="L414" s="4">
        <f>IFERROR(AV_PLAN[[#This Row],[INICIO REAL ACUMULADO]]/AV_PLAN[[#This Row],[PLAN ACUMULADO]],"")</f>
        <v>0.23255813953488372</v>
      </c>
      <c r="M414" s="4">
        <f>IFERROR(AV_PLAN[[#This Row],[TERMINO REAL ACUMULADO]]/AV_PLAN[[#This Row],[TERMINO PLAN ACUMULADO]],"")</f>
        <v>0.17111459968602827</v>
      </c>
      <c r="N414">
        <f>+AV_PLAN[[#This Row],[PLAN ACUMULADO]]-AV_PLAN[[#This Row],[INICIO REAL ACUMULADO]]</f>
        <v>528</v>
      </c>
      <c r="O414">
        <f>+AV_PLAN[[#This Row],[TERMINO PLAN ACUMULADO]]-AV_PLAN[[#This Row],[TERMINO REAL ACUMULADO]]</f>
        <v>528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0.22727272727272727</v>
      </c>
      <c r="S414" s="7">
        <f>+AV_PLAN[[#This Row],[TERMINO PLAN ACUMULADO]]/$G$471</f>
        <v>0.90482954545454541</v>
      </c>
      <c r="T414" s="7">
        <f t="shared" si="13"/>
        <v>0.15482954545454544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160</v>
      </c>
      <c r="F415">
        <v>2</v>
      </c>
      <c r="G415">
        <v>639</v>
      </c>
      <c r="H415">
        <v>0</v>
      </c>
      <c r="I415">
        <v>109</v>
      </c>
      <c r="J415" t="s">
        <v>809</v>
      </c>
      <c r="K415">
        <f>+WEEKNUM(AV_PLAN[[#This Row],[Días]])</f>
        <v>15</v>
      </c>
      <c r="L415" s="4">
        <f>IFERROR(AV_PLAN[[#This Row],[INICIO REAL ACUMULADO]]/AV_PLAN[[#This Row],[PLAN ACUMULADO]],"")</f>
        <v>0.23154848046309695</v>
      </c>
      <c r="M415" s="4">
        <f>IFERROR(AV_PLAN[[#This Row],[TERMINO REAL ACUMULADO]]/AV_PLAN[[#This Row],[TERMINO PLAN ACUMULADO]],"")</f>
        <v>0.1705790297339593</v>
      </c>
      <c r="N415">
        <f>+AV_PLAN[[#This Row],[PLAN ACUMULADO]]-AV_PLAN[[#This Row],[INICIO REAL ACUMULADO]]</f>
        <v>531</v>
      </c>
      <c r="O415">
        <f>+AV_PLAN[[#This Row],[TERMINO PLAN ACUMULADO]]-AV_PLAN[[#This Row],[TERMINO REAL ACUMULADO]]</f>
        <v>530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0.22727272727272727</v>
      </c>
      <c r="S415" s="7">
        <f>+AV_PLAN[[#This Row],[TERMINO PLAN ACUMULADO]]/$G$471</f>
        <v>0.90767045454545459</v>
      </c>
      <c r="T415" s="7">
        <f t="shared" si="13"/>
        <v>0.15482954545454544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160</v>
      </c>
      <c r="F416">
        <v>1</v>
      </c>
      <c r="G416">
        <v>640</v>
      </c>
      <c r="H416">
        <v>0</v>
      </c>
      <c r="I416">
        <v>109</v>
      </c>
      <c r="J416" t="s">
        <v>809</v>
      </c>
      <c r="K416">
        <f>+WEEKNUM(AV_PLAN[[#This Row],[Días]])</f>
        <v>15</v>
      </c>
      <c r="L416" s="4">
        <f>IFERROR(AV_PLAN[[#This Row],[INICIO REAL ACUMULADO]]/AV_PLAN[[#This Row],[PLAN ACUMULADO]],"")</f>
        <v>0.23054755043227665</v>
      </c>
      <c r="M416" s="4">
        <f>IFERROR(AV_PLAN[[#This Row],[TERMINO REAL ACUMULADO]]/AV_PLAN[[#This Row],[TERMINO PLAN ACUMULADO]],"")</f>
        <v>0.17031250000000001</v>
      </c>
      <c r="N416">
        <f>+AV_PLAN[[#This Row],[PLAN ACUMULADO]]-AV_PLAN[[#This Row],[INICIO REAL ACUMULADO]]</f>
        <v>534</v>
      </c>
      <c r="O416">
        <f>+AV_PLAN[[#This Row],[TERMINO PLAN ACUMULADO]]-AV_PLAN[[#This Row],[TERMINO REAL ACUMULADO]]</f>
        <v>531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0.22727272727272727</v>
      </c>
      <c r="S416" s="7">
        <f>+AV_PLAN[[#This Row],[TERMINO PLAN ACUMULADO]]/$G$471</f>
        <v>0.90909090909090906</v>
      </c>
      <c r="T416" s="7">
        <f t="shared" si="13"/>
        <v>0.15482954545454544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160</v>
      </c>
      <c r="F417">
        <v>3</v>
      </c>
      <c r="G417">
        <v>643</v>
      </c>
      <c r="H417">
        <v>0</v>
      </c>
      <c r="I417">
        <v>109</v>
      </c>
      <c r="J417" t="s">
        <v>809</v>
      </c>
      <c r="K417">
        <f>+WEEKNUM(AV_PLAN[[#This Row],[Días]])</f>
        <v>15</v>
      </c>
      <c r="L417" s="4">
        <f>IFERROR(AV_PLAN[[#This Row],[INICIO REAL ACUMULADO]]/AV_PLAN[[#This Row],[PLAN ACUMULADO]],"")</f>
        <v>0.22955523672883787</v>
      </c>
      <c r="M417" s="4">
        <f>IFERROR(AV_PLAN[[#This Row],[TERMINO REAL ACUMULADO]]/AV_PLAN[[#This Row],[TERMINO PLAN ACUMULADO]],"")</f>
        <v>0.16951788491446346</v>
      </c>
      <c r="N417">
        <f>+AV_PLAN[[#This Row],[PLAN ACUMULADO]]-AV_PLAN[[#This Row],[INICIO REAL ACUMULADO]]</f>
        <v>537</v>
      </c>
      <c r="O417">
        <f>+AV_PLAN[[#This Row],[TERMINO PLAN ACUMULADO]]-AV_PLAN[[#This Row],[TERMINO REAL ACUMULADO]]</f>
        <v>534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0.22727272727272727</v>
      </c>
      <c r="S417" s="7">
        <f>+AV_PLAN[[#This Row],[TERMINO PLAN ACUMULADO]]/$G$471</f>
        <v>0.91335227272727271</v>
      </c>
      <c r="T417" s="7">
        <f t="shared" si="13"/>
        <v>0.15482954545454544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160</v>
      </c>
      <c r="F418">
        <v>3</v>
      </c>
      <c r="G418">
        <v>646</v>
      </c>
      <c r="H418">
        <v>0</v>
      </c>
      <c r="I418">
        <v>109</v>
      </c>
      <c r="J418" t="s">
        <v>809</v>
      </c>
      <c r="K418">
        <f>+WEEKNUM(AV_PLAN[[#This Row],[Días]])</f>
        <v>15</v>
      </c>
      <c r="L418" s="4">
        <f>IFERROR(AV_PLAN[[#This Row],[INICIO REAL ACUMULADO]]/AV_PLAN[[#This Row],[PLAN ACUMULADO]],"")</f>
        <v>0.22857142857142856</v>
      </c>
      <c r="M418" s="4">
        <f>IFERROR(AV_PLAN[[#This Row],[TERMINO REAL ACUMULADO]]/AV_PLAN[[#This Row],[TERMINO PLAN ACUMULADO]],"")</f>
        <v>0.16873065015479877</v>
      </c>
      <c r="N418">
        <f>+AV_PLAN[[#This Row],[PLAN ACUMULADO]]-AV_PLAN[[#This Row],[INICIO REAL ACUMULADO]]</f>
        <v>540</v>
      </c>
      <c r="O418">
        <f>+AV_PLAN[[#This Row],[TERMINO PLAN ACUMULADO]]-AV_PLAN[[#This Row],[TERMINO REAL ACUMULADO]]</f>
        <v>537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0.22727272727272727</v>
      </c>
      <c r="S418" s="7">
        <f>+AV_PLAN[[#This Row],[TERMINO PLAN ACUMULADO]]/$G$471</f>
        <v>0.91761363636363635</v>
      </c>
      <c r="T418" s="7">
        <f t="shared" si="13"/>
        <v>0.15482954545454544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160</v>
      </c>
      <c r="F419">
        <v>1</v>
      </c>
      <c r="G419">
        <v>647</v>
      </c>
      <c r="H419">
        <v>0</v>
      </c>
      <c r="I419">
        <v>109</v>
      </c>
      <c r="J419" t="s">
        <v>809</v>
      </c>
      <c r="K419">
        <f>+WEEKNUM(AV_PLAN[[#This Row],[Días]])</f>
        <v>15</v>
      </c>
      <c r="L419" s="4">
        <f>IFERROR(AV_PLAN[[#This Row],[INICIO REAL ACUMULADO]]/AV_PLAN[[#This Row],[PLAN ACUMULADO]],"")</f>
        <v>0.22759601706970128</v>
      </c>
      <c r="M419" s="4">
        <f>IFERROR(AV_PLAN[[#This Row],[TERMINO REAL ACUMULADO]]/AV_PLAN[[#This Row],[TERMINO PLAN ACUMULADO]],"")</f>
        <v>0.16846986089644514</v>
      </c>
      <c r="N419">
        <f>+AV_PLAN[[#This Row],[PLAN ACUMULADO]]-AV_PLAN[[#This Row],[INICIO REAL ACUMULADO]]</f>
        <v>543</v>
      </c>
      <c r="O419">
        <f>+AV_PLAN[[#This Row],[TERMINO PLAN ACUMULADO]]-AV_PLAN[[#This Row],[TERMINO REAL ACUMULADO]]</f>
        <v>538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0.22727272727272727</v>
      </c>
      <c r="S419" s="7">
        <f>+AV_PLAN[[#This Row],[TERMINO PLAN ACUMULADO]]/$G$471</f>
        <v>0.91903409090909094</v>
      </c>
      <c r="T419" s="7">
        <f t="shared" si="13"/>
        <v>0.15482954545454544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160</v>
      </c>
      <c r="F420">
        <v>2</v>
      </c>
      <c r="G420">
        <v>649</v>
      </c>
      <c r="H420">
        <v>0</v>
      </c>
      <c r="I420">
        <v>109</v>
      </c>
      <c r="J420" t="s">
        <v>809</v>
      </c>
      <c r="K420">
        <f>+WEEKNUM(AV_PLAN[[#This Row],[Días]])</f>
        <v>15</v>
      </c>
      <c r="L420" s="4">
        <f>IFERROR(AV_PLAN[[#This Row],[INICIO REAL ACUMULADO]]/AV_PLAN[[#This Row],[PLAN ACUMULADO]],"")</f>
        <v>0.22759601706970128</v>
      </c>
      <c r="M420" s="4">
        <f>IFERROR(AV_PLAN[[#This Row],[TERMINO REAL ACUMULADO]]/AV_PLAN[[#This Row],[TERMINO PLAN ACUMULADO]],"")</f>
        <v>0.1679506933744222</v>
      </c>
      <c r="N420">
        <f>+AV_PLAN[[#This Row],[PLAN ACUMULADO]]-AV_PLAN[[#This Row],[INICIO REAL ACUMULADO]]</f>
        <v>543</v>
      </c>
      <c r="O420">
        <f>+AV_PLAN[[#This Row],[TERMINO PLAN ACUMULADO]]-AV_PLAN[[#This Row],[TERMINO REAL ACUMULADO]]</f>
        <v>540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0.22727272727272727</v>
      </c>
      <c r="S420" s="7">
        <f>+AV_PLAN[[#This Row],[TERMINO PLAN ACUMULADO]]/$G$471</f>
        <v>0.921875</v>
      </c>
      <c r="T420" s="7">
        <f t="shared" si="13"/>
        <v>0.15482954545454544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160</v>
      </c>
      <c r="F421">
        <v>4</v>
      </c>
      <c r="G421">
        <v>653</v>
      </c>
      <c r="H421">
        <v>0</v>
      </c>
      <c r="I421">
        <v>109</v>
      </c>
      <c r="J421" t="s">
        <v>809</v>
      </c>
      <c r="K421">
        <f>+WEEKNUM(AV_PLAN[[#This Row],[Días]])</f>
        <v>16</v>
      </c>
      <c r="L421" s="4">
        <f>IFERROR(AV_PLAN[[#This Row],[INICIO REAL ACUMULADO]]/AV_PLAN[[#This Row],[PLAN ACUMULADO]],"")</f>
        <v>0.22759601706970128</v>
      </c>
      <c r="M421" s="4">
        <f>IFERROR(AV_PLAN[[#This Row],[TERMINO REAL ACUMULADO]]/AV_PLAN[[#This Row],[TERMINO PLAN ACUMULADO]],"")</f>
        <v>0.1669218989280245</v>
      </c>
      <c r="N421">
        <f>+AV_PLAN[[#This Row],[PLAN ACUMULADO]]-AV_PLAN[[#This Row],[INICIO REAL ACUMULADO]]</f>
        <v>543</v>
      </c>
      <c r="O421">
        <f>+AV_PLAN[[#This Row],[TERMINO PLAN ACUMULADO]]-AV_PLAN[[#This Row],[TERMINO REAL ACUMULADO]]</f>
        <v>544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0.22727272727272727</v>
      </c>
      <c r="S421" s="7">
        <f>+AV_PLAN[[#This Row],[TERMINO PLAN ACUMULADO]]/$G$471</f>
        <v>0.92755681818181823</v>
      </c>
      <c r="T421" s="7">
        <f t="shared" si="13"/>
        <v>0.15482954545454544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160</v>
      </c>
      <c r="F422">
        <v>1</v>
      </c>
      <c r="G422">
        <v>654</v>
      </c>
      <c r="H422">
        <v>0</v>
      </c>
      <c r="I422">
        <v>109</v>
      </c>
      <c r="J422" t="s">
        <v>809</v>
      </c>
      <c r="K422">
        <f>+WEEKNUM(AV_PLAN[[#This Row],[Días]])</f>
        <v>16</v>
      </c>
      <c r="L422" s="4">
        <f>IFERROR(AV_PLAN[[#This Row],[INICIO REAL ACUMULADO]]/AV_PLAN[[#This Row],[PLAN ACUMULADO]],"")</f>
        <v>0.22727272727272727</v>
      </c>
      <c r="M422" s="4">
        <f>IFERROR(AV_PLAN[[#This Row],[TERMINO REAL ACUMULADO]]/AV_PLAN[[#This Row],[TERMINO PLAN ACUMULADO]],"")</f>
        <v>0.16666666666666666</v>
      </c>
      <c r="N422">
        <f>+AV_PLAN[[#This Row],[PLAN ACUMULADO]]-AV_PLAN[[#This Row],[INICIO REAL ACUMULADO]]</f>
        <v>544</v>
      </c>
      <c r="O422">
        <f>+AV_PLAN[[#This Row],[TERMINO PLAN ACUMULADO]]-AV_PLAN[[#This Row],[TERMINO REAL ACUMULADO]]</f>
        <v>545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0.22727272727272727</v>
      </c>
      <c r="S422" s="7">
        <f>+AV_PLAN[[#This Row],[TERMINO PLAN ACUMULADO]]/$G$471</f>
        <v>0.92897727272727271</v>
      </c>
      <c r="T422" s="7">
        <f t="shared" si="13"/>
        <v>0.15482954545454544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160</v>
      </c>
      <c r="F423">
        <v>1</v>
      </c>
      <c r="G423">
        <v>655</v>
      </c>
      <c r="H423">
        <v>0</v>
      </c>
      <c r="I423">
        <v>109</v>
      </c>
      <c r="J423" t="s">
        <v>809</v>
      </c>
      <c r="K423">
        <f>+WEEKNUM(AV_PLAN[[#This Row],[Días]])</f>
        <v>16</v>
      </c>
      <c r="L423" s="4">
        <f>IFERROR(AV_PLAN[[#This Row],[INICIO REAL ACUMULADO]]/AV_PLAN[[#This Row],[PLAN ACUMULADO]],"")</f>
        <v>0.22727272727272727</v>
      </c>
      <c r="M423" s="4">
        <f>IFERROR(AV_PLAN[[#This Row],[TERMINO REAL ACUMULADO]]/AV_PLAN[[#This Row],[TERMINO PLAN ACUMULADO]],"")</f>
        <v>0.166412213740458</v>
      </c>
      <c r="N423">
        <f>+AV_PLAN[[#This Row],[PLAN ACUMULADO]]-AV_PLAN[[#This Row],[INICIO REAL ACUMULADO]]</f>
        <v>544</v>
      </c>
      <c r="O423">
        <f>+AV_PLAN[[#This Row],[TERMINO PLAN ACUMULADO]]-AV_PLAN[[#This Row],[TERMINO REAL ACUMULADO]]</f>
        <v>546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0.22727272727272727</v>
      </c>
      <c r="S423" s="7">
        <f>+AV_PLAN[[#This Row],[TERMINO PLAN ACUMULADO]]/$G$471</f>
        <v>0.93039772727272729</v>
      </c>
      <c r="T423" s="7">
        <f t="shared" si="13"/>
        <v>0.15482954545454544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160</v>
      </c>
      <c r="F424">
        <v>3</v>
      </c>
      <c r="G424">
        <v>658</v>
      </c>
      <c r="H424">
        <v>0</v>
      </c>
      <c r="I424">
        <v>109</v>
      </c>
      <c r="J424" t="s">
        <v>809</v>
      </c>
      <c r="K424">
        <f>+WEEKNUM(AV_PLAN[[#This Row],[Días]])</f>
        <v>16</v>
      </c>
      <c r="L424" s="4">
        <f>IFERROR(AV_PLAN[[#This Row],[INICIO REAL ACUMULADO]]/AV_PLAN[[#This Row],[PLAN ACUMULADO]],"")</f>
        <v>0.22727272727272727</v>
      </c>
      <c r="M424" s="4">
        <f>IFERROR(AV_PLAN[[#This Row],[TERMINO REAL ACUMULADO]]/AV_PLAN[[#This Row],[TERMINO PLAN ACUMULADO]],"")</f>
        <v>0.16565349544072949</v>
      </c>
      <c r="N424">
        <f>+AV_PLAN[[#This Row],[PLAN ACUMULADO]]-AV_PLAN[[#This Row],[INICIO REAL ACUMULADO]]</f>
        <v>544</v>
      </c>
      <c r="O424">
        <f>+AV_PLAN[[#This Row],[TERMINO PLAN ACUMULADO]]-AV_PLAN[[#This Row],[TERMINO REAL ACUMULADO]]</f>
        <v>549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0.22727272727272727</v>
      </c>
      <c r="S424" s="7">
        <f>+AV_PLAN[[#This Row],[TERMINO PLAN ACUMULADO]]/$G$471</f>
        <v>0.93465909090909094</v>
      </c>
      <c r="T424" s="7">
        <f t="shared" si="13"/>
        <v>0.15482954545454544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160</v>
      </c>
      <c r="F425">
        <v>3</v>
      </c>
      <c r="G425">
        <v>661</v>
      </c>
      <c r="H425">
        <v>0</v>
      </c>
      <c r="I425">
        <v>109</v>
      </c>
      <c r="J425" t="s">
        <v>809</v>
      </c>
      <c r="K425">
        <f>+WEEKNUM(AV_PLAN[[#This Row],[Días]])</f>
        <v>16</v>
      </c>
      <c r="L425" s="4">
        <f>IFERROR(AV_PLAN[[#This Row],[INICIO REAL ACUMULADO]]/AV_PLAN[[#This Row],[PLAN ACUMULADO]],"")</f>
        <v>0.22727272727272727</v>
      </c>
      <c r="M425" s="4">
        <f>IFERROR(AV_PLAN[[#This Row],[TERMINO REAL ACUMULADO]]/AV_PLAN[[#This Row],[TERMINO PLAN ACUMULADO]],"")</f>
        <v>0.16490166414523449</v>
      </c>
      <c r="N425">
        <f>+AV_PLAN[[#This Row],[PLAN ACUMULADO]]-AV_PLAN[[#This Row],[INICIO REAL ACUMULADO]]</f>
        <v>544</v>
      </c>
      <c r="O425">
        <f>+AV_PLAN[[#This Row],[TERMINO PLAN ACUMULADO]]-AV_PLAN[[#This Row],[TERMINO REAL ACUMULADO]]</f>
        <v>552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0.22727272727272727</v>
      </c>
      <c r="S425" s="7">
        <f>+AV_PLAN[[#This Row],[TERMINO PLAN ACUMULADO]]/$G$471</f>
        <v>0.93892045454545459</v>
      </c>
      <c r="T425" s="7">
        <f t="shared" si="13"/>
        <v>0.15482954545454544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160</v>
      </c>
      <c r="F426">
        <v>2</v>
      </c>
      <c r="G426">
        <v>663</v>
      </c>
      <c r="H426">
        <v>0</v>
      </c>
      <c r="I426">
        <v>109</v>
      </c>
      <c r="J426" t="s">
        <v>809</v>
      </c>
      <c r="K426">
        <f>+WEEKNUM(AV_PLAN[[#This Row],[Días]])</f>
        <v>16</v>
      </c>
      <c r="L426" s="4">
        <f>IFERROR(AV_PLAN[[#This Row],[INICIO REAL ACUMULADO]]/AV_PLAN[[#This Row],[PLAN ACUMULADO]],"")</f>
        <v>0.22727272727272727</v>
      </c>
      <c r="M426" s="4">
        <f>IFERROR(AV_PLAN[[#This Row],[TERMINO REAL ACUMULADO]]/AV_PLAN[[#This Row],[TERMINO PLAN ACUMULADO]],"")</f>
        <v>0.16440422322775264</v>
      </c>
      <c r="N426">
        <f>+AV_PLAN[[#This Row],[PLAN ACUMULADO]]-AV_PLAN[[#This Row],[INICIO REAL ACUMULADO]]</f>
        <v>544</v>
      </c>
      <c r="O426">
        <f>+AV_PLAN[[#This Row],[TERMINO PLAN ACUMULADO]]-AV_PLAN[[#This Row],[TERMINO REAL ACUMULADO]]</f>
        <v>554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0.22727272727272727</v>
      </c>
      <c r="S426" s="7">
        <f>+AV_PLAN[[#This Row],[TERMINO PLAN ACUMULADO]]/$G$471</f>
        <v>0.94176136363636365</v>
      </c>
      <c r="T426" s="7">
        <f t="shared" si="13"/>
        <v>0.15482954545454544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160</v>
      </c>
      <c r="F427">
        <v>2</v>
      </c>
      <c r="G427">
        <v>665</v>
      </c>
      <c r="H427">
        <v>0</v>
      </c>
      <c r="I427">
        <v>109</v>
      </c>
      <c r="J427" t="s">
        <v>809</v>
      </c>
      <c r="K427">
        <f>+WEEKNUM(AV_PLAN[[#This Row],[Días]])</f>
        <v>16</v>
      </c>
      <c r="L427" s="4">
        <f>IFERROR(AV_PLAN[[#This Row],[INICIO REAL ACUMULADO]]/AV_PLAN[[#This Row],[PLAN ACUMULADO]],"")</f>
        <v>0.22727272727272727</v>
      </c>
      <c r="M427" s="4">
        <f>IFERROR(AV_PLAN[[#This Row],[TERMINO REAL ACUMULADO]]/AV_PLAN[[#This Row],[TERMINO PLAN ACUMULADO]],"")</f>
        <v>0.16390977443609023</v>
      </c>
      <c r="N427">
        <f>+AV_PLAN[[#This Row],[PLAN ACUMULADO]]-AV_PLAN[[#This Row],[INICIO REAL ACUMULADO]]</f>
        <v>544</v>
      </c>
      <c r="O427">
        <f>+AV_PLAN[[#This Row],[TERMINO PLAN ACUMULADO]]-AV_PLAN[[#This Row],[TERMINO REAL ACUMULADO]]</f>
        <v>556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0.22727272727272727</v>
      </c>
      <c r="S427" s="7">
        <f>+AV_PLAN[[#This Row],[TERMINO PLAN ACUMULADO]]/$G$471</f>
        <v>0.94460227272727271</v>
      </c>
      <c r="T427" s="7">
        <f t="shared" si="13"/>
        <v>0.15482954545454544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160</v>
      </c>
      <c r="F428">
        <v>2</v>
      </c>
      <c r="G428">
        <v>667</v>
      </c>
      <c r="H428">
        <v>0</v>
      </c>
      <c r="I428">
        <v>109</v>
      </c>
      <c r="J428" t="s">
        <v>809</v>
      </c>
      <c r="K428">
        <f>+WEEKNUM(AV_PLAN[[#This Row],[Días]])</f>
        <v>17</v>
      </c>
      <c r="L428" s="4">
        <f>IFERROR(AV_PLAN[[#This Row],[INICIO REAL ACUMULADO]]/AV_PLAN[[#This Row],[PLAN ACUMULADO]],"")</f>
        <v>0.22727272727272727</v>
      </c>
      <c r="M428" s="4">
        <f>IFERROR(AV_PLAN[[#This Row],[TERMINO REAL ACUMULADO]]/AV_PLAN[[#This Row],[TERMINO PLAN ACUMULADO]],"")</f>
        <v>0.16341829085457271</v>
      </c>
      <c r="N428">
        <f>+AV_PLAN[[#This Row],[PLAN ACUMULADO]]-AV_PLAN[[#This Row],[INICIO REAL ACUMULADO]]</f>
        <v>544</v>
      </c>
      <c r="O428">
        <f>+AV_PLAN[[#This Row],[TERMINO PLAN ACUMULADO]]-AV_PLAN[[#This Row],[TERMINO REAL ACUMULADO]]</f>
        <v>558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0.22727272727272727</v>
      </c>
      <c r="S428" s="7">
        <f>+AV_PLAN[[#This Row],[TERMINO PLAN ACUMULADO]]/$G$471</f>
        <v>0.94744318181818177</v>
      </c>
      <c r="T428" s="7">
        <f t="shared" si="13"/>
        <v>0.15482954545454544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160</v>
      </c>
      <c r="F429">
        <v>1</v>
      </c>
      <c r="G429">
        <v>668</v>
      </c>
      <c r="H429">
        <v>0</v>
      </c>
      <c r="I429">
        <v>109</v>
      </c>
      <c r="J429" t="s">
        <v>809</v>
      </c>
      <c r="K429">
        <f>+WEEKNUM(AV_PLAN[[#This Row],[Días]])</f>
        <v>17</v>
      </c>
      <c r="L429" s="4">
        <f>IFERROR(AV_PLAN[[#This Row],[INICIO REAL ACUMULADO]]/AV_PLAN[[#This Row],[PLAN ACUMULADO]],"")</f>
        <v>0.22727272727272727</v>
      </c>
      <c r="M429" s="4">
        <f>IFERROR(AV_PLAN[[#This Row],[TERMINO REAL ACUMULADO]]/AV_PLAN[[#This Row],[TERMINO PLAN ACUMULADO]],"")</f>
        <v>0.16317365269461079</v>
      </c>
      <c r="N429">
        <f>+AV_PLAN[[#This Row],[PLAN ACUMULADO]]-AV_PLAN[[#This Row],[INICIO REAL ACUMULADO]]</f>
        <v>544</v>
      </c>
      <c r="O429">
        <f>+AV_PLAN[[#This Row],[TERMINO PLAN ACUMULADO]]-AV_PLAN[[#This Row],[TERMINO REAL ACUMULADO]]</f>
        <v>559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0.22727272727272727</v>
      </c>
      <c r="S429" s="7">
        <f>+AV_PLAN[[#This Row],[TERMINO PLAN ACUMULADO]]/$G$471</f>
        <v>0.94886363636363635</v>
      </c>
      <c r="T429" s="7">
        <f t="shared" si="13"/>
        <v>0.15482954545454544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160</v>
      </c>
      <c r="F430">
        <v>2</v>
      </c>
      <c r="G430">
        <v>670</v>
      </c>
      <c r="H430">
        <v>0</v>
      </c>
      <c r="I430">
        <v>109</v>
      </c>
      <c r="J430" t="s">
        <v>809</v>
      </c>
      <c r="K430">
        <f>+WEEKNUM(AV_PLAN[[#This Row],[Días]])</f>
        <v>17</v>
      </c>
      <c r="L430" s="4">
        <f>IFERROR(AV_PLAN[[#This Row],[INICIO REAL ACUMULADO]]/AV_PLAN[[#This Row],[PLAN ACUMULADO]],"")</f>
        <v>0.22727272727272727</v>
      </c>
      <c r="M430" s="4">
        <f>IFERROR(AV_PLAN[[#This Row],[TERMINO REAL ACUMULADO]]/AV_PLAN[[#This Row],[TERMINO PLAN ACUMULADO]],"")</f>
        <v>0.16268656716417909</v>
      </c>
      <c r="N430">
        <f>+AV_PLAN[[#This Row],[PLAN ACUMULADO]]-AV_PLAN[[#This Row],[INICIO REAL ACUMULADO]]</f>
        <v>544</v>
      </c>
      <c r="O430">
        <f>+AV_PLAN[[#This Row],[TERMINO PLAN ACUMULADO]]-AV_PLAN[[#This Row],[TERMINO REAL ACUMULADO]]</f>
        <v>561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0.22727272727272727</v>
      </c>
      <c r="S430" s="7">
        <f>+AV_PLAN[[#This Row],[TERMINO PLAN ACUMULADO]]/$G$471</f>
        <v>0.95170454545454541</v>
      </c>
      <c r="T430" s="7">
        <f t="shared" si="13"/>
        <v>0.15482954545454544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160</v>
      </c>
      <c r="F431">
        <v>3</v>
      </c>
      <c r="G431">
        <v>673</v>
      </c>
      <c r="H431">
        <v>0</v>
      </c>
      <c r="I431">
        <v>109</v>
      </c>
      <c r="J431" t="s">
        <v>809</v>
      </c>
      <c r="K431">
        <f>+WEEKNUM(AV_PLAN[[#This Row],[Días]])</f>
        <v>17</v>
      </c>
      <c r="L431" s="4">
        <f>IFERROR(AV_PLAN[[#This Row],[INICIO REAL ACUMULADO]]/AV_PLAN[[#This Row],[PLAN ACUMULADO]],"")</f>
        <v>0.22727272727272727</v>
      </c>
      <c r="M431" s="4">
        <f>IFERROR(AV_PLAN[[#This Row],[TERMINO REAL ACUMULADO]]/AV_PLAN[[#This Row],[TERMINO PLAN ACUMULADO]],"")</f>
        <v>0.16196136701337296</v>
      </c>
      <c r="N431">
        <f>+AV_PLAN[[#This Row],[PLAN ACUMULADO]]-AV_PLAN[[#This Row],[INICIO REAL ACUMULADO]]</f>
        <v>544</v>
      </c>
      <c r="O431">
        <f>+AV_PLAN[[#This Row],[TERMINO PLAN ACUMULADO]]-AV_PLAN[[#This Row],[TERMINO REAL ACUMULADO]]</f>
        <v>564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0.22727272727272727</v>
      </c>
      <c r="S431" s="7">
        <f>+AV_PLAN[[#This Row],[TERMINO PLAN ACUMULADO]]/$G$471</f>
        <v>0.95596590909090906</v>
      </c>
      <c r="T431" s="7">
        <f t="shared" si="13"/>
        <v>0.15482954545454544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160</v>
      </c>
      <c r="F432">
        <v>3</v>
      </c>
      <c r="G432">
        <v>676</v>
      </c>
      <c r="H432">
        <v>0</v>
      </c>
      <c r="I432">
        <v>109</v>
      </c>
      <c r="J432" t="s">
        <v>809</v>
      </c>
      <c r="K432">
        <f>+WEEKNUM(AV_PLAN[[#This Row],[Días]])</f>
        <v>17</v>
      </c>
      <c r="L432" s="4">
        <f>IFERROR(AV_PLAN[[#This Row],[INICIO REAL ACUMULADO]]/AV_PLAN[[#This Row],[PLAN ACUMULADO]],"")</f>
        <v>0.22727272727272727</v>
      </c>
      <c r="M432" s="4">
        <f>IFERROR(AV_PLAN[[#This Row],[TERMINO REAL ACUMULADO]]/AV_PLAN[[#This Row],[TERMINO PLAN ACUMULADO]],"")</f>
        <v>0.16124260355029585</v>
      </c>
      <c r="N432">
        <f>+AV_PLAN[[#This Row],[PLAN ACUMULADO]]-AV_PLAN[[#This Row],[INICIO REAL ACUMULADO]]</f>
        <v>544</v>
      </c>
      <c r="O432">
        <f>+AV_PLAN[[#This Row],[TERMINO PLAN ACUMULADO]]-AV_PLAN[[#This Row],[TERMINO REAL ACUMULADO]]</f>
        <v>567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0.22727272727272727</v>
      </c>
      <c r="S432" s="7">
        <f>+AV_PLAN[[#This Row],[TERMINO PLAN ACUMULADO]]/$G$471</f>
        <v>0.96022727272727271</v>
      </c>
      <c r="T432" s="7">
        <f t="shared" si="13"/>
        <v>0.15482954545454544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160</v>
      </c>
      <c r="F433">
        <v>2</v>
      </c>
      <c r="G433">
        <v>678</v>
      </c>
      <c r="H433">
        <v>0</v>
      </c>
      <c r="I433">
        <v>109</v>
      </c>
      <c r="J433" t="s">
        <v>809</v>
      </c>
      <c r="K433">
        <f>+WEEKNUM(AV_PLAN[[#This Row],[Días]])</f>
        <v>17</v>
      </c>
      <c r="L433" s="4">
        <f>IFERROR(AV_PLAN[[#This Row],[INICIO REAL ACUMULADO]]/AV_PLAN[[#This Row],[PLAN ACUMULADO]],"")</f>
        <v>0.22727272727272727</v>
      </c>
      <c r="M433" s="4">
        <f>IFERROR(AV_PLAN[[#This Row],[TERMINO REAL ACUMULADO]]/AV_PLAN[[#This Row],[TERMINO PLAN ACUMULADO]],"")</f>
        <v>0.16076696165191739</v>
      </c>
      <c r="N433">
        <f>+AV_PLAN[[#This Row],[PLAN ACUMULADO]]-AV_PLAN[[#This Row],[INICIO REAL ACUMULADO]]</f>
        <v>544</v>
      </c>
      <c r="O433">
        <f>+AV_PLAN[[#This Row],[TERMINO PLAN ACUMULADO]]-AV_PLAN[[#This Row],[TERMINO REAL ACUMULADO]]</f>
        <v>569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0.22727272727272727</v>
      </c>
      <c r="S433" s="7">
        <f>+AV_PLAN[[#This Row],[TERMINO PLAN ACUMULADO]]/$G$471</f>
        <v>0.96306818181818177</v>
      </c>
      <c r="T433" s="7">
        <f t="shared" si="13"/>
        <v>0.15482954545454544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160</v>
      </c>
      <c r="F434">
        <v>1</v>
      </c>
      <c r="G434">
        <v>679</v>
      </c>
      <c r="H434">
        <v>0</v>
      </c>
      <c r="I434">
        <v>109</v>
      </c>
      <c r="J434" t="s">
        <v>809</v>
      </c>
      <c r="K434">
        <f>+WEEKNUM(AV_PLAN[[#This Row],[Días]])</f>
        <v>17</v>
      </c>
      <c r="L434" s="4">
        <f>IFERROR(AV_PLAN[[#This Row],[INICIO REAL ACUMULADO]]/AV_PLAN[[#This Row],[PLAN ACUMULADO]],"")</f>
        <v>0.22727272727272727</v>
      </c>
      <c r="M434" s="4">
        <f>IFERROR(AV_PLAN[[#This Row],[TERMINO REAL ACUMULADO]]/AV_PLAN[[#This Row],[TERMINO PLAN ACUMULADO]],"")</f>
        <v>0.16053019145802652</v>
      </c>
      <c r="N434">
        <f>+AV_PLAN[[#This Row],[PLAN ACUMULADO]]-AV_PLAN[[#This Row],[INICIO REAL ACUMULADO]]</f>
        <v>544</v>
      </c>
      <c r="O434">
        <f>+AV_PLAN[[#This Row],[TERMINO PLAN ACUMULADO]]-AV_PLAN[[#This Row],[TERMINO REAL ACUMULADO]]</f>
        <v>570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0.22727272727272727</v>
      </c>
      <c r="S434" s="7">
        <f>+AV_PLAN[[#This Row],[TERMINO PLAN ACUMULADO]]/$G$471</f>
        <v>0.96448863636363635</v>
      </c>
      <c r="T434" s="7">
        <f t="shared" si="13"/>
        <v>0.15482954545454544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160</v>
      </c>
      <c r="F435">
        <v>2</v>
      </c>
      <c r="G435">
        <v>681</v>
      </c>
      <c r="H435">
        <v>0</v>
      </c>
      <c r="I435">
        <v>109</v>
      </c>
      <c r="J435" t="s">
        <v>809</v>
      </c>
      <c r="K435">
        <f>+WEEKNUM(AV_PLAN[[#This Row],[Días]])</f>
        <v>18</v>
      </c>
      <c r="L435" s="4">
        <f>IFERROR(AV_PLAN[[#This Row],[INICIO REAL ACUMULADO]]/AV_PLAN[[#This Row],[PLAN ACUMULADO]],"")</f>
        <v>0.22727272727272727</v>
      </c>
      <c r="M435" s="4">
        <f>IFERROR(AV_PLAN[[#This Row],[TERMINO REAL ACUMULADO]]/AV_PLAN[[#This Row],[TERMINO PLAN ACUMULADO]],"")</f>
        <v>0.16005873715124816</v>
      </c>
      <c r="N435">
        <f>+AV_PLAN[[#This Row],[PLAN ACUMULADO]]-AV_PLAN[[#This Row],[INICIO REAL ACUMULADO]]</f>
        <v>544</v>
      </c>
      <c r="O435">
        <f>+AV_PLAN[[#This Row],[TERMINO PLAN ACUMULADO]]-AV_PLAN[[#This Row],[TERMINO REAL ACUMULADO]]</f>
        <v>572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0.22727272727272727</v>
      </c>
      <c r="S435" s="7">
        <f>+AV_PLAN[[#This Row],[TERMINO PLAN ACUMULADO]]/$G$471</f>
        <v>0.96732954545454541</v>
      </c>
      <c r="T435" s="7">
        <f t="shared" si="13"/>
        <v>0.15482954545454544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160</v>
      </c>
      <c r="F436">
        <v>2</v>
      </c>
      <c r="G436">
        <v>683</v>
      </c>
      <c r="H436">
        <v>0</v>
      </c>
      <c r="I436">
        <v>109</v>
      </c>
      <c r="J436" t="s">
        <v>809</v>
      </c>
      <c r="K436">
        <f>+WEEKNUM(AV_PLAN[[#This Row],[Días]])</f>
        <v>18</v>
      </c>
      <c r="L436" s="4">
        <f>IFERROR(AV_PLAN[[#This Row],[INICIO REAL ACUMULADO]]/AV_PLAN[[#This Row],[PLAN ACUMULADO]],"")</f>
        <v>0.22727272727272727</v>
      </c>
      <c r="M436" s="4">
        <f>IFERROR(AV_PLAN[[#This Row],[TERMINO REAL ACUMULADO]]/AV_PLAN[[#This Row],[TERMINO PLAN ACUMULADO]],"")</f>
        <v>0.1595900439238653</v>
      </c>
      <c r="N436">
        <f>+AV_PLAN[[#This Row],[PLAN ACUMULADO]]-AV_PLAN[[#This Row],[INICIO REAL ACUMULADO]]</f>
        <v>544</v>
      </c>
      <c r="O436">
        <f>+AV_PLAN[[#This Row],[TERMINO PLAN ACUMULADO]]-AV_PLAN[[#This Row],[TERMINO REAL ACUMULADO]]</f>
        <v>574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0.22727272727272727</v>
      </c>
      <c r="S436" s="7">
        <f>+AV_PLAN[[#This Row],[TERMINO PLAN ACUMULADO]]/$G$471</f>
        <v>0.97017045454545459</v>
      </c>
      <c r="T436" s="7">
        <f t="shared" si="13"/>
        <v>0.15482954545454544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160</v>
      </c>
      <c r="F437">
        <v>2</v>
      </c>
      <c r="G437">
        <v>685</v>
      </c>
      <c r="H437">
        <v>0</v>
      </c>
      <c r="I437">
        <v>109</v>
      </c>
      <c r="J437" t="s">
        <v>809</v>
      </c>
      <c r="K437">
        <f>+WEEKNUM(AV_PLAN[[#This Row],[Días]])</f>
        <v>18</v>
      </c>
      <c r="L437" s="4">
        <f>IFERROR(AV_PLAN[[#This Row],[INICIO REAL ACUMULADO]]/AV_PLAN[[#This Row],[PLAN ACUMULADO]],"")</f>
        <v>0.22727272727272727</v>
      </c>
      <c r="M437" s="4">
        <f>IFERROR(AV_PLAN[[#This Row],[TERMINO REAL ACUMULADO]]/AV_PLAN[[#This Row],[TERMINO PLAN ACUMULADO]],"")</f>
        <v>0.15912408759124089</v>
      </c>
      <c r="N437">
        <f>+AV_PLAN[[#This Row],[PLAN ACUMULADO]]-AV_PLAN[[#This Row],[INICIO REAL ACUMULADO]]</f>
        <v>544</v>
      </c>
      <c r="O437">
        <f>+AV_PLAN[[#This Row],[TERMINO PLAN ACUMULADO]]-AV_PLAN[[#This Row],[TERMINO REAL ACUMULADO]]</f>
        <v>576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0.22727272727272727</v>
      </c>
      <c r="S437" s="7">
        <f>+AV_PLAN[[#This Row],[TERMINO PLAN ACUMULADO]]/$G$471</f>
        <v>0.97301136363636365</v>
      </c>
      <c r="T437" s="7">
        <f t="shared" si="13"/>
        <v>0.15482954545454544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160</v>
      </c>
      <c r="F438">
        <v>3</v>
      </c>
      <c r="G438">
        <v>688</v>
      </c>
      <c r="H438">
        <v>0</v>
      </c>
      <c r="I438">
        <v>109</v>
      </c>
      <c r="J438" t="s">
        <v>809</v>
      </c>
      <c r="K438">
        <f>+WEEKNUM(AV_PLAN[[#This Row],[Días]])</f>
        <v>18</v>
      </c>
      <c r="L438" s="4">
        <f>IFERROR(AV_PLAN[[#This Row],[INICIO REAL ACUMULADO]]/AV_PLAN[[#This Row],[PLAN ACUMULADO]],"")</f>
        <v>0.22727272727272727</v>
      </c>
      <c r="M438" s="4">
        <f>IFERROR(AV_PLAN[[#This Row],[TERMINO REAL ACUMULADO]]/AV_PLAN[[#This Row],[TERMINO PLAN ACUMULADO]],"")</f>
        <v>0.15843023255813954</v>
      </c>
      <c r="N438">
        <f>+AV_PLAN[[#This Row],[PLAN ACUMULADO]]-AV_PLAN[[#This Row],[INICIO REAL ACUMULADO]]</f>
        <v>544</v>
      </c>
      <c r="O438">
        <f>+AV_PLAN[[#This Row],[TERMINO PLAN ACUMULADO]]-AV_PLAN[[#This Row],[TERMINO REAL ACUMULADO]]</f>
        <v>579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0.22727272727272727</v>
      </c>
      <c r="S438" s="7">
        <f>+AV_PLAN[[#This Row],[TERMINO PLAN ACUMULADO]]/$G$471</f>
        <v>0.97727272727272729</v>
      </c>
      <c r="T438" s="7">
        <f t="shared" si="13"/>
        <v>0.15482954545454544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160</v>
      </c>
      <c r="F439">
        <v>3</v>
      </c>
      <c r="G439">
        <v>691</v>
      </c>
      <c r="H439">
        <v>0</v>
      </c>
      <c r="I439">
        <v>109</v>
      </c>
      <c r="J439" t="s">
        <v>809</v>
      </c>
      <c r="K439">
        <f>+WEEKNUM(AV_PLAN[[#This Row],[Días]])</f>
        <v>18</v>
      </c>
      <c r="L439" s="4">
        <f>IFERROR(AV_PLAN[[#This Row],[INICIO REAL ACUMULADO]]/AV_PLAN[[#This Row],[PLAN ACUMULADO]],"")</f>
        <v>0.22727272727272727</v>
      </c>
      <c r="M439" s="4">
        <f>IFERROR(AV_PLAN[[#This Row],[TERMINO REAL ACUMULADO]]/AV_PLAN[[#This Row],[TERMINO PLAN ACUMULADO]],"")</f>
        <v>0.15774240231548481</v>
      </c>
      <c r="N439">
        <f>+AV_PLAN[[#This Row],[PLAN ACUMULADO]]-AV_PLAN[[#This Row],[INICIO REAL ACUMULADO]]</f>
        <v>544</v>
      </c>
      <c r="O439">
        <f>+AV_PLAN[[#This Row],[TERMINO PLAN ACUMULADO]]-AV_PLAN[[#This Row],[TERMINO REAL ACUMULADO]]</f>
        <v>582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0.22727272727272727</v>
      </c>
      <c r="S439" s="7">
        <f>+AV_PLAN[[#This Row],[TERMINO PLAN ACUMULADO]]/$G$471</f>
        <v>0.98153409090909094</v>
      </c>
      <c r="T439" s="7">
        <f t="shared" si="13"/>
        <v>0.15482954545454544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160</v>
      </c>
      <c r="F440">
        <v>1</v>
      </c>
      <c r="G440">
        <v>692</v>
      </c>
      <c r="H440">
        <v>0</v>
      </c>
      <c r="I440">
        <v>109</v>
      </c>
      <c r="J440" t="s">
        <v>809</v>
      </c>
      <c r="K440">
        <f>+WEEKNUM(AV_PLAN[[#This Row],[Días]])</f>
        <v>18</v>
      </c>
      <c r="L440" s="4">
        <f>IFERROR(AV_PLAN[[#This Row],[INICIO REAL ACUMULADO]]/AV_PLAN[[#This Row],[PLAN ACUMULADO]],"")</f>
        <v>0.22727272727272727</v>
      </c>
      <c r="M440" s="4">
        <f>IFERROR(AV_PLAN[[#This Row],[TERMINO REAL ACUMULADO]]/AV_PLAN[[#This Row],[TERMINO PLAN ACUMULADO]],"")</f>
        <v>0.15751445086705201</v>
      </c>
      <c r="N440">
        <f>+AV_PLAN[[#This Row],[PLAN ACUMULADO]]-AV_PLAN[[#This Row],[INICIO REAL ACUMULADO]]</f>
        <v>544</v>
      </c>
      <c r="O440">
        <f>+AV_PLAN[[#This Row],[TERMINO PLAN ACUMULADO]]-AV_PLAN[[#This Row],[TERMINO REAL ACUMULADO]]</f>
        <v>583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0.22727272727272727</v>
      </c>
      <c r="S440" s="7">
        <f>+AV_PLAN[[#This Row],[TERMINO PLAN ACUMULADO]]/$G$471</f>
        <v>0.98295454545454541</v>
      </c>
      <c r="T440" s="7">
        <f t="shared" si="13"/>
        <v>0.15482954545454544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160</v>
      </c>
      <c r="F441">
        <v>1</v>
      </c>
      <c r="G441">
        <v>693</v>
      </c>
      <c r="H441">
        <v>0</v>
      </c>
      <c r="I441">
        <v>109</v>
      </c>
      <c r="J441" t="s">
        <v>810</v>
      </c>
      <c r="K441">
        <f>+WEEKNUM(AV_PLAN[[#This Row],[Días]])</f>
        <v>18</v>
      </c>
      <c r="L441" s="4">
        <f>IFERROR(AV_PLAN[[#This Row],[INICIO REAL ACUMULADO]]/AV_PLAN[[#This Row],[PLAN ACUMULADO]],"")</f>
        <v>0.22727272727272727</v>
      </c>
      <c r="M441" s="4">
        <f>IFERROR(AV_PLAN[[#This Row],[TERMINO REAL ACUMULADO]]/AV_PLAN[[#This Row],[TERMINO PLAN ACUMULADO]],"")</f>
        <v>0.15728715728715728</v>
      </c>
      <c r="N441">
        <f>+AV_PLAN[[#This Row],[PLAN ACUMULADO]]-AV_PLAN[[#This Row],[INICIO REAL ACUMULADO]]</f>
        <v>544</v>
      </c>
      <c r="O441">
        <f>+AV_PLAN[[#This Row],[TERMINO PLAN ACUMULADO]]-AV_PLAN[[#This Row],[TERMINO REAL ACUMULADO]]</f>
        <v>584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0.22727272727272727</v>
      </c>
      <c r="S441" s="7">
        <f>+AV_PLAN[[#This Row],[TERMINO PLAN ACUMULADO]]/$G$471</f>
        <v>0.984375</v>
      </c>
      <c r="T441" s="7">
        <f t="shared" si="13"/>
        <v>0.15482954545454544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160</v>
      </c>
      <c r="F442">
        <v>3</v>
      </c>
      <c r="G442">
        <v>696</v>
      </c>
      <c r="H442">
        <v>0</v>
      </c>
      <c r="I442">
        <v>109</v>
      </c>
      <c r="J442" t="s">
        <v>810</v>
      </c>
      <c r="K442">
        <f>+WEEKNUM(AV_PLAN[[#This Row],[Días]])</f>
        <v>19</v>
      </c>
      <c r="L442" s="4">
        <f>IFERROR(AV_PLAN[[#This Row],[INICIO REAL ACUMULADO]]/AV_PLAN[[#This Row],[PLAN ACUMULADO]],"")</f>
        <v>0.22727272727272727</v>
      </c>
      <c r="M442" s="4">
        <f>IFERROR(AV_PLAN[[#This Row],[TERMINO REAL ACUMULADO]]/AV_PLAN[[#This Row],[TERMINO PLAN ACUMULADO]],"")</f>
        <v>0.15660919540229884</v>
      </c>
      <c r="N442">
        <f>+AV_PLAN[[#This Row],[PLAN ACUMULADO]]-AV_PLAN[[#This Row],[INICIO REAL ACUMULADO]]</f>
        <v>544</v>
      </c>
      <c r="O442">
        <f>+AV_PLAN[[#This Row],[TERMINO PLAN ACUMULADO]]-AV_PLAN[[#This Row],[TERMINO REAL ACUMULADO]]</f>
        <v>587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0.22727272727272727</v>
      </c>
      <c r="S442" s="7">
        <f>+AV_PLAN[[#This Row],[TERMINO PLAN ACUMULADO]]/$G$471</f>
        <v>0.98863636363636365</v>
      </c>
      <c r="T442" s="7">
        <f t="shared" si="13"/>
        <v>0.15482954545454544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160</v>
      </c>
      <c r="F443">
        <v>0</v>
      </c>
      <c r="G443">
        <v>696</v>
      </c>
      <c r="H443">
        <v>0</v>
      </c>
      <c r="I443">
        <v>109</v>
      </c>
      <c r="J443" t="s">
        <v>810</v>
      </c>
      <c r="K443">
        <f>+WEEKNUM(AV_PLAN[[#This Row],[Días]])</f>
        <v>19</v>
      </c>
      <c r="L443" s="4">
        <f>IFERROR(AV_PLAN[[#This Row],[INICIO REAL ACUMULADO]]/AV_PLAN[[#This Row],[PLAN ACUMULADO]],"")</f>
        <v>0.22727272727272727</v>
      </c>
      <c r="M443" s="4">
        <f>IFERROR(AV_PLAN[[#This Row],[TERMINO REAL ACUMULADO]]/AV_PLAN[[#This Row],[TERMINO PLAN ACUMULADO]],"")</f>
        <v>0.15660919540229884</v>
      </c>
      <c r="N443">
        <f>+AV_PLAN[[#This Row],[PLAN ACUMULADO]]-AV_PLAN[[#This Row],[INICIO REAL ACUMULADO]]</f>
        <v>544</v>
      </c>
      <c r="O443">
        <f>+AV_PLAN[[#This Row],[TERMINO PLAN ACUMULADO]]-AV_PLAN[[#This Row],[TERMINO REAL ACUMULADO]]</f>
        <v>587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0.22727272727272727</v>
      </c>
      <c r="S443" s="7">
        <f>+AV_PLAN[[#This Row],[TERMINO PLAN ACUMULADO]]/$G$471</f>
        <v>0.98863636363636365</v>
      </c>
      <c r="T443" s="7">
        <f t="shared" si="13"/>
        <v>0.15482954545454544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160</v>
      </c>
      <c r="F444">
        <v>0</v>
      </c>
      <c r="G444">
        <v>696</v>
      </c>
      <c r="H444">
        <v>0</v>
      </c>
      <c r="I444">
        <v>109</v>
      </c>
      <c r="J444" t="s">
        <v>810</v>
      </c>
      <c r="K444">
        <f>+WEEKNUM(AV_PLAN[[#This Row],[Días]])</f>
        <v>19</v>
      </c>
      <c r="L444" s="4">
        <f>IFERROR(AV_PLAN[[#This Row],[INICIO REAL ACUMULADO]]/AV_PLAN[[#This Row],[PLAN ACUMULADO]],"")</f>
        <v>0.22727272727272727</v>
      </c>
      <c r="M444" s="4">
        <f>IFERROR(AV_PLAN[[#This Row],[TERMINO REAL ACUMULADO]]/AV_PLAN[[#This Row],[TERMINO PLAN ACUMULADO]],"")</f>
        <v>0.15660919540229884</v>
      </c>
      <c r="N444">
        <f>+AV_PLAN[[#This Row],[PLAN ACUMULADO]]-AV_PLAN[[#This Row],[INICIO REAL ACUMULADO]]</f>
        <v>544</v>
      </c>
      <c r="O444">
        <f>+AV_PLAN[[#This Row],[TERMINO PLAN ACUMULADO]]-AV_PLAN[[#This Row],[TERMINO REAL ACUMULADO]]</f>
        <v>587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0.22727272727272727</v>
      </c>
      <c r="S444" s="7">
        <f>+AV_PLAN[[#This Row],[TERMINO PLAN ACUMULADO]]/$G$471</f>
        <v>0.98863636363636365</v>
      </c>
      <c r="T444" s="7">
        <f t="shared" si="13"/>
        <v>0.15482954545454544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160</v>
      </c>
      <c r="F445">
        <v>2</v>
      </c>
      <c r="G445">
        <v>698</v>
      </c>
      <c r="H445">
        <v>0</v>
      </c>
      <c r="I445">
        <v>109</v>
      </c>
      <c r="J445" t="s">
        <v>810</v>
      </c>
      <c r="K445">
        <f>+WEEKNUM(AV_PLAN[[#This Row],[Días]])</f>
        <v>19</v>
      </c>
      <c r="L445" s="4">
        <f>IFERROR(AV_PLAN[[#This Row],[INICIO REAL ACUMULADO]]/AV_PLAN[[#This Row],[PLAN ACUMULADO]],"")</f>
        <v>0.22727272727272727</v>
      </c>
      <c r="M445" s="4">
        <f>IFERROR(AV_PLAN[[#This Row],[TERMINO REAL ACUMULADO]]/AV_PLAN[[#This Row],[TERMINO PLAN ACUMULADO]],"")</f>
        <v>0.15616045845272206</v>
      </c>
      <c r="N445">
        <f>+AV_PLAN[[#This Row],[PLAN ACUMULADO]]-AV_PLAN[[#This Row],[INICIO REAL ACUMULADO]]</f>
        <v>544</v>
      </c>
      <c r="O445">
        <f>+AV_PLAN[[#This Row],[TERMINO PLAN ACUMULADO]]-AV_PLAN[[#This Row],[TERMINO REAL ACUMULADO]]</f>
        <v>589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0.22727272727272727</v>
      </c>
      <c r="S445" s="7">
        <f>+AV_PLAN[[#This Row],[TERMINO PLAN ACUMULADO]]/$G$471</f>
        <v>0.99147727272727271</v>
      </c>
      <c r="T445" s="7">
        <f t="shared" si="13"/>
        <v>0.15482954545454544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160</v>
      </c>
      <c r="F446">
        <v>1</v>
      </c>
      <c r="G446">
        <v>699</v>
      </c>
      <c r="H446">
        <v>0</v>
      </c>
      <c r="I446">
        <v>109</v>
      </c>
      <c r="J446" t="s">
        <v>810</v>
      </c>
      <c r="K446">
        <f>+WEEKNUM(AV_PLAN[[#This Row],[Días]])</f>
        <v>19</v>
      </c>
      <c r="L446" s="4">
        <f>IFERROR(AV_PLAN[[#This Row],[INICIO REAL ACUMULADO]]/AV_PLAN[[#This Row],[PLAN ACUMULADO]],"")</f>
        <v>0.22727272727272727</v>
      </c>
      <c r="M446" s="4">
        <f>IFERROR(AV_PLAN[[#This Row],[TERMINO REAL ACUMULADO]]/AV_PLAN[[#This Row],[TERMINO PLAN ACUMULADO]],"")</f>
        <v>0.15593705293276108</v>
      </c>
      <c r="N446">
        <f>+AV_PLAN[[#This Row],[PLAN ACUMULADO]]-AV_PLAN[[#This Row],[INICIO REAL ACUMULADO]]</f>
        <v>544</v>
      </c>
      <c r="O446">
        <f>+AV_PLAN[[#This Row],[TERMINO PLAN ACUMULADO]]-AV_PLAN[[#This Row],[TERMINO REAL ACUMULADO]]</f>
        <v>590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0.22727272727272727</v>
      </c>
      <c r="S446" s="7">
        <f>+AV_PLAN[[#This Row],[TERMINO PLAN ACUMULADO]]/$G$471</f>
        <v>0.99289772727272729</v>
      </c>
      <c r="T446" s="7">
        <f t="shared" si="13"/>
        <v>0.15482954545454544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160</v>
      </c>
      <c r="F447">
        <v>1</v>
      </c>
      <c r="G447">
        <v>700</v>
      </c>
      <c r="H447">
        <v>0</v>
      </c>
      <c r="I447">
        <v>109</v>
      </c>
      <c r="J447" t="s">
        <v>810</v>
      </c>
      <c r="K447">
        <f>+WEEKNUM(AV_PLAN[[#This Row],[Días]])</f>
        <v>19</v>
      </c>
      <c r="L447" s="4">
        <f>IFERROR(AV_PLAN[[#This Row],[INICIO REAL ACUMULADO]]/AV_PLAN[[#This Row],[PLAN ACUMULADO]],"")</f>
        <v>0.22727272727272727</v>
      </c>
      <c r="M447" s="4">
        <f>IFERROR(AV_PLAN[[#This Row],[TERMINO REAL ACUMULADO]]/AV_PLAN[[#This Row],[TERMINO PLAN ACUMULADO]],"")</f>
        <v>0.15571428571428572</v>
      </c>
      <c r="N447">
        <f>+AV_PLAN[[#This Row],[PLAN ACUMULADO]]-AV_PLAN[[#This Row],[INICIO REAL ACUMULADO]]</f>
        <v>544</v>
      </c>
      <c r="O447">
        <f>+AV_PLAN[[#This Row],[TERMINO PLAN ACUMULADO]]-AV_PLAN[[#This Row],[TERMINO REAL ACUMULADO]]</f>
        <v>591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0.22727272727272727</v>
      </c>
      <c r="S447" s="7">
        <f>+AV_PLAN[[#This Row],[TERMINO PLAN ACUMULADO]]/$G$471</f>
        <v>0.99431818181818177</v>
      </c>
      <c r="T447" s="7">
        <f t="shared" si="13"/>
        <v>0.15482954545454544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160</v>
      </c>
      <c r="F448">
        <v>2</v>
      </c>
      <c r="G448">
        <v>702</v>
      </c>
      <c r="H448">
        <v>0</v>
      </c>
      <c r="I448">
        <v>109</v>
      </c>
      <c r="J448" t="s">
        <v>810</v>
      </c>
      <c r="K448">
        <f>+WEEKNUM(AV_PLAN[[#This Row],[Días]])</f>
        <v>19</v>
      </c>
      <c r="L448" s="4">
        <f>IFERROR(AV_PLAN[[#This Row],[INICIO REAL ACUMULADO]]/AV_PLAN[[#This Row],[PLAN ACUMULADO]],"")</f>
        <v>0.22727272727272727</v>
      </c>
      <c r="M448" s="4">
        <f>IFERROR(AV_PLAN[[#This Row],[TERMINO REAL ACUMULADO]]/AV_PLAN[[#This Row],[TERMINO PLAN ACUMULADO]],"")</f>
        <v>0.15527065527065528</v>
      </c>
      <c r="N448">
        <f>+AV_PLAN[[#This Row],[PLAN ACUMULADO]]-AV_PLAN[[#This Row],[INICIO REAL ACUMULADO]]</f>
        <v>544</v>
      </c>
      <c r="O448">
        <f>+AV_PLAN[[#This Row],[TERMINO PLAN ACUMULADO]]-AV_PLAN[[#This Row],[TERMINO REAL ACUMULADO]]</f>
        <v>593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0.22727272727272727</v>
      </c>
      <c r="S448" s="7">
        <f>+AV_PLAN[[#This Row],[TERMINO PLAN ACUMULADO]]/$G$471</f>
        <v>0.99715909090909094</v>
      </c>
      <c r="T448" s="7">
        <f t="shared" si="13"/>
        <v>0.15482954545454544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160</v>
      </c>
      <c r="F449">
        <v>2</v>
      </c>
      <c r="G449">
        <v>704</v>
      </c>
      <c r="H449">
        <v>0</v>
      </c>
      <c r="I449">
        <v>109</v>
      </c>
      <c r="J449" t="s">
        <v>810</v>
      </c>
      <c r="K449">
        <f>+WEEKNUM(AV_PLAN[[#This Row],[Días]])</f>
        <v>20</v>
      </c>
      <c r="L449" s="4">
        <f>IFERROR(AV_PLAN[[#This Row],[INICIO REAL ACUMULADO]]/AV_PLAN[[#This Row],[PLAN ACUMULADO]],"")</f>
        <v>0.22727272727272727</v>
      </c>
      <c r="M449" s="4">
        <f>IFERROR(AV_PLAN[[#This Row],[TERMINO REAL ACUMULADO]]/AV_PLAN[[#This Row],[TERMINO PLAN ACUMULADO]],"")</f>
        <v>0.15482954545454544</v>
      </c>
      <c r="N449">
        <f>+AV_PLAN[[#This Row],[PLAN ACUMULADO]]-AV_PLAN[[#This Row],[INICIO REAL ACUMULADO]]</f>
        <v>544</v>
      </c>
      <c r="O449">
        <f>+AV_PLAN[[#This Row],[TERMINO PLAN ACUMULADO]]-AV_PLAN[[#This Row],[TERMINO REAL ACUMULADO]]</f>
        <v>595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0.22727272727272727</v>
      </c>
      <c r="S449" s="7">
        <f>+AV_PLAN[[#This Row],[TERMINO PLAN ACUMULADO]]/$G$471</f>
        <v>1</v>
      </c>
      <c r="T449" s="7">
        <f t="shared" si="13"/>
        <v>0.15482954545454544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160</v>
      </c>
      <c r="F450">
        <v>0</v>
      </c>
      <c r="G450">
        <v>704</v>
      </c>
      <c r="H450">
        <v>0</v>
      </c>
      <c r="I450">
        <v>109</v>
      </c>
      <c r="J450" t="s">
        <v>810</v>
      </c>
      <c r="K450">
        <f>+WEEKNUM(AV_PLAN[[#This Row],[Días]])</f>
        <v>20</v>
      </c>
      <c r="L450" s="4">
        <f>IFERROR(AV_PLAN[[#This Row],[INICIO REAL ACUMULADO]]/AV_PLAN[[#This Row],[PLAN ACUMULADO]],"")</f>
        <v>0.22727272727272727</v>
      </c>
      <c r="M450" s="4">
        <f>IFERROR(AV_PLAN[[#This Row],[TERMINO REAL ACUMULADO]]/AV_PLAN[[#This Row],[TERMINO PLAN ACUMULADO]],"")</f>
        <v>0.15482954545454544</v>
      </c>
      <c r="N450">
        <f>+AV_PLAN[[#This Row],[PLAN ACUMULADO]]-AV_PLAN[[#This Row],[INICIO REAL ACUMULADO]]</f>
        <v>544</v>
      </c>
      <c r="O450">
        <f>+AV_PLAN[[#This Row],[TERMINO PLAN ACUMULADO]]-AV_PLAN[[#This Row],[TERMINO REAL ACUMULADO]]</f>
        <v>595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0.22727272727272727</v>
      </c>
      <c r="S450" s="7">
        <f>+AV_PLAN[[#This Row],[TERMINO PLAN ACUMULADO]]/$G$471</f>
        <v>1</v>
      </c>
      <c r="T450" s="7">
        <f t="shared" ref="T450:T471" si="15">IF(H450="",NA(),I450/$G$471)</f>
        <v>0.15482954545454544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160</v>
      </c>
      <c r="F451">
        <v>0</v>
      </c>
      <c r="G451">
        <v>704</v>
      </c>
      <c r="H451">
        <v>0</v>
      </c>
      <c r="I451">
        <v>109</v>
      </c>
      <c r="J451" t="s">
        <v>810</v>
      </c>
      <c r="K451">
        <f>+WEEKNUM(AV_PLAN[[#This Row],[Días]])</f>
        <v>20</v>
      </c>
      <c r="L451" s="4">
        <f>IFERROR(AV_PLAN[[#This Row],[INICIO REAL ACUMULADO]]/AV_PLAN[[#This Row],[PLAN ACUMULADO]],"")</f>
        <v>0.22727272727272727</v>
      </c>
      <c r="M451" s="4">
        <f>IFERROR(AV_PLAN[[#This Row],[TERMINO REAL ACUMULADO]]/AV_PLAN[[#This Row],[TERMINO PLAN ACUMULADO]],"")</f>
        <v>0.15482954545454544</v>
      </c>
      <c r="N451">
        <f>+AV_PLAN[[#This Row],[PLAN ACUMULADO]]-AV_PLAN[[#This Row],[INICIO REAL ACUMULADO]]</f>
        <v>544</v>
      </c>
      <c r="O451">
        <f>+AV_PLAN[[#This Row],[TERMINO PLAN ACUMULADO]]-AV_PLAN[[#This Row],[TERMINO REAL ACUMULADO]]</f>
        <v>595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0.22727272727272727</v>
      </c>
      <c r="S451" s="7">
        <f>+AV_PLAN[[#This Row],[TERMINO PLAN ACUMULADO]]/$G$471</f>
        <v>1</v>
      </c>
      <c r="T451" s="7">
        <f t="shared" si="15"/>
        <v>0.15482954545454544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160</v>
      </c>
      <c r="F452">
        <v>0</v>
      </c>
      <c r="G452">
        <v>704</v>
      </c>
      <c r="H452">
        <v>0</v>
      </c>
      <c r="I452">
        <v>109</v>
      </c>
      <c r="J452" t="s">
        <v>810</v>
      </c>
      <c r="K452">
        <f>+WEEKNUM(AV_PLAN[[#This Row],[Días]])</f>
        <v>20</v>
      </c>
      <c r="L452" s="4">
        <f>IFERROR(AV_PLAN[[#This Row],[INICIO REAL ACUMULADO]]/AV_PLAN[[#This Row],[PLAN ACUMULADO]],"")</f>
        <v>0.22727272727272727</v>
      </c>
      <c r="M452" s="4">
        <f>IFERROR(AV_PLAN[[#This Row],[TERMINO REAL ACUMULADO]]/AV_PLAN[[#This Row],[TERMINO PLAN ACUMULADO]],"")</f>
        <v>0.15482954545454544</v>
      </c>
      <c r="N452">
        <f>+AV_PLAN[[#This Row],[PLAN ACUMULADO]]-AV_PLAN[[#This Row],[INICIO REAL ACUMULADO]]</f>
        <v>544</v>
      </c>
      <c r="O452">
        <f>+AV_PLAN[[#This Row],[TERMINO PLAN ACUMULADO]]-AV_PLAN[[#This Row],[TERMINO REAL ACUMULADO]]</f>
        <v>595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0.22727272727272727</v>
      </c>
      <c r="S452" s="7">
        <f>+AV_PLAN[[#This Row],[TERMINO PLAN ACUMULADO]]/$G$471</f>
        <v>1</v>
      </c>
      <c r="T452" s="7">
        <f t="shared" si="15"/>
        <v>0.15482954545454544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160</v>
      </c>
      <c r="F453">
        <v>0</v>
      </c>
      <c r="G453">
        <v>704</v>
      </c>
      <c r="H453">
        <v>0</v>
      </c>
      <c r="I453">
        <v>109</v>
      </c>
      <c r="J453" t="s">
        <v>810</v>
      </c>
      <c r="K453">
        <f>+WEEKNUM(AV_PLAN[[#This Row],[Días]])</f>
        <v>20</v>
      </c>
      <c r="L453" s="4">
        <f>IFERROR(AV_PLAN[[#This Row],[INICIO REAL ACUMULADO]]/AV_PLAN[[#This Row],[PLAN ACUMULADO]],"")</f>
        <v>0.22727272727272727</v>
      </c>
      <c r="M453" s="4">
        <f>IFERROR(AV_PLAN[[#This Row],[TERMINO REAL ACUMULADO]]/AV_PLAN[[#This Row],[TERMINO PLAN ACUMULADO]],"")</f>
        <v>0.15482954545454544</v>
      </c>
      <c r="N453">
        <f>+AV_PLAN[[#This Row],[PLAN ACUMULADO]]-AV_PLAN[[#This Row],[INICIO REAL ACUMULADO]]</f>
        <v>544</v>
      </c>
      <c r="O453">
        <f>+AV_PLAN[[#This Row],[TERMINO PLAN ACUMULADO]]-AV_PLAN[[#This Row],[TERMINO REAL ACUMULADO]]</f>
        <v>595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0.22727272727272727</v>
      </c>
      <c r="S453" s="7">
        <f>+AV_PLAN[[#This Row],[TERMINO PLAN ACUMULADO]]/$G$471</f>
        <v>1</v>
      </c>
      <c r="T453" s="7">
        <f t="shared" si="15"/>
        <v>0.15482954545454544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160</v>
      </c>
      <c r="F454">
        <v>0</v>
      </c>
      <c r="G454">
        <v>704</v>
      </c>
      <c r="H454">
        <v>0</v>
      </c>
      <c r="I454">
        <v>109</v>
      </c>
      <c r="J454" t="s">
        <v>810</v>
      </c>
      <c r="K454">
        <f>+WEEKNUM(AV_PLAN[[#This Row],[Días]])</f>
        <v>20</v>
      </c>
      <c r="L454" s="4">
        <f>IFERROR(AV_PLAN[[#This Row],[INICIO REAL ACUMULADO]]/AV_PLAN[[#This Row],[PLAN ACUMULADO]],"")</f>
        <v>0.22727272727272727</v>
      </c>
      <c r="M454" s="4">
        <f>IFERROR(AV_PLAN[[#This Row],[TERMINO REAL ACUMULADO]]/AV_PLAN[[#This Row],[TERMINO PLAN ACUMULADO]],"")</f>
        <v>0.15482954545454544</v>
      </c>
      <c r="N454">
        <f>+AV_PLAN[[#This Row],[PLAN ACUMULADO]]-AV_PLAN[[#This Row],[INICIO REAL ACUMULADO]]</f>
        <v>544</v>
      </c>
      <c r="O454">
        <f>+AV_PLAN[[#This Row],[TERMINO PLAN ACUMULADO]]-AV_PLAN[[#This Row],[TERMINO REAL ACUMULADO]]</f>
        <v>595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0.22727272727272727</v>
      </c>
      <c r="S454" s="7">
        <f>+AV_PLAN[[#This Row],[TERMINO PLAN ACUMULADO]]/$G$471</f>
        <v>1</v>
      </c>
      <c r="T454" s="7">
        <f t="shared" si="15"/>
        <v>0.15482954545454544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160</v>
      </c>
      <c r="F455">
        <v>0</v>
      </c>
      <c r="G455">
        <v>704</v>
      </c>
      <c r="H455">
        <v>0</v>
      </c>
      <c r="I455">
        <v>109</v>
      </c>
      <c r="J455" t="s">
        <v>810</v>
      </c>
      <c r="K455">
        <f>+WEEKNUM(AV_PLAN[[#This Row],[Días]])</f>
        <v>20</v>
      </c>
      <c r="L455" s="4">
        <f>IFERROR(AV_PLAN[[#This Row],[INICIO REAL ACUMULADO]]/AV_PLAN[[#This Row],[PLAN ACUMULADO]],"")</f>
        <v>0.22727272727272727</v>
      </c>
      <c r="M455" s="4">
        <f>IFERROR(AV_PLAN[[#This Row],[TERMINO REAL ACUMULADO]]/AV_PLAN[[#This Row],[TERMINO PLAN ACUMULADO]],"")</f>
        <v>0.15482954545454544</v>
      </c>
      <c r="N455">
        <f>+AV_PLAN[[#This Row],[PLAN ACUMULADO]]-AV_PLAN[[#This Row],[INICIO REAL ACUMULADO]]</f>
        <v>544</v>
      </c>
      <c r="O455">
        <f>+AV_PLAN[[#This Row],[TERMINO PLAN ACUMULADO]]-AV_PLAN[[#This Row],[TERMINO REAL ACUMULADO]]</f>
        <v>595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0.22727272727272727</v>
      </c>
      <c r="S455" s="7">
        <f>+AV_PLAN[[#This Row],[TERMINO PLAN ACUMULADO]]/$G$471</f>
        <v>1</v>
      </c>
      <c r="T455" s="7">
        <f t="shared" si="15"/>
        <v>0.15482954545454544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160</v>
      </c>
      <c r="F456">
        <v>0</v>
      </c>
      <c r="G456">
        <v>704</v>
      </c>
      <c r="H456">
        <v>0</v>
      </c>
      <c r="I456">
        <v>109</v>
      </c>
      <c r="J456" t="s">
        <v>810</v>
      </c>
      <c r="K456">
        <f>+WEEKNUM(AV_PLAN[[#This Row],[Días]])</f>
        <v>21</v>
      </c>
      <c r="L456" s="4">
        <f>IFERROR(AV_PLAN[[#This Row],[INICIO REAL ACUMULADO]]/AV_PLAN[[#This Row],[PLAN ACUMULADO]],"")</f>
        <v>0.22727272727272727</v>
      </c>
      <c r="M456" s="4">
        <f>IFERROR(AV_PLAN[[#This Row],[TERMINO REAL ACUMULADO]]/AV_PLAN[[#This Row],[TERMINO PLAN ACUMULADO]],"")</f>
        <v>0.15482954545454544</v>
      </c>
      <c r="N456">
        <f>+AV_PLAN[[#This Row],[PLAN ACUMULADO]]-AV_PLAN[[#This Row],[INICIO REAL ACUMULADO]]</f>
        <v>544</v>
      </c>
      <c r="O456">
        <f>+AV_PLAN[[#This Row],[TERMINO PLAN ACUMULADO]]-AV_PLAN[[#This Row],[TERMINO REAL ACUMULADO]]</f>
        <v>595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0.22727272727272727</v>
      </c>
      <c r="S456" s="7">
        <f>+AV_PLAN[[#This Row],[TERMINO PLAN ACUMULADO]]/$G$471</f>
        <v>1</v>
      </c>
      <c r="T456" s="7">
        <f t="shared" si="15"/>
        <v>0.15482954545454544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160</v>
      </c>
      <c r="F457">
        <v>0</v>
      </c>
      <c r="G457">
        <v>704</v>
      </c>
      <c r="H457">
        <v>0</v>
      </c>
      <c r="I457">
        <v>109</v>
      </c>
      <c r="J457" t="s">
        <v>810</v>
      </c>
      <c r="K457">
        <f>+WEEKNUM(AV_PLAN[[#This Row],[Días]])</f>
        <v>21</v>
      </c>
      <c r="L457" s="4">
        <f>IFERROR(AV_PLAN[[#This Row],[INICIO REAL ACUMULADO]]/AV_PLAN[[#This Row],[PLAN ACUMULADO]],"")</f>
        <v>0.22727272727272727</v>
      </c>
      <c r="M457" s="4">
        <f>IFERROR(AV_PLAN[[#This Row],[TERMINO REAL ACUMULADO]]/AV_PLAN[[#This Row],[TERMINO PLAN ACUMULADO]],"")</f>
        <v>0.15482954545454544</v>
      </c>
      <c r="N457">
        <f>+AV_PLAN[[#This Row],[PLAN ACUMULADO]]-AV_PLAN[[#This Row],[INICIO REAL ACUMULADO]]</f>
        <v>544</v>
      </c>
      <c r="O457">
        <f>+AV_PLAN[[#This Row],[TERMINO PLAN ACUMULADO]]-AV_PLAN[[#This Row],[TERMINO REAL ACUMULADO]]</f>
        <v>595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0.22727272727272727</v>
      </c>
      <c r="S457" s="7">
        <f>+AV_PLAN[[#This Row],[TERMINO PLAN ACUMULADO]]/$G$471</f>
        <v>1</v>
      </c>
      <c r="T457" s="7">
        <f t="shared" si="15"/>
        <v>0.15482954545454544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160</v>
      </c>
      <c r="F458">
        <v>0</v>
      </c>
      <c r="G458">
        <v>704</v>
      </c>
      <c r="H458">
        <v>0</v>
      </c>
      <c r="I458">
        <v>109</v>
      </c>
      <c r="J458" t="s">
        <v>810</v>
      </c>
      <c r="K458">
        <f>+WEEKNUM(AV_PLAN[[#This Row],[Días]])</f>
        <v>21</v>
      </c>
      <c r="L458" s="4">
        <f>IFERROR(AV_PLAN[[#This Row],[INICIO REAL ACUMULADO]]/AV_PLAN[[#This Row],[PLAN ACUMULADO]],"")</f>
        <v>0.22727272727272727</v>
      </c>
      <c r="M458" s="4">
        <f>IFERROR(AV_PLAN[[#This Row],[TERMINO REAL ACUMULADO]]/AV_PLAN[[#This Row],[TERMINO PLAN ACUMULADO]],"")</f>
        <v>0.15482954545454544</v>
      </c>
      <c r="N458">
        <f>+AV_PLAN[[#This Row],[PLAN ACUMULADO]]-AV_PLAN[[#This Row],[INICIO REAL ACUMULADO]]</f>
        <v>544</v>
      </c>
      <c r="O458">
        <f>+AV_PLAN[[#This Row],[TERMINO PLAN ACUMULADO]]-AV_PLAN[[#This Row],[TERMINO REAL ACUMULADO]]</f>
        <v>595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0.22727272727272727</v>
      </c>
      <c r="S458" s="7">
        <f>+AV_PLAN[[#This Row],[TERMINO PLAN ACUMULADO]]/$G$471</f>
        <v>1</v>
      </c>
      <c r="T458" s="7">
        <f t="shared" si="15"/>
        <v>0.15482954545454544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160</v>
      </c>
      <c r="F459">
        <v>0</v>
      </c>
      <c r="G459">
        <v>704</v>
      </c>
      <c r="H459">
        <v>0</v>
      </c>
      <c r="I459">
        <v>109</v>
      </c>
      <c r="J459" t="s">
        <v>810</v>
      </c>
      <c r="K459">
        <f>+WEEKNUM(AV_PLAN[[#This Row],[Días]])</f>
        <v>21</v>
      </c>
      <c r="L459" s="4">
        <f>IFERROR(AV_PLAN[[#This Row],[INICIO REAL ACUMULADO]]/AV_PLAN[[#This Row],[PLAN ACUMULADO]],"")</f>
        <v>0.22727272727272727</v>
      </c>
      <c r="M459" s="4">
        <f>IFERROR(AV_PLAN[[#This Row],[TERMINO REAL ACUMULADO]]/AV_PLAN[[#This Row],[TERMINO PLAN ACUMULADO]],"")</f>
        <v>0.15482954545454544</v>
      </c>
      <c r="N459">
        <f>+AV_PLAN[[#This Row],[PLAN ACUMULADO]]-AV_PLAN[[#This Row],[INICIO REAL ACUMULADO]]</f>
        <v>544</v>
      </c>
      <c r="O459">
        <f>+AV_PLAN[[#This Row],[TERMINO PLAN ACUMULADO]]-AV_PLAN[[#This Row],[TERMINO REAL ACUMULADO]]</f>
        <v>595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0.22727272727272727</v>
      </c>
      <c r="S459" s="7">
        <f>+AV_PLAN[[#This Row],[TERMINO PLAN ACUMULADO]]/$G$471</f>
        <v>1</v>
      </c>
      <c r="T459" s="7">
        <f t="shared" si="15"/>
        <v>0.15482954545454544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160</v>
      </c>
      <c r="F460">
        <v>0</v>
      </c>
      <c r="G460">
        <v>704</v>
      </c>
      <c r="H460">
        <v>0</v>
      </c>
      <c r="I460">
        <v>109</v>
      </c>
      <c r="J460" t="s">
        <v>810</v>
      </c>
      <c r="K460">
        <f>+WEEKNUM(AV_PLAN[[#This Row],[Días]])</f>
        <v>21</v>
      </c>
      <c r="L460" s="4">
        <f>IFERROR(AV_PLAN[[#This Row],[INICIO REAL ACUMULADO]]/AV_PLAN[[#This Row],[PLAN ACUMULADO]],"")</f>
        <v>0.22727272727272727</v>
      </c>
      <c r="M460" s="4">
        <f>IFERROR(AV_PLAN[[#This Row],[TERMINO REAL ACUMULADO]]/AV_PLAN[[#This Row],[TERMINO PLAN ACUMULADO]],"")</f>
        <v>0.15482954545454544</v>
      </c>
      <c r="N460">
        <f>+AV_PLAN[[#This Row],[PLAN ACUMULADO]]-AV_PLAN[[#This Row],[INICIO REAL ACUMULADO]]</f>
        <v>544</v>
      </c>
      <c r="O460">
        <f>+AV_PLAN[[#This Row],[TERMINO PLAN ACUMULADO]]-AV_PLAN[[#This Row],[TERMINO REAL ACUMULADO]]</f>
        <v>595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0.22727272727272727</v>
      </c>
      <c r="S460" s="7">
        <f>+AV_PLAN[[#This Row],[TERMINO PLAN ACUMULADO]]/$G$471</f>
        <v>1</v>
      </c>
      <c r="T460" s="7">
        <f t="shared" si="15"/>
        <v>0.15482954545454544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160</v>
      </c>
      <c r="F461">
        <v>0</v>
      </c>
      <c r="G461">
        <v>704</v>
      </c>
      <c r="H461">
        <v>0</v>
      </c>
      <c r="I461">
        <v>109</v>
      </c>
      <c r="J461" t="s">
        <v>810</v>
      </c>
      <c r="K461">
        <f>+WEEKNUM(AV_PLAN[[#This Row],[Días]])</f>
        <v>21</v>
      </c>
      <c r="L461" s="4">
        <f>IFERROR(AV_PLAN[[#This Row],[INICIO REAL ACUMULADO]]/AV_PLAN[[#This Row],[PLAN ACUMULADO]],"")</f>
        <v>0.22727272727272727</v>
      </c>
      <c r="M461" s="4">
        <f>IFERROR(AV_PLAN[[#This Row],[TERMINO REAL ACUMULADO]]/AV_PLAN[[#This Row],[TERMINO PLAN ACUMULADO]],"")</f>
        <v>0.15482954545454544</v>
      </c>
      <c r="N461">
        <f>+AV_PLAN[[#This Row],[PLAN ACUMULADO]]-AV_PLAN[[#This Row],[INICIO REAL ACUMULADO]]</f>
        <v>544</v>
      </c>
      <c r="O461">
        <f>+AV_PLAN[[#This Row],[TERMINO PLAN ACUMULADO]]-AV_PLAN[[#This Row],[TERMINO REAL ACUMULADO]]</f>
        <v>595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0.22727272727272727</v>
      </c>
      <c r="S461" s="7">
        <f>+AV_PLAN[[#This Row],[TERMINO PLAN ACUMULADO]]/$G$471</f>
        <v>1</v>
      </c>
      <c r="T461" s="7">
        <f t="shared" si="15"/>
        <v>0.15482954545454544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160</v>
      </c>
      <c r="F462">
        <v>0</v>
      </c>
      <c r="G462">
        <v>704</v>
      </c>
      <c r="H462">
        <v>0</v>
      </c>
      <c r="I462">
        <v>109</v>
      </c>
      <c r="J462" t="s">
        <v>810</v>
      </c>
      <c r="K462">
        <f>+WEEKNUM(AV_PLAN[[#This Row],[Días]])</f>
        <v>21</v>
      </c>
      <c r="L462" s="4">
        <f>IFERROR(AV_PLAN[[#This Row],[INICIO REAL ACUMULADO]]/AV_PLAN[[#This Row],[PLAN ACUMULADO]],"")</f>
        <v>0.22727272727272727</v>
      </c>
      <c r="M462" s="4">
        <f>IFERROR(AV_PLAN[[#This Row],[TERMINO REAL ACUMULADO]]/AV_PLAN[[#This Row],[TERMINO PLAN ACUMULADO]],"")</f>
        <v>0.15482954545454544</v>
      </c>
      <c r="N462">
        <f>+AV_PLAN[[#This Row],[PLAN ACUMULADO]]-AV_PLAN[[#This Row],[INICIO REAL ACUMULADO]]</f>
        <v>544</v>
      </c>
      <c r="O462">
        <f>+AV_PLAN[[#This Row],[TERMINO PLAN ACUMULADO]]-AV_PLAN[[#This Row],[TERMINO REAL ACUMULADO]]</f>
        <v>595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0.22727272727272727</v>
      </c>
      <c r="S462" s="7">
        <f>+AV_PLAN[[#This Row],[TERMINO PLAN ACUMULADO]]/$G$471</f>
        <v>1</v>
      </c>
      <c r="T462" s="7">
        <f t="shared" si="15"/>
        <v>0.15482954545454544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160</v>
      </c>
      <c r="F463">
        <v>0</v>
      </c>
      <c r="G463">
        <v>704</v>
      </c>
      <c r="H463">
        <v>0</v>
      </c>
      <c r="I463">
        <v>109</v>
      </c>
      <c r="J463" t="s">
        <v>810</v>
      </c>
      <c r="K463">
        <f>+WEEKNUM(AV_PLAN[[#This Row],[Días]])</f>
        <v>22</v>
      </c>
      <c r="L463" s="4">
        <f>IFERROR(AV_PLAN[[#This Row],[INICIO REAL ACUMULADO]]/AV_PLAN[[#This Row],[PLAN ACUMULADO]],"")</f>
        <v>0.22727272727272727</v>
      </c>
      <c r="M463" s="4">
        <f>IFERROR(AV_PLAN[[#This Row],[TERMINO REAL ACUMULADO]]/AV_PLAN[[#This Row],[TERMINO PLAN ACUMULADO]],"")</f>
        <v>0.15482954545454544</v>
      </c>
      <c r="N463">
        <f>+AV_PLAN[[#This Row],[PLAN ACUMULADO]]-AV_PLAN[[#This Row],[INICIO REAL ACUMULADO]]</f>
        <v>544</v>
      </c>
      <c r="O463">
        <f>+AV_PLAN[[#This Row],[TERMINO PLAN ACUMULADO]]-AV_PLAN[[#This Row],[TERMINO REAL ACUMULADO]]</f>
        <v>595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0.22727272727272727</v>
      </c>
      <c r="S463" s="7">
        <f>+AV_PLAN[[#This Row],[TERMINO PLAN ACUMULADO]]/$G$471</f>
        <v>1</v>
      </c>
      <c r="T463" s="7">
        <f t="shared" si="15"/>
        <v>0.15482954545454544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160</v>
      </c>
      <c r="F464">
        <v>0</v>
      </c>
      <c r="G464">
        <v>704</v>
      </c>
      <c r="H464">
        <v>0</v>
      </c>
      <c r="I464">
        <v>109</v>
      </c>
      <c r="J464" t="s">
        <v>810</v>
      </c>
      <c r="K464">
        <f>+WEEKNUM(AV_PLAN[[#This Row],[Días]])</f>
        <v>22</v>
      </c>
      <c r="L464" s="4">
        <f>IFERROR(AV_PLAN[[#This Row],[INICIO REAL ACUMULADO]]/AV_PLAN[[#This Row],[PLAN ACUMULADO]],"")</f>
        <v>0.22727272727272727</v>
      </c>
      <c r="M464" s="4">
        <f>IFERROR(AV_PLAN[[#This Row],[TERMINO REAL ACUMULADO]]/AV_PLAN[[#This Row],[TERMINO PLAN ACUMULADO]],"")</f>
        <v>0.15482954545454544</v>
      </c>
      <c r="N464">
        <f>+AV_PLAN[[#This Row],[PLAN ACUMULADO]]-AV_PLAN[[#This Row],[INICIO REAL ACUMULADO]]</f>
        <v>544</v>
      </c>
      <c r="O464">
        <f>+AV_PLAN[[#This Row],[TERMINO PLAN ACUMULADO]]-AV_PLAN[[#This Row],[TERMINO REAL ACUMULADO]]</f>
        <v>595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0.22727272727272727</v>
      </c>
      <c r="S464" s="7">
        <f>+AV_PLAN[[#This Row],[TERMINO PLAN ACUMULADO]]/$G$471</f>
        <v>1</v>
      </c>
      <c r="T464" s="7">
        <f t="shared" si="15"/>
        <v>0.15482954545454544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160</v>
      </c>
      <c r="F465">
        <v>0</v>
      </c>
      <c r="G465">
        <v>704</v>
      </c>
      <c r="H465">
        <v>0</v>
      </c>
      <c r="I465">
        <v>109</v>
      </c>
      <c r="J465" t="s">
        <v>810</v>
      </c>
      <c r="K465">
        <f>+WEEKNUM(AV_PLAN[[#This Row],[Días]])</f>
        <v>22</v>
      </c>
      <c r="L465" s="4">
        <f>IFERROR(AV_PLAN[[#This Row],[INICIO REAL ACUMULADO]]/AV_PLAN[[#This Row],[PLAN ACUMULADO]],"")</f>
        <v>0.22727272727272727</v>
      </c>
      <c r="M465" s="4">
        <f>IFERROR(AV_PLAN[[#This Row],[TERMINO REAL ACUMULADO]]/AV_PLAN[[#This Row],[TERMINO PLAN ACUMULADO]],"")</f>
        <v>0.15482954545454544</v>
      </c>
      <c r="N465">
        <f>+AV_PLAN[[#This Row],[PLAN ACUMULADO]]-AV_PLAN[[#This Row],[INICIO REAL ACUMULADO]]</f>
        <v>544</v>
      </c>
      <c r="O465">
        <f>+AV_PLAN[[#This Row],[TERMINO PLAN ACUMULADO]]-AV_PLAN[[#This Row],[TERMINO REAL ACUMULADO]]</f>
        <v>595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0.22727272727272727</v>
      </c>
      <c r="S465" s="7">
        <f>+AV_PLAN[[#This Row],[TERMINO PLAN ACUMULADO]]/$G$471</f>
        <v>1</v>
      </c>
      <c r="T465" s="7">
        <f t="shared" si="15"/>
        <v>0.15482954545454544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160</v>
      </c>
      <c r="F466">
        <v>0</v>
      </c>
      <c r="G466">
        <v>704</v>
      </c>
      <c r="H466">
        <v>0</v>
      </c>
      <c r="I466">
        <v>109</v>
      </c>
      <c r="J466" t="s">
        <v>810</v>
      </c>
      <c r="K466">
        <f>+WEEKNUM(AV_PLAN[[#This Row],[Días]])</f>
        <v>22</v>
      </c>
      <c r="L466" s="4">
        <f>IFERROR(AV_PLAN[[#This Row],[INICIO REAL ACUMULADO]]/AV_PLAN[[#This Row],[PLAN ACUMULADO]],"")</f>
        <v>0.22727272727272727</v>
      </c>
      <c r="M466" s="4">
        <f>IFERROR(AV_PLAN[[#This Row],[TERMINO REAL ACUMULADO]]/AV_PLAN[[#This Row],[TERMINO PLAN ACUMULADO]],"")</f>
        <v>0.15482954545454544</v>
      </c>
      <c r="N466">
        <f>+AV_PLAN[[#This Row],[PLAN ACUMULADO]]-AV_PLAN[[#This Row],[INICIO REAL ACUMULADO]]</f>
        <v>544</v>
      </c>
      <c r="O466">
        <f>+AV_PLAN[[#This Row],[TERMINO PLAN ACUMULADO]]-AV_PLAN[[#This Row],[TERMINO REAL ACUMULADO]]</f>
        <v>595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0.22727272727272727</v>
      </c>
      <c r="S466" s="7">
        <f>+AV_PLAN[[#This Row],[TERMINO PLAN ACUMULADO]]/$G$471</f>
        <v>1</v>
      </c>
      <c r="T466" s="7">
        <f t="shared" si="15"/>
        <v>0.15482954545454544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160</v>
      </c>
      <c r="F467">
        <v>0</v>
      </c>
      <c r="G467">
        <v>704</v>
      </c>
      <c r="H467">
        <v>0</v>
      </c>
      <c r="I467">
        <v>109</v>
      </c>
      <c r="J467" t="s">
        <v>810</v>
      </c>
      <c r="K467">
        <f>+WEEKNUM(AV_PLAN[[#This Row],[Días]])</f>
        <v>22</v>
      </c>
      <c r="L467" s="4">
        <f>IFERROR(AV_PLAN[[#This Row],[INICIO REAL ACUMULADO]]/AV_PLAN[[#This Row],[PLAN ACUMULADO]],"")</f>
        <v>0.22727272727272727</v>
      </c>
      <c r="M467" s="4">
        <f>IFERROR(AV_PLAN[[#This Row],[TERMINO REAL ACUMULADO]]/AV_PLAN[[#This Row],[TERMINO PLAN ACUMULADO]],"")</f>
        <v>0.15482954545454544</v>
      </c>
      <c r="N467">
        <f>+AV_PLAN[[#This Row],[PLAN ACUMULADO]]-AV_PLAN[[#This Row],[INICIO REAL ACUMULADO]]</f>
        <v>544</v>
      </c>
      <c r="O467">
        <f>+AV_PLAN[[#This Row],[TERMINO PLAN ACUMULADO]]-AV_PLAN[[#This Row],[TERMINO REAL ACUMULADO]]</f>
        <v>595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0.22727272727272727</v>
      </c>
      <c r="S467" s="7">
        <f>+AV_PLAN[[#This Row],[TERMINO PLAN ACUMULADO]]/$G$471</f>
        <v>1</v>
      </c>
      <c r="T467" s="7">
        <f t="shared" si="15"/>
        <v>0.15482954545454544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160</v>
      </c>
      <c r="F468">
        <v>0</v>
      </c>
      <c r="G468">
        <v>704</v>
      </c>
      <c r="H468">
        <v>0</v>
      </c>
      <c r="I468">
        <v>109</v>
      </c>
      <c r="J468" t="s">
        <v>810</v>
      </c>
      <c r="K468">
        <f>+WEEKNUM(AV_PLAN[[#This Row],[Días]])</f>
        <v>22</v>
      </c>
      <c r="L468" s="4">
        <f>IFERROR(AV_PLAN[[#This Row],[INICIO REAL ACUMULADO]]/AV_PLAN[[#This Row],[PLAN ACUMULADO]],"")</f>
        <v>0.22727272727272727</v>
      </c>
      <c r="M468" s="4">
        <f>IFERROR(AV_PLAN[[#This Row],[TERMINO REAL ACUMULADO]]/AV_PLAN[[#This Row],[TERMINO PLAN ACUMULADO]],"")</f>
        <v>0.15482954545454544</v>
      </c>
      <c r="N468">
        <f>+AV_PLAN[[#This Row],[PLAN ACUMULADO]]-AV_PLAN[[#This Row],[INICIO REAL ACUMULADO]]</f>
        <v>544</v>
      </c>
      <c r="O468">
        <f>+AV_PLAN[[#This Row],[TERMINO PLAN ACUMULADO]]-AV_PLAN[[#This Row],[TERMINO REAL ACUMULADO]]</f>
        <v>595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0.22727272727272727</v>
      </c>
      <c r="S468" s="7">
        <f>+AV_PLAN[[#This Row],[TERMINO PLAN ACUMULADO]]/$G$471</f>
        <v>1</v>
      </c>
      <c r="T468" s="7">
        <f t="shared" si="15"/>
        <v>0.15482954545454544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160</v>
      </c>
      <c r="F469">
        <v>0</v>
      </c>
      <c r="G469">
        <v>704</v>
      </c>
      <c r="H469">
        <v>0</v>
      </c>
      <c r="I469">
        <v>109</v>
      </c>
      <c r="J469" t="s">
        <v>810</v>
      </c>
      <c r="K469">
        <f>+WEEKNUM(AV_PLAN[[#This Row],[Días]])</f>
        <v>22</v>
      </c>
      <c r="L469" s="4">
        <f>IFERROR(AV_PLAN[[#This Row],[INICIO REAL ACUMULADO]]/AV_PLAN[[#This Row],[PLAN ACUMULADO]],"")</f>
        <v>0.22727272727272727</v>
      </c>
      <c r="M469" s="4">
        <f>IFERROR(AV_PLAN[[#This Row],[TERMINO REAL ACUMULADO]]/AV_PLAN[[#This Row],[TERMINO PLAN ACUMULADO]],"")</f>
        <v>0.15482954545454544</v>
      </c>
      <c r="N469">
        <f>+AV_PLAN[[#This Row],[PLAN ACUMULADO]]-AV_PLAN[[#This Row],[INICIO REAL ACUMULADO]]</f>
        <v>544</v>
      </c>
      <c r="O469">
        <f>+AV_PLAN[[#This Row],[TERMINO PLAN ACUMULADO]]-AV_PLAN[[#This Row],[TERMINO REAL ACUMULADO]]</f>
        <v>595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0.22727272727272727</v>
      </c>
      <c r="S469" s="7">
        <f>+AV_PLAN[[#This Row],[TERMINO PLAN ACUMULADO]]/$G$471</f>
        <v>1</v>
      </c>
      <c r="T469" s="7">
        <f t="shared" si="15"/>
        <v>0.15482954545454544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160</v>
      </c>
      <c r="F470">
        <v>0</v>
      </c>
      <c r="G470">
        <v>704</v>
      </c>
      <c r="H470">
        <v>0</v>
      </c>
      <c r="I470">
        <v>109</v>
      </c>
      <c r="J470" t="s">
        <v>810</v>
      </c>
      <c r="K470">
        <f>+WEEKNUM(AV_PLAN[[#This Row],[Días]])</f>
        <v>23</v>
      </c>
      <c r="L470" s="4">
        <f>IFERROR(AV_PLAN[[#This Row],[INICIO REAL ACUMULADO]]/AV_PLAN[[#This Row],[PLAN ACUMULADO]],"")</f>
        <v>0.22727272727272727</v>
      </c>
      <c r="M470" s="4">
        <f>IFERROR(AV_PLAN[[#This Row],[TERMINO REAL ACUMULADO]]/AV_PLAN[[#This Row],[TERMINO PLAN ACUMULADO]],"")</f>
        <v>0.15482954545454544</v>
      </c>
      <c r="N470">
        <f>+AV_PLAN[[#This Row],[PLAN ACUMULADO]]-AV_PLAN[[#This Row],[INICIO REAL ACUMULADO]]</f>
        <v>544</v>
      </c>
      <c r="O470">
        <f>+AV_PLAN[[#This Row],[TERMINO PLAN ACUMULADO]]-AV_PLAN[[#This Row],[TERMINO REAL ACUMULADO]]</f>
        <v>595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0.22727272727272727</v>
      </c>
      <c r="S470" s="7">
        <f>+AV_PLAN[[#This Row],[TERMINO PLAN ACUMULADO]]/$G$471</f>
        <v>1</v>
      </c>
      <c r="T470" s="7">
        <f t="shared" si="15"/>
        <v>0.15482954545454544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160</v>
      </c>
      <c r="F471">
        <v>0</v>
      </c>
      <c r="G471">
        <v>704</v>
      </c>
      <c r="H471">
        <v>0</v>
      </c>
      <c r="I471">
        <v>109</v>
      </c>
      <c r="J471" t="s">
        <v>810</v>
      </c>
      <c r="K471">
        <f>+WEEKNUM(AV_PLAN[[#This Row],[Días]])</f>
        <v>23</v>
      </c>
      <c r="L471" s="4">
        <f>IFERROR(AV_PLAN[[#This Row],[INICIO REAL ACUMULADO]]/AV_PLAN[[#This Row],[PLAN ACUMULADO]],"")</f>
        <v>0.22727272727272727</v>
      </c>
      <c r="M471" s="4">
        <f>IFERROR(AV_PLAN[[#This Row],[TERMINO REAL ACUMULADO]]/AV_PLAN[[#This Row],[TERMINO PLAN ACUMULADO]],"")</f>
        <v>0.15482954545454544</v>
      </c>
      <c r="N471">
        <f>+AV_PLAN[[#This Row],[PLAN ACUMULADO]]-AV_PLAN[[#This Row],[INICIO REAL ACUMULADO]]</f>
        <v>544</v>
      </c>
      <c r="O471">
        <f>+AV_PLAN[[#This Row],[TERMINO PLAN ACUMULADO]]-AV_PLAN[[#This Row],[TERMINO REAL ACUMULADO]]</f>
        <v>595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0.22727272727272727</v>
      </c>
      <c r="S471" s="7">
        <f>+AV_PLAN[[#This Row],[TERMINO PLAN ACUMULADO]]/$G$471</f>
        <v>1</v>
      </c>
      <c r="T471" s="7">
        <f t="shared" si="15"/>
        <v>0.15482954545454544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K727"/>
  <sheetViews>
    <sheetView topLeftCell="A126" workbookViewId="0">
      <selection activeCell="B129" sqref="B129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hidden="1" customWidth="1"/>
    <col min="12" max="12" width="18.140625" style="7" hidden="1" customWidth="1"/>
    <col min="13" max="13" width="18.42578125" style="7" hidden="1" customWidth="1"/>
    <col min="14" max="14" width="9.85546875" style="7" hidden="1" customWidth="1"/>
    <col min="15" max="15" width="14.42578125" style="7" hidden="1" customWidth="1"/>
    <col min="16" max="16" width="12.28515625" style="7" hidden="1" customWidth="1"/>
    <col min="17" max="17" width="11.140625" style="7" hidden="1" customWidth="1"/>
    <col min="18" max="18" width="13.140625" style="7" hidden="1" customWidth="1"/>
    <col min="19" max="20" width="15.28515625" style="7" hidden="1" customWidth="1"/>
    <col min="21" max="21" width="26.28515625" style="7" hidden="1" customWidth="1"/>
    <col min="22" max="22" width="17.85546875" style="7" hidden="1" customWidth="1"/>
    <col min="23" max="23" width="20.140625" style="7" hidden="1" customWidth="1"/>
    <col min="24" max="24" width="9.7109375" style="7" hidden="1" customWidth="1"/>
    <col min="25" max="25" width="8.85546875" style="7" hidden="1" customWidth="1"/>
    <col min="26" max="26" width="31.140625" style="7" hidden="1" customWidth="1"/>
    <col min="27" max="28" width="16" style="7" hidden="1" customWidth="1"/>
    <col min="29" max="29" width="19.28515625" style="7" hidden="1" customWidth="1"/>
    <col min="30" max="30" width="15.42578125" style="7" hidden="1" customWidth="1"/>
    <col min="31" max="31" width="17.28515625" style="7" hidden="1" customWidth="1"/>
    <col min="32" max="32" width="13.7109375" style="7" hidden="1" customWidth="1"/>
    <col min="33" max="33" width="14" style="7" hidden="1" customWidth="1"/>
    <col min="34" max="35" width="21" style="7" hidden="1" customWidth="1"/>
    <col min="36" max="36" width="17.85546875" style="7" hidden="1" customWidth="1"/>
    <col min="37" max="37" width="18.7109375" style="7" hidden="1" customWidth="1"/>
    <col min="38" max="38" width="14.28515625" style="7" hidden="1" customWidth="1"/>
    <col min="39" max="39" width="18.7109375" style="7" hidden="1" customWidth="1"/>
    <col min="40" max="40" width="18" style="7" hidden="1" customWidth="1"/>
    <col min="41" max="41" width="14.5703125" style="7" hidden="1" customWidth="1"/>
    <col min="42" max="42" width="14.140625" style="7" hidden="1" customWidth="1"/>
    <col min="43" max="43" width="15.85546875" style="7" hidden="1" customWidth="1"/>
    <col min="44" max="44" width="15.42578125" style="7" hidden="1" customWidth="1"/>
    <col min="45" max="45" width="14.5703125" style="7" hidden="1" customWidth="1"/>
    <col min="46" max="46" width="15.140625" style="7" hidden="1" customWidth="1"/>
    <col min="47" max="47" width="23.140625" style="7" hidden="1" customWidth="1"/>
    <col min="48" max="48" width="18.140625" style="7" hidden="1" customWidth="1"/>
    <col min="49" max="50" width="29.5703125" style="7" hidden="1" customWidth="1"/>
    <col min="51" max="51" width="16" style="7" hidden="1" customWidth="1"/>
    <col min="52" max="52" width="19.28515625" style="7" hidden="1" customWidth="1"/>
    <col min="53" max="53" width="17.5703125" style="7" hidden="1" customWidth="1"/>
    <col min="54" max="54" width="20.140625" style="7" hidden="1" customWidth="1"/>
    <col min="55" max="55" width="16.85546875" style="7" hidden="1" customWidth="1"/>
    <col min="56" max="56" width="26" hidden="1" customWidth="1"/>
    <col min="57" max="57" width="25.42578125" hidden="1" customWidth="1"/>
    <col min="58" max="58" width="13.7109375" hidden="1" customWidth="1"/>
    <col min="59" max="59" width="16.140625" style="42" hidden="1" customWidth="1"/>
    <col min="60" max="61" width="17" hidden="1" customWidth="1"/>
    <col min="62" max="62" width="18.140625" style="42" bestFit="1" customWidth="1"/>
    <col min="63" max="63" width="17.85546875" style="42" bestFit="1" customWidth="1"/>
  </cols>
  <sheetData>
    <row r="1" spans="1:63" s="62" customFormat="1" ht="30" x14ac:dyDescent="0.25">
      <c r="A1" s="62" t="s">
        <v>819</v>
      </c>
      <c r="B1" s="62" t="s">
        <v>820</v>
      </c>
      <c r="C1" s="62" t="s">
        <v>821</v>
      </c>
      <c r="D1" s="62" t="s">
        <v>822</v>
      </c>
      <c r="E1" s="62" t="s">
        <v>823</v>
      </c>
      <c r="F1" s="62" t="s">
        <v>824</v>
      </c>
      <c r="G1" s="62" t="s">
        <v>825</v>
      </c>
      <c r="H1" s="62" t="s">
        <v>826</v>
      </c>
      <c r="I1" s="62" t="s">
        <v>827</v>
      </c>
      <c r="J1" s="62" t="s">
        <v>1645</v>
      </c>
      <c r="K1" s="62" t="s">
        <v>828</v>
      </c>
      <c r="L1" s="63" t="s">
        <v>1655</v>
      </c>
      <c r="M1" s="63" t="s">
        <v>240</v>
      </c>
      <c r="N1" s="63" t="s">
        <v>124</v>
      </c>
      <c r="O1" s="63" t="s">
        <v>1656</v>
      </c>
      <c r="P1" s="63" t="s">
        <v>1657</v>
      </c>
      <c r="Q1" s="63" t="s">
        <v>1658</v>
      </c>
      <c r="R1" s="63" t="s">
        <v>1659</v>
      </c>
      <c r="S1" s="63" t="s">
        <v>1660</v>
      </c>
      <c r="T1" s="63" t="s">
        <v>1661</v>
      </c>
      <c r="U1" s="63" t="s">
        <v>1662</v>
      </c>
      <c r="V1" s="63" t="s">
        <v>1663</v>
      </c>
      <c r="W1" s="63" t="s">
        <v>1664</v>
      </c>
      <c r="X1" s="63" t="s">
        <v>573</v>
      </c>
      <c r="Y1" s="63" t="s">
        <v>602</v>
      </c>
      <c r="Z1" s="63" t="s">
        <v>1665</v>
      </c>
      <c r="AA1" s="63" t="s">
        <v>1666</v>
      </c>
      <c r="AB1" s="63" t="s">
        <v>1667</v>
      </c>
      <c r="AC1" s="63" t="s">
        <v>1668</v>
      </c>
      <c r="AD1" s="63" t="s">
        <v>1669</v>
      </c>
      <c r="AE1" s="63" t="s">
        <v>1670</v>
      </c>
      <c r="AF1" s="63" t="s">
        <v>401</v>
      </c>
      <c r="AG1" s="63" t="s">
        <v>1671</v>
      </c>
      <c r="AH1" s="63" t="s">
        <v>1672</v>
      </c>
      <c r="AI1" s="63" t="s">
        <v>1673</v>
      </c>
      <c r="AJ1" s="63" t="s">
        <v>1674</v>
      </c>
      <c r="AK1" s="63" t="s">
        <v>1675</v>
      </c>
      <c r="AL1" s="63" t="s">
        <v>574</v>
      </c>
      <c r="AM1" s="63" t="s">
        <v>1676</v>
      </c>
      <c r="AN1" s="63" t="s">
        <v>1677</v>
      </c>
      <c r="AO1" s="63" t="s">
        <v>1678</v>
      </c>
      <c r="AP1" s="63" t="s">
        <v>1679</v>
      </c>
      <c r="AQ1" s="63" t="s">
        <v>1680</v>
      </c>
      <c r="AR1" s="63" t="s">
        <v>1681</v>
      </c>
      <c r="AS1" s="63" t="s">
        <v>1682</v>
      </c>
      <c r="AT1" s="63" t="s">
        <v>479</v>
      </c>
      <c r="AU1" s="63" t="s">
        <v>1683</v>
      </c>
      <c r="AV1" s="63" t="s">
        <v>1684</v>
      </c>
      <c r="AW1" s="63" t="s">
        <v>1685</v>
      </c>
      <c r="AX1" s="63" t="s">
        <v>1686</v>
      </c>
      <c r="AY1" s="63" t="s">
        <v>1687</v>
      </c>
      <c r="AZ1" s="63" t="s">
        <v>1688</v>
      </c>
      <c r="BA1" s="63" t="s">
        <v>1689</v>
      </c>
      <c r="BB1" s="63" t="s">
        <v>1690</v>
      </c>
      <c r="BC1" s="63" t="s">
        <v>575</v>
      </c>
      <c r="BD1" s="62" t="s">
        <v>1691</v>
      </c>
      <c r="BE1" s="65" t="s">
        <v>1719</v>
      </c>
      <c r="BF1" s="62" t="s">
        <v>1557</v>
      </c>
      <c r="BG1" s="64" t="s">
        <v>1570</v>
      </c>
      <c r="BH1" s="62" t="s">
        <v>1571</v>
      </c>
      <c r="BI1" s="62" t="s">
        <v>1575</v>
      </c>
      <c r="BJ1" s="64" t="s">
        <v>2027</v>
      </c>
      <c r="BK1" s="64" t="s">
        <v>2028</v>
      </c>
    </row>
    <row r="2" spans="1:63" x14ac:dyDescent="0.25">
      <c r="A2" t="s">
        <v>829</v>
      </c>
      <c r="B2" t="s">
        <v>114</v>
      </c>
      <c r="C2">
        <v>2282600001</v>
      </c>
      <c r="D2" t="s">
        <v>830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" s="42">
        <f>+AVANCE[[#This Row],[FECHA TERMINO  PLANIFICADO]]-AVANCE[[#This Row],[FECHA INICIO TEORICO]]</f>
        <v>43</v>
      </c>
      <c r="BK2" s="42">
        <f>+AVANCE[[#This Row],[FECHA TERMINO]]-AVANCE[[#This Row],[FECHA INICIO REAL]]</f>
        <v>56</v>
      </c>
    </row>
    <row r="3" spans="1:63" x14ac:dyDescent="0.25">
      <c r="A3" t="s">
        <v>829</v>
      </c>
      <c r="B3" t="s">
        <v>150</v>
      </c>
      <c r="C3">
        <v>2302600002</v>
      </c>
      <c r="D3" t="s">
        <v>831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" s="42">
        <f>+AVANCE[[#This Row],[FECHA TERMINO  PLANIFICADO]]-AVANCE[[#This Row],[FECHA INICIO TEORICO]]</f>
        <v>40</v>
      </c>
      <c r="BK3" s="42">
        <f>+AVANCE[[#This Row],[FECHA TERMINO]]-AVANCE[[#This Row],[FECHA INICIO REAL]]</f>
        <v>56</v>
      </c>
    </row>
    <row r="4" spans="1:63" x14ac:dyDescent="0.25">
      <c r="A4" t="s">
        <v>829</v>
      </c>
      <c r="B4" t="s">
        <v>75</v>
      </c>
      <c r="C4">
        <v>2302600003</v>
      </c>
      <c r="D4" t="s">
        <v>831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" s="42">
        <f>+AVANCE[[#This Row],[FECHA TERMINO  PLANIFICADO]]-AVANCE[[#This Row],[FECHA INICIO TEORICO]]</f>
        <v>48</v>
      </c>
      <c r="BK4" s="42">
        <f>+AVANCE[[#This Row],[FECHA TERMINO]]-AVANCE[[#This Row],[FECHA INICIO REAL]]</f>
        <v>61</v>
      </c>
    </row>
    <row r="5" spans="1:63" x14ac:dyDescent="0.25">
      <c r="A5" t="s">
        <v>829</v>
      </c>
      <c r="B5" t="s">
        <v>123</v>
      </c>
      <c r="C5">
        <v>2282600004</v>
      </c>
      <c r="D5" t="s">
        <v>830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" s="42">
        <f>+AVANCE[[#This Row],[FECHA TERMINO  PLANIFICADO]]-AVANCE[[#This Row],[FECHA INICIO TEORICO]]</f>
        <v>49</v>
      </c>
      <c r="BK5" s="42">
        <f>+AVANCE[[#This Row],[FECHA TERMINO]]-AVANCE[[#This Row],[FECHA INICIO REAL]]</f>
        <v>63</v>
      </c>
    </row>
    <row r="6" spans="1:63" x14ac:dyDescent="0.25">
      <c r="A6" t="s">
        <v>829</v>
      </c>
      <c r="B6" t="s">
        <v>198</v>
      </c>
      <c r="C6">
        <v>2282600005</v>
      </c>
      <c r="D6" t="s">
        <v>830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" s="42">
        <f>+AVANCE[[#This Row],[FECHA TERMINO  PLANIFICADO]]-AVANCE[[#This Row],[FECHA INICIO TEORICO]]</f>
        <v>43</v>
      </c>
      <c r="BK6" s="42">
        <f>+AVANCE[[#This Row],[FECHA TERMINO]]-AVANCE[[#This Row],[FECHA INICIO REAL]]</f>
        <v>46</v>
      </c>
    </row>
    <row r="7" spans="1:63" x14ac:dyDescent="0.25">
      <c r="A7" t="s">
        <v>829</v>
      </c>
      <c r="B7" t="s">
        <v>200</v>
      </c>
      <c r="C7">
        <v>2302600006</v>
      </c>
      <c r="D7" t="s">
        <v>831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" s="42">
        <f>+AVANCE[[#This Row],[FECHA TERMINO  PLANIFICADO]]-AVANCE[[#This Row],[FECHA INICIO TEORICO]]</f>
        <v>48</v>
      </c>
      <c r="BK7" s="42">
        <f>+AVANCE[[#This Row],[FECHA TERMINO]]-AVANCE[[#This Row],[FECHA INICIO REAL]]</f>
        <v>64</v>
      </c>
    </row>
    <row r="8" spans="1:63" x14ac:dyDescent="0.25">
      <c r="A8" t="s">
        <v>829</v>
      </c>
      <c r="B8" t="s">
        <v>832</v>
      </c>
      <c r="C8">
        <v>2302600007</v>
      </c>
      <c r="D8" t="s">
        <v>831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" s="42">
        <f>+AVANCE[[#This Row],[FECHA TERMINO  PLANIFICADO]]-AVANCE[[#This Row],[FECHA INICIO TEORICO]]</f>
        <v>50</v>
      </c>
      <c r="BK8" s="42">
        <f>+AVANCE[[#This Row],[FECHA TERMINO]]-AVANCE[[#This Row],[FECHA INICIO REAL]]</f>
        <v>73</v>
      </c>
    </row>
    <row r="9" spans="1:63" x14ac:dyDescent="0.25">
      <c r="A9" t="s">
        <v>829</v>
      </c>
      <c r="B9" t="s">
        <v>833</v>
      </c>
      <c r="C9">
        <v>2282600008</v>
      </c>
      <c r="D9" t="s">
        <v>830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" s="42">
        <f>+AVANCE[[#This Row],[FECHA TERMINO  PLANIFICADO]]-AVANCE[[#This Row],[FECHA INICIO TEORICO]]</f>
        <v>42</v>
      </c>
      <c r="BK9" s="42">
        <f>+AVANCE[[#This Row],[FECHA TERMINO]]-AVANCE[[#This Row],[FECHA INICIO REAL]]</f>
        <v>71</v>
      </c>
    </row>
    <row r="10" spans="1:63" x14ac:dyDescent="0.25">
      <c r="A10" t="s">
        <v>829</v>
      </c>
      <c r="B10" t="s">
        <v>176</v>
      </c>
      <c r="C10">
        <v>2282600009</v>
      </c>
      <c r="D10" t="s">
        <v>830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" s="42">
        <f>+AVANCE[[#This Row],[FECHA TERMINO  PLANIFICADO]]-AVANCE[[#This Row],[FECHA INICIO TEORICO]]</f>
        <v>64</v>
      </c>
      <c r="BK10" s="42">
        <f>+AVANCE[[#This Row],[FECHA TERMINO]]-AVANCE[[#This Row],[FECHA INICIO REAL]]</f>
        <v>86</v>
      </c>
    </row>
    <row r="11" spans="1:63" x14ac:dyDescent="0.25">
      <c r="A11" t="s">
        <v>829</v>
      </c>
      <c r="B11" t="s">
        <v>834</v>
      </c>
      <c r="C11">
        <v>2302600010</v>
      </c>
      <c r="D11" t="s">
        <v>831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1" s="42">
        <f>+AVANCE[[#This Row],[FECHA TERMINO  PLANIFICADO]]-AVANCE[[#This Row],[FECHA INICIO TEORICO]]</f>
        <v>64</v>
      </c>
      <c r="BK11" s="42">
        <f>+AVANCE[[#This Row],[FECHA TERMINO]]-AVANCE[[#This Row],[FECHA INICIO REAL]]</f>
        <v>86</v>
      </c>
    </row>
    <row r="12" spans="1:63" x14ac:dyDescent="0.25">
      <c r="A12" t="s">
        <v>829</v>
      </c>
      <c r="B12" t="s">
        <v>224</v>
      </c>
      <c r="C12">
        <v>2302600011</v>
      </c>
      <c r="D12" t="s">
        <v>831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2" s="42">
        <f>+AVANCE[[#This Row],[FECHA TERMINO  PLANIFICADO]]-AVANCE[[#This Row],[FECHA INICIO TEORICO]]</f>
        <v>63</v>
      </c>
      <c r="BK12" s="42">
        <f>+AVANCE[[#This Row],[FECHA TERMINO]]-AVANCE[[#This Row],[FECHA INICIO REAL]]</f>
        <v>87</v>
      </c>
    </row>
    <row r="13" spans="1:63" x14ac:dyDescent="0.25">
      <c r="A13" t="s">
        <v>829</v>
      </c>
      <c r="B13" t="s">
        <v>227</v>
      </c>
      <c r="C13">
        <v>2282600012</v>
      </c>
      <c r="D13" t="s">
        <v>830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3" s="42">
        <f>+AVANCE[[#This Row],[FECHA TERMINO  PLANIFICADO]]-AVANCE[[#This Row],[FECHA INICIO TEORICO]]</f>
        <v>54</v>
      </c>
      <c r="BK13" s="42">
        <f>+AVANCE[[#This Row],[FECHA TERMINO]]-AVANCE[[#This Row],[FECHA INICIO REAL]]</f>
        <v>84</v>
      </c>
    </row>
    <row r="14" spans="1:63" x14ac:dyDescent="0.25">
      <c r="A14" t="s">
        <v>829</v>
      </c>
      <c r="B14" t="s">
        <v>835</v>
      </c>
      <c r="C14">
        <v>2282600013</v>
      </c>
      <c r="D14" t="s">
        <v>830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4" s="42">
        <f>+AVANCE[[#This Row],[FECHA TERMINO  PLANIFICADO]]-AVANCE[[#This Row],[FECHA INICIO TEORICO]]</f>
        <v>76</v>
      </c>
      <c r="BK14" s="42">
        <f>+AVANCE[[#This Row],[FECHA TERMINO]]-AVANCE[[#This Row],[FECHA INICIO REAL]]</f>
        <v>96</v>
      </c>
    </row>
    <row r="15" spans="1:63" x14ac:dyDescent="0.25">
      <c r="A15" t="s">
        <v>829</v>
      </c>
      <c r="B15" t="s">
        <v>836</v>
      </c>
      <c r="C15">
        <v>2302600014</v>
      </c>
      <c r="D15" t="s">
        <v>831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5" s="42">
        <f>+AVANCE[[#This Row],[FECHA TERMINO  PLANIFICADO]]-AVANCE[[#This Row],[FECHA INICIO TEORICO]]</f>
        <v>60</v>
      </c>
      <c r="BK15" s="42">
        <f>+AVANCE[[#This Row],[FECHA TERMINO]]-AVANCE[[#This Row],[FECHA INICIO REAL]]</f>
        <v>83</v>
      </c>
    </row>
    <row r="16" spans="1:63" x14ac:dyDescent="0.25">
      <c r="A16" t="s">
        <v>829</v>
      </c>
      <c r="B16" t="s">
        <v>837</v>
      </c>
      <c r="C16">
        <v>2302600015</v>
      </c>
      <c r="D16" t="s">
        <v>831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6" s="42">
        <f>+AVANCE[[#This Row],[FECHA TERMINO  PLANIFICADO]]-AVANCE[[#This Row],[FECHA INICIO TEORICO]]</f>
        <v>57</v>
      </c>
      <c r="BK16" s="42">
        <f>+AVANCE[[#This Row],[FECHA TERMINO]]-AVANCE[[#This Row],[FECHA INICIO REAL]]</f>
        <v>85</v>
      </c>
    </row>
    <row r="17" spans="1:63" x14ac:dyDescent="0.25">
      <c r="A17" t="s">
        <v>829</v>
      </c>
      <c r="B17" t="s">
        <v>838</v>
      </c>
      <c r="C17">
        <v>2282600016</v>
      </c>
      <c r="D17" t="s">
        <v>830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7" s="42">
        <f>+AVANCE[[#This Row],[FECHA TERMINO  PLANIFICADO]]-AVANCE[[#This Row],[FECHA INICIO TEORICO]]</f>
        <v>70</v>
      </c>
      <c r="BK17" s="42">
        <f>+AVANCE[[#This Row],[FECHA TERMINO]]-AVANCE[[#This Row],[FECHA INICIO REAL]]</f>
        <v>105</v>
      </c>
    </row>
    <row r="18" spans="1:63" x14ac:dyDescent="0.25">
      <c r="A18" t="s">
        <v>829</v>
      </c>
      <c r="B18" t="s">
        <v>839</v>
      </c>
      <c r="C18">
        <v>2282600017</v>
      </c>
      <c r="D18" t="s">
        <v>830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8" s="42">
        <f>+AVANCE[[#This Row],[FECHA TERMINO  PLANIFICADO]]-AVANCE[[#This Row],[FECHA INICIO TEORICO]]</f>
        <v>53</v>
      </c>
      <c r="BK18" s="42">
        <f>+AVANCE[[#This Row],[FECHA TERMINO]]-AVANCE[[#This Row],[FECHA INICIO REAL]]</f>
        <v>77</v>
      </c>
    </row>
    <row r="19" spans="1:63" x14ac:dyDescent="0.25">
      <c r="A19" t="s">
        <v>829</v>
      </c>
      <c r="B19" t="s">
        <v>840</v>
      </c>
      <c r="C19">
        <v>2302600018</v>
      </c>
      <c r="D19" t="s">
        <v>831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9" s="42">
        <f>+AVANCE[[#This Row],[FECHA TERMINO  PLANIFICADO]]-AVANCE[[#This Row],[FECHA INICIO TEORICO]]</f>
        <v>55</v>
      </c>
      <c r="BK19" s="42">
        <f>+AVANCE[[#This Row],[FECHA TERMINO]]-AVANCE[[#This Row],[FECHA INICIO REAL]]</f>
        <v>70</v>
      </c>
    </row>
    <row r="20" spans="1:63" x14ac:dyDescent="0.25">
      <c r="A20" t="s">
        <v>829</v>
      </c>
      <c r="B20" t="s">
        <v>841</v>
      </c>
      <c r="C20">
        <v>2302600019</v>
      </c>
      <c r="D20" t="s">
        <v>831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0" s="42">
        <f>+AVANCE[[#This Row],[FECHA TERMINO  PLANIFICADO]]-AVANCE[[#This Row],[FECHA INICIO TEORICO]]</f>
        <v>59</v>
      </c>
      <c r="BK20" s="42">
        <f>+AVANCE[[#This Row],[FECHA TERMINO]]-AVANCE[[#This Row],[FECHA INICIO REAL]]</f>
        <v>79</v>
      </c>
    </row>
    <row r="21" spans="1:63" x14ac:dyDescent="0.25">
      <c r="A21" t="s">
        <v>829</v>
      </c>
      <c r="B21" t="s">
        <v>842</v>
      </c>
      <c r="C21">
        <v>2282600020</v>
      </c>
      <c r="D21" t="s">
        <v>830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1" s="42">
        <f>+AVANCE[[#This Row],[FECHA TERMINO  PLANIFICADO]]-AVANCE[[#This Row],[FECHA INICIO TEORICO]]</f>
        <v>59</v>
      </c>
      <c r="BK21" s="42">
        <f>+AVANCE[[#This Row],[FECHA TERMINO]]-AVANCE[[#This Row],[FECHA INICIO REAL]]</f>
        <v>76</v>
      </c>
    </row>
    <row r="22" spans="1:63" x14ac:dyDescent="0.25">
      <c r="A22" t="s">
        <v>829</v>
      </c>
      <c r="B22" t="s">
        <v>843</v>
      </c>
      <c r="C22">
        <v>2282600021</v>
      </c>
      <c r="D22" t="s">
        <v>830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2" s="42">
        <f>+AVANCE[[#This Row],[FECHA TERMINO  PLANIFICADO]]-AVANCE[[#This Row],[FECHA INICIO TEORICO]]</f>
        <v>48</v>
      </c>
      <c r="BK22" s="42">
        <f>+AVANCE[[#This Row],[FECHA TERMINO]]-AVANCE[[#This Row],[FECHA INICIO REAL]]</f>
        <v>76</v>
      </c>
    </row>
    <row r="23" spans="1:63" x14ac:dyDescent="0.25">
      <c r="A23" t="s">
        <v>829</v>
      </c>
      <c r="B23" t="s">
        <v>844</v>
      </c>
      <c r="C23">
        <v>2302600022</v>
      </c>
      <c r="D23" t="s">
        <v>831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3" s="42">
        <f>+AVANCE[[#This Row],[FECHA TERMINO  PLANIFICADO]]-AVANCE[[#This Row],[FECHA INICIO TEORICO]]</f>
        <v>59</v>
      </c>
      <c r="BK23" s="42">
        <f>+AVANCE[[#This Row],[FECHA TERMINO]]-AVANCE[[#This Row],[FECHA INICIO REAL]]</f>
        <v>90</v>
      </c>
    </row>
    <row r="24" spans="1:63" x14ac:dyDescent="0.25">
      <c r="A24" t="s">
        <v>829</v>
      </c>
      <c r="B24" t="s">
        <v>845</v>
      </c>
      <c r="C24">
        <v>2302600023</v>
      </c>
      <c r="D24" t="s">
        <v>831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4" s="42">
        <f>+AVANCE[[#This Row],[FECHA TERMINO  PLANIFICADO]]-AVANCE[[#This Row],[FECHA INICIO TEORICO]]</f>
        <v>61</v>
      </c>
      <c r="BK24" s="42">
        <f>+AVANCE[[#This Row],[FECHA TERMINO]]-AVANCE[[#This Row],[FECHA INICIO REAL]]</f>
        <v>89</v>
      </c>
    </row>
    <row r="25" spans="1:63" x14ac:dyDescent="0.25">
      <c r="A25" t="s">
        <v>829</v>
      </c>
      <c r="B25" t="s">
        <v>220</v>
      </c>
      <c r="C25">
        <v>2282600024</v>
      </c>
      <c r="D25" t="s">
        <v>830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5" s="42">
        <f>+AVANCE[[#This Row],[FECHA TERMINO  PLANIFICADO]]-AVANCE[[#This Row],[FECHA INICIO TEORICO]]</f>
        <v>62</v>
      </c>
      <c r="BK25" s="42">
        <f>+AVANCE[[#This Row],[FECHA TERMINO]]-AVANCE[[#This Row],[FECHA INICIO REAL]]</f>
        <v>95</v>
      </c>
    </row>
    <row r="26" spans="1:63" x14ac:dyDescent="0.25">
      <c r="A26" t="s">
        <v>829</v>
      </c>
      <c r="B26" t="s">
        <v>846</v>
      </c>
      <c r="C26">
        <v>2282600025</v>
      </c>
      <c r="D26" t="s">
        <v>830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6" s="42">
        <f>+AVANCE[[#This Row],[FECHA TERMINO  PLANIFICADO]]-AVANCE[[#This Row],[FECHA INICIO TEORICO]]</f>
        <v>32</v>
      </c>
      <c r="BK26" s="42">
        <f>+AVANCE[[#This Row],[FECHA TERMINO]]-AVANCE[[#This Row],[FECHA INICIO REAL]]</f>
        <v>48</v>
      </c>
    </row>
    <row r="27" spans="1:63" x14ac:dyDescent="0.25">
      <c r="A27" t="s">
        <v>829</v>
      </c>
      <c r="B27" t="s">
        <v>847</v>
      </c>
      <c r="C27">
        <v>2302600026</v>
      </c>
      <c r="D27" t="s">
        <v>831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7" s="42">
        <f>+AVANCE[[#This Row],[FECHA TERMINO  PLANIFICADO]]-AVANCE[[#This Row],[FECHA INICIO TEORICO]]</f>
        <v>36</v>
      </c>
      <c r="BK27" s="42">
        <f>+AVANCE[[#This Row],[FECHA TERMINO]]-AVANCE[[#This Row],[FECHA INICIO REAL]]</f>
        <v>49</v>
      </c>
    </row>
    <row r="28" spans="1:63" x14ac:dyDescent="0.25">
      <c r="A28" t="s">
        <v>829</v>
      </c>
      <c r="B28" t="s">
        <v>848</v>
      </c>
      <c r="C28">
        <v>2302600027</v>
      </c>
      <c r="D28" t="s">
        <v>831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8" s="42">
        <f>+AVANCE[[#This Row],[FECHA TERMINO  PLANIFICADO]]-AVANCE[[#This Row],[FECHA INICIO TEORICO]]</f>
        <v>39</v>
      </c>
      <c r="BK28" s="42">
        <f>+AVANCE[[#This Row],[FECHA TERMINO]]-AVANCE[[#This Row],[FECHA INICIO REAL]]</f>
        <v>58</v>
      </c>
    </row>
    <row r="29" spans="1:63" x14ac:dyDescent="0.25">
      <c r="A29" t="s">
        <v>829</v>
      </c>
      <c r="B29" t="s">
        <v>849</v>
      </c>
      <c r="C29">
        <v>2282600028</v>
      </c>
      <c r="D29" t="s">
        <v>830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9" s="42">
        <f>+AVANCE[[#This Row],[FECHA TERMINO  PLANIFICADO]]-AVANCE[[#This Row],[FECHA INICIO TEORICO]]</f>
        <v>38</v>
      </c>
      <c r="BK29" s="42">
        <f>+AVANCE[[#This Row],[FECHA TERMINO]]-AVANCE[[#This Row],[FECHA INICIO REAL]]</f>
        <v>61</v>
      </c>
    </row>
    <row r="30" spans="1:63" x14ac:dyDescent="0.25">
      <c r="A30" t="s">
        <v>829</v>
      </c>
      <c r="B30" t="s">
        <v>850</v>
      </c>
      <c r="C30">
        <v>2282600029</v>
      </c>
      <c r="D30" t="s">
        <v>830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0" s="42">
        <f>+AVANCE[[#This Row],[FECHA TERMINO  PLANIFICADO]]-AVANCE[[#This Row],[FECHA INICIO TEORICO]]</f>
        <v>37</v>
      </c>
      <c r="BK30" s="42">
        <f>+AVANCE[[#This Row],[FECHA TERMINO]]-AVANCE[[#This Row],[FECHA INICIO REAL]]</f>
        <v>63</v>
      </c>
    </row>
    <row r="31" spans="1:63" x14ac:dyDescent="0.25">
      <c r="A31" t="s">
        <v>829</v>
      </c>
      <c r="B31" t="s">
        <v>851</v>
      </c>
      <c r="C31">
        <v>2302600030</v>
      </c>
      <c r="D31" t="s">
        <v>831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1" s="42">
        <f>+AVANCE[[#This Row],[FECHA TERMINO  PLANIFICADO]]-AVANCE[[#This Row],[FECHA INICIO TEORICO]]</f>
        <v>41</v>
      </c>
      <c r="BK31" s="42">
        <f>+AVANCE[[#This Row],[FECHA TERMINO]]-AVANCE[[#This Row],[FECHA INICIO REAL]]</f>
        <v>69</v>
      </c>
    </row>
    <row r="32" spans="1:63" x14ac:dyDescent="0.25">
      <c r="A32" t="s">
        <v>829</v>
      </c>
      <c r="B32" t="s">
        <v>852</v>
      </c>
      <c r="C32">
        <v>2302600031</v>
      </c>
      <c r="D32" t="s">
        <v>831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2" s="42">
        <f>+AVANCE[[#This Row],[FECHA TERMINO  PLANIFICADO]]-AVANCE[[#This Row],[FECHA INICIO TEORICO]]</f>
        <v>41</v>
      </c>
      <c r="BK32" s="42">
        <f>+AVANCE[[#This Row],[FECHA TERMINO]]-AVANCE[[#This Row],[FECHA INICIO REAL]]</f>
        <v>68</v>
      </c>
    </row>
    <row r="33" spans="1:63" x14ac:dyDescent="0.25">
      <c r="A33" t="s">
        <v>829</v>
      </c>
      <c r="B33" t="s">
        <v>853</v>
      </c>
      <c r="C33">
        <v>2282600032</v>
      </c>
      <c r="D33" t="s">
        <v>830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3" s="42">
        <f>+AVANCE[[#This Row],[FECHA TERMINO  PLANIFICADO]]-AVANCE[[#This Row],[FECHA INICIO TEORICO]]</f>
        <v>36</v>
      </c>
      <c r="BK33" s="42">
        <f>+AVANCE[[#This Row],[FECHA TERMINO]]-AVANCE[[#This Row],[FECHA INICIO REAL]]</f>
        <v>67</v>
      </c>
    </row>
    <row r="34" spans="1:63" x14ac:dyDescent="0.25">
      <c r="A34" t="s">
        <v>854</v>
      </c>
      <c r="B34" t="s">
        <v>855</v>
      </c>
      <c r="C34">
        <v>2282600033</v>
      </c>
      <c r="D34" t="s">
        <v>830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46147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4" s="42">
        <f>+AVANCE[[#This Row],[FECHA TERMINO  PLANIFICADO]]-AVANCE[[#This Row],[FECHA INICIO TEORICO]]</f>
        <v>29</v>
      </c>
      <c r="BK34" s="42">
        <f>+AVANCE[[#This Row],[FECHA TERMINO]]-AVANCE[[#This Row],[FECHA INICIO REAL]]</f>
        <v>67</v>
      </c>
    </row>
    <row r="35" spans="1:63" x14ac:dyDescent="0.25">
      <c r="A35" t="s">
        <v>854</v>
      </c>
      <c r="B35" t="s">
        <v>856</v>
      </c>
      <c r="C35">
        <v>2302600034</v>
      </c>
      <c r="D35" t="s">
        <v>831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46159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5" s="42">
        <f>+AVANCE[[#This Row],[FECHA TERMINO  PLANIFICADO]]-AVANCE[[#This Row],[FECHA INICIO TEORICO]]</f>
        <v>40</v>
      </c>
      <c r="BK35" s="42">
        <f>+AVANCE[[#This Row],[FECHA TERMINO]]-AVANCE[[#This Row],[FECHA INICIO REAL]]</f>
        <v>65</v>
      </c>
    </row>
    <row r="36" spans="1:63" x14ac:dyDescent="0.25">
      <c r="A36" t="s">
        <v>854</v>
      </c>
      <c r="B36" t="s">
        <v>857</v>
      </c>
      <c r="C36">
        <v>2302600035</v>
      </c>
      <c r="D36" t="s">
        <v>831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46162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6" s="42">
        <f>+AVANCE[[#This Row],[FECHA TERMINO  PLANIFICADO]]-AVANCE[[#This Row],[FECHA INICIO TEORICO]]</f>
        <v>40</v>
      </c>
      <c r="BK36" s="42">
        <f>+AVANCE[[#This Row],[FECHA TERMINO]]-AVANCE[[#This Row],[FECHA INICIO REAL]]</f>
        <v>63</v>
      </c>
    </row>
    <row r="37" spans="1:63" x14ac:dyDescent="0.25">
      <c r="A37" t="s">
        <v>854</v>
      </c>
      <c r="B37" t="s">
        <v>858</v>
      </c>
      <c r="C37">
        <v>2282600036</v>
      </c>
      <c r="D37" t="s">
        <v>830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46151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7" s="42">
        <f>+AVANCE[[#This Row],[FECHA TERMINO  PLANIFICADO]]-AVANCE[[#This Row],[FECHA INICIO TEORICO]]</f>
        <v>29</v>
      </c>
      <c r="BK37" s="42">
        <f>+AVANCE[[#This Row],[FECHA TERMINO]]-AVANCE[[#This Row],[FECHA INICIO REAL]]</f>
        <v>63</v>
      </c>
    </row>
    <row r="38" spans="1:63" x14ac:dyDescent="0.25">
      <c r="A38" t="s">
        <v>854</v>
      </c>
      <c r="B38" t="s">
        <v>859</v>
      </c>
      <c r="C38">
        <v>2282600037</v>
      </c>
      <c r="D38" t="s">
        <v>830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46152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8" s="42">
        <f>+AVANCE[[#This Row],[FECHA TERMINO  PLANIFICADO]]-AVANCE[[#This Row],[FECHA INICIO TEORICO]]</f>
        <v>29</v>
      </c>
      <c r="BK38" s="42">
        <f>+AVANCE[[#This Row],[FECHA TERMINO]]-AVANCE[[#This Row],[FECHA INICIO REAL]]</f>
        <v>65</v>
      </c>
    </row>
    <row r="39" spans="1:63" x14ac:dyDescent="0.25">
      <c r="A39" t="s">
        <v>854</v>
      </c>
      <c r="B39" t="s">
        <v>860</v>
      </c>
      <c r="C39">
        <v>2302600038</v>
      </c>
      <c r="D39" t="s">
        <v>831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46163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9" s="42">
        <f>+AVANCE[[#This Row],[FECHA TERMINO  PLANIFICADO]]-AVANCE[[#This Row],[FECHA INICIO TEORICO]]</f>
        <v>40</v>
      </c>
      <c r="BK39" s="42">
        <f>+AVANCE[[#This Row],[FECHA TERMINO]]-AVANCE[[#This Row],[FECHA INICIO REAL]]</f>
        <v>67</v>
      </c>
    </row>
    <row r="40" spans="1:63" x14ac:dyDescent="0.25">
      <c r="A40" t="s">
        <v>854</v>
      </c>
      <c r="B40" t="s">
        <v>861</v>
      </c>
      <c r="C40">
        <v>2302600039</v>
      </c>
      <c r="D40" t="s">
        <v>831</v>
      </c>
      <c r="E40" s="4">
        <v>0.99999999999999989</v>
      </c>
      <c r="F40" s="1">
        <v>46119</v>
      </c>
      <c r="G40" s="1">
        <v>46119</v>
      </c>
      <c r="H40" s="1">
        <v>46195</v>
      </c>
      <c r="I40" s="1">
        <v>46159</v>
      </c>
      <c r="J40" t="s">
        <v>355</v>
      </c>
      <c r="K40" s="1">
        <v>46195</v>
      </c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0.36999999999999983</v>
      </c>
      <c r="AI40" s="7">
        <v>0.99999999999999956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4.0540540540540529E-2</v>
      </c>
      <c r="BA40" s="7">
        <v>5.4054054054054029E-2</v>
      </c>
      <c r="BB40" s="7">
        <v>8.1081081081081058E-2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0" s="42">
        <f>+AVANCE[[#This Row],[FECHA TERMINO  PLANIFICADO]]-AVANCE[[#This Row],[FECHA INICIO TEORICO]]</f>
        <v>40</v>
      </c>
      <c r="BK40" s="42">
        <f>+AVANCE[[#This Row],[FECHA TERMINO]]-AVANCE[[#This Row],[FECHA INICIO REAL]]</f>
        <v>76</v>
      </c>
    </row>
    <row r="41" spans="1:63" x14ac:dyDescent="0.25">
      <c r="A41" t="s">
        <v>854</v>
      </c>
      <c r="B41" t="s">
        <v>862</v>
      </c>
      <c r="C41">
        <v>2282600040</v>
      </c>
      <c r="D41" t="s">
        <v>830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46148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1" s="42">
        <f>+AVANCE[[#This Row],[FECHA TERMINO  PLANIFICADO]]-AVANCE[[#This Row],[FECHA INICIO TEORICO]]</f>
        <v>29</v>
      </c>
      <c r="BK41" s="42">
        <f>+AVANCE[[#This Row],[FECHA TERMINO]]-AVANCE[[#This Row],[FECHA INICIO REAL]]</f>
        <v>66</v>
      </c>
    </row>
    <row r="42" spans="1:63" x14ac:dyDescent="0.25">
      <c r="A42" t="s">
        <v>854</v>
      </c>
      <c r="B42" t="s">
        <v>863</v>
      </c>
      <c r="C42">
        <v>2282600041</v>
      </c>
      <c r="D42" t="s">
        <v>830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46153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2" s="42">
        <f>+AVANCE[[#This Row],[FECHA TERMINO  PLANIFICADO]]-AVANCE[[#This Row],[FECHA INICIO TEORICO]]</f>
        <v>29</v>
      </c>
      <c r="BK42" s="42">
        <f>+AVANCE[[#This Row],[FECHA TERMINO]]-AVANCE[[#This Row],[FECHA INICIO REAL]]</f>
        <v>61</v>
      </c>
    </row>
    <row r="43" spans="1:63" x14ac:dyDescent="0.25">
      <c r="A43" t="s">
        <v>854</v>
      </c>
      <c r="B43" t="s">
        <v>864</v>
      </c>
      <c r="C43">
        <v>2302600042</v>
      </c>
      <c r="D43" t="s">
        <v>831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46169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3" s="42">
        <f>+AVANCE[[#This Row],[FECHA TERMINO  PLANIFICADO]]-AVANCE[[#This Row],[FECHA INICIO TEORICO]]</f>
        <v>40</v>
      </c>
      <c r="BK43" s="42">
        <f>+AVANCE[[#This Row],[FECHA TERMINO]]-AVANCE[[#This Row],[FECHA INICIO REAL]]</f>
        <v>62</v>
      </c>
    </row>
    <row r="44" spans="1:63" x14ac:dyDescent="0.25">
      <c r="A44" t="s">
        <v>854</v>
      </c>
      <c r="B44" t="s">
        <v>865</v>
      </c>
      <c r="C44">
        <v>2302600043</v>
      </c>
      <c r="D44" t="s">
        <v>831</v>
      </c>
      <c r="E44" s="4">
        <v>0.99999999999999989</v>
      </c>
      <c r="F44" s="1">
        <v>46127</v>
      </c>
      <c r="G44" s="1">
        <v>46127</v>
      </c>
      <c r="H44" s="1">
        <v>46195</v>
      </c>
      <c r="I44" s="1">
        <v>46167</v>
      </c>
      <c r="J44" t="s">
        <v>355</v>
      </c>
      <c r="K44" s="1">
        <v>46195</v>
      </c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0.09</v>
      </c>
      <c r="T44" s="7">
        <v>1</v>
      </c>
      <c r="U44" s="7">
        <v>0.22222222222222221</v>
      </c>
      <c r="V44" s="7">
        <v>0.22222222222222221</v>
      </c>
      <c r="W44" s="7">
        <v>0.1111111111111111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0.36999999999999983</v>
      </c>
      <c r="AI44" s="7">
        <v>0.99999999999999956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4.0540540540540529E-2</v>
      </c>
      <c r="AS44" s="7">
        <v>1.3513513513513507E-2</v>
      </c>
      <c r="AT44" s="7">
        <v>8.1081081081081058E-2</v>
      </c>
      <c r="AU44" s="7">
        <v>5.4054054054054029E-2</v>
      </c>
      <c r="AV44" s="7">
        <v>2.7027027027027015E-2</v>
      </c>
      <c r="AW44" s="7">
        <v>5.4054054054054029E-2</v>
      </c>
      <c r="AX44" s="7">
        <v>5.4054054054054029E-2</v>
      </c>
      <c r="AY44" s="7">
        <v>2.7027027027027015E-2</v>
      </c>
      <c r="AZ44" s="7">
        <v>4.0540540540540529E-2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4" s="42">
        <f>+AVANCE[[#This Row],[FECHA TERMINO  PLANIFICADO]]-AVANCE[[#This Row],[FECHA INICIO TEORICO]]</f>
        <v>40</v>
      </c>
      <c r="BK44" s="42">
        <f>+AVANCE[[#This Row],[FECHA TERMINO]]-AVANCE[[#This Row],[FECHA INICIO REAL]]</f>
        <v>68</v>
      </c>
    </row>
    <row r="45" spans="1:63" x14ac:dyDescent="0.25">
      <c r="A45" t="s">
        <v>854</v>
      </c>
      <c r="B45" t="s">
        <v>866</v>
      </c>
      <c r="C45">
        <v>2282600044</v>
      </c>
      <c r="D45" t="s">
        <v>830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46156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5" s="42">
        <f>+AVANCE[[#This Row],[FECHA TERMINO  PLANIFICADO]]-AVANCE[[#This Row],[FECHA INICIO TEORICO]]</f>
        <v>29</v>
      </c>
      <c r="BK45" s="42">
        <f>+AVANCE[[#This Row],[FECHA TERMINO]]-AVANCE[[#This Row],[FECHA INICIO REAL]]</f>
        <v>63</v>
      </c>
    </row>
    <row r="46" spans="1:63" x14ac:dyDescent="0.25">
      <c r="A46" t="s">
        <v>854</v>
      </c>
      <c r="B46" t="s">
        <v>867</v>
      </c>
      <c r="C46">
        <v>2282600045</v>
      </c>
      <c r="D46" t="s">
        <v>830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46161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6" s="42">
        <f>+AVANCE[[#This Row],[FECHA TERMINO  PLANIFICADO]]-AVANCE[[#This Row],[FECHA INICIO TEORICO]]</f>
        <v>29</v>
      </c>
      <c r="BK46" s="42">
        <f>+AVANCE[[#This Row],[FECHA TERMINO]]-AVANCE[[#This Row],[FECHA INICIO REAL]]</f>
        <v>59</v>
      </c>
    </row>
    <row r="47" spans="1:63" x14ac:dyDescent="0.25">
      <c r="A47" t="s">
        <v>854</v>
      </c>
      <c r="B47" t="s">
        <v>868</v>
      </c>
      <c r="C47">
        <v>2302600046</v>
      </c>
      <c r="D47" t="s">
        <v>831</v>
      </c>
      <c r="E47" s="4">
        <v>0.99999999999999989</v>
      </c>
      <c r="F47" s="1">
        <v>46126</v>
      </c>
      <c r="G47" s="1">
        <v>46126</v>
      </c>
      <c r="H47" s="1">
        <v>46195</v>
      </c>
      <c r="I47" s="1">
        <v>46166</v>
      </c>
      <c r="J47" t="s">
        <v>355</v>
      </c>
      <c r="K47" s="1">
        <v>46195</v>
      </c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0.36999999999999983</v>
      </c>
      <c r="AI47" s="7">
        <v>0.99999999999999956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4.0540540540540529E-2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7" s="42">
        <f>+AVANCE[[#This Row],[FECHA TERMINO  PLANIFICADO]]-AVANCE[[#This Row],[FECHA INICIO TEORICO]]</f>
        <v>40</v>
      </c>
      <c r="BK47" s="42">
        <f>+AVANCE[[#This Row],[FECHA TERMINO]]-AVANCE[[#This Row],[FECHA INICIO REAL]]</f>
        <v>69</v>
      </c>
    </row>
    <row r="48" spans="1:63" x14ac:dyDescent="0.25">
      <c r="A48" t="s">
        <v>854</v>
      </c>
      <c r="B48" t="s">
        <v>869</v>
      </c>
      <c r="C48">
        <v>2302600047</v>
      </c>
      <c r="D48" t="s">
        <v>831</v>
      </c>
      <c r="E48" s="4">
        <v>0.99999999999999989</v>
      </c>
      <c r="F48" s="1">
        <v>46127</v>
      </c>
      <c r="G48" s="1">
        <v>46127</v>
      </c>
      <c r="H48" s="1">
        <v>46195</v>
      </c>
      <c r="I48" s="1">
        <v>46167</v>
      </c>
      <c r="J48" t="s">
        <v>355</v>
      </c>
      <c r="K48" s="1">
        <v>46195</v>
      </c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0.09</v>
      </c>
      <c r="T48" s="7">
        <v>1</v>
      </c>
      <c r="U48" s="7">
        <v>0.22222222222222221</v>
      </c>
      <c r="V48" s="7">
        <v>0.22222222222222221</v>
      </c>
      <c r="W48" s="7">
        <v>0.1111111111111111</v>
      </c>
      <c r="X48" s="7">
        <v>0.1111111111111111</v>
      </c>
      <c r="Y48" s="7">
        <v>0.1111111111111111</v>
      </c>
      <c r="Z48" s="7">
        <v>0.22222222222222221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0.36999999999999983</v>
      </c>
      <c r="AI48" s="7">
        <v>0.99999999999999956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1.3513513513513507E-2</v>
      </c>
      <c r="AR48" s="7">
        <v>4.0540540540540529E-2</v>
      </c>
      <c r="AS48" s="7">
        <v>1.3513513513513507E-2</v>
      </c>
      <c r="AT48" s="7">
        <v>8.1081081081081058E-2</v>
      </c>
      <c r="AU48" s="7">
        <v>5.4054054054054029E-2</v>
      </c>
      <c r="AV48" s="7">
        <v>2.7027027027027015E-2</v>
      </c>
      <c r="AW48" s="7">
        <v>5.4054054054054029E-2</v>
      </c>
      <c r="AX48" s="7">
        <v>5.4054054054054029E-2</v>
      </c>
      <c r="AY48" s="7">
        <v>2.7027027027027015E-2</v>
      </c>
      <c r="AZ48" s="7">
        <v>4.0540540540540529E-2</v>
      </c>
      <c r="BA48" s="7">
        <v>5.4054054054054029E-2</v>
      </c>
      <c r="BB48" s="7">
        <v>8.1081081081081058E-2</v>
      </c>
      <c r="BC48" s="7">
        <v>1.3513513513513507E-2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8" s="42">
        <f>+AVANCE[[#This Row],[FECHA TERMINO  PLANIFICADO]]-AVANCE[[#This Row],[FECHA INICIO TEORICO]]</f>
        <v>40</v>
      </c>
      <c r="BK48" s="42">
        <f>+AVANCE[[#This Row],[FECHA TERMINO]]-AVANCE[[#This Row],[FECHA INICIO REAL]]</f>
        <v>68</v>
      </c>
    </row>
    <row r="49" spans="1:63" x14ac:dyDescent="0.25">
      <c r="A49" t="s">
        <v>854</v>
      </c>
      <c r="B49" t="s">
        <v>870</v>
      </c>
      <c r="C49">
        <v>2282600048</v>
      </c>
      <c r="D49" t="s">
        <v>830</v>
      </c>
      <c r="E49" s="4">
        <v>0.99999999999999989</v>
      </c>
      <c r="F49" s="1">
        <v>46126</v>
      </c>
      <c r="G49" s="1">
        <v>46126</v>
      </c>
      <c r="H49" s="1">
        <v>46192</v>
      </c>
      <c r="I49" s="1">
        <v>46155</v>
      </c>
      <c r="J49" t="s">
        <v>355</v>
      </c>
      <c r="K49" s="1">
        <v>46192</v>
      </c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0.36999999999999983</v>
      </c>
      <c r="AI49" s="7">
        <v>0.99999999999999956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4.0540540540540529E-2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4.0540540540540529E-2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9" s="42">
        <f>+AVANCE[[#This Row],[FECHA TERMINO  PLANIFICADO]]-AVANCE[[#This Row],[FECHA INICIO TEORICO]]</f>
        <v>29</v>
      </c>
      <c r="BK49" s="42">
        <f>+AVANCE[[#This Row],[FECHA TERMINO]]-AVANCE[[#This Row],[FECHA INICIO REAL]]</f>
        <v>66</v>
      </c>
    </row>
    <row r="50" spans="1:63" x14ac:dyDescent="0.25">
      <c r="A50" t="s">
        <v>854</v>
      </c>
      <c r="B50" t="s">
        <v>871</v>
      </c>
      <c r="C50">
        <v>2282600049</v>
      </c>
      <c r="D50" t="s">
        <v>830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46163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0" s="42">
        <f>+AVANCE[[#This Row],[FECHA TERMINO  PLANIFICADO]]-AVANCE[[#This Row],[FECHA INICIO TEORICO]]</f>
        <v>29</v>
      </c>
      <c r="BK50" s="42">
        <f>+AVANCE[[#This Row],[FECHA TERMINO]]-AVANCE[[#This Row],[FECHA INICIO REAL]]</f>
        <v>57</v>
      </c>
    </row>
    <row r="51" spans="1:63" x14ac:dyDescent="0.25">
      <c r="A51" t="s">
        <v>854</v>
      </c>
      <c r="B51" t="s">
        <v>872</v>
      </c>
      <c r="C51">
        <v>2302600050</v>
      </c>
      <c r="D51" t="s">
        <v>831</v>
      </c>
      <c r="E51" s="4">
        <v>0.99999999999999989</v>
      </c>
      <c r="F51" s="1">
        <v>46136</v>
      </c>
      <c r="G51" s="1">
        <v>46136</v>
      </c>
      <c r="H51" s="1">
        <v>46195</v>
      </c>
      <c r="I51" s="1">
        <v>46176</v>
      </c>
      <c r="J51" t="s">
        <v>355</v>
      </c>
      <c r="K51" s="1">
        <v>46195</v>
      </c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0.11</v>
      </c>
      <c r="AB51" s="7">
        <v>1</v>
      </c>
      <c r="AC51" s="7">
        <v>0.27272727272727271</v>
      </c>
      <c r="AD51" s="7">
        <v>0.27272727272727271</v>
      </c>
      <c r="AE51" s="7">
        <v>9.0909090909090912E-2</v>
      </c>
      <c r="AF51" s="7">
        <v>0.18181818181818185</v>
      </c>
      <c r="AG51" s="7">
        <v>0.18181818181818185</v>
      </c>
      <c r="AH51" s="7">
        <v>0.36999999999999983</v>
      </c>
      <c r="AI51" s="7">
        <v>0.99999999999999956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1.3513513513513507E-2</v>
      </c>
      <c r="AR51" s="7">
        <v>4.0540540540540529E-2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4.0540540540540529E-2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1" s="42">
        <f>+AVANCE[[#This Row],[FECHA TERMINO  PLANIFICADO]]-AVANCE[[#This Row],[FECHA INICIO TEORICO]]</f>
        <v>40</v>
      </c>
      <c r="BK51" s="42">
        <f>+AVANCE[[#This Row],[FECHA TERMINO]]-AVANCE[[#This Row],[FECHA INICIO REAL]]</f>
        <v>59</v>
      </c>
    </row>
    <row r="52" spans="1:63" x14ac:dyDescent="0.25">
      <c r="A52" t="s">
        <v>854</v>
      </c>
      <c r="B52" t="s">
        <v>873</v>
      </c>
      <c r="C52">
        <v>2302600051</v>
      </c>
      <c r="D52" t="s">
        <v>831</v>
      </c>
      <c r="E52" s="4">
        <v>0.99999999999999989</v>
      </c>
      <c r="F52" s="1">
        <v>46140</v>
      </c>
      <c r="G52" s="1">
        <v>46140</v>
      </c>
      <c r="H52" s="1">
        <v>46197</v>
      </c>
      <c r="I52" s="1">
        <v>46180</v>
      </c>
      <c r="J52" t="s">
        <v>355</v>
      </c>
      <c r="K52" s="1">
        <v>46197</v>
      </c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0.09</v>
      </c>
      <c r="T52" s="7">
        <v>1</v>
      </c>
      <c r="U52" s="7">
        <v>0.22222222222222221</v>
      </c>
      <c r="V52" s="7">
        <v>0.22222222222222221</v>
      </c>
      <c r="W52" s="7">
        <v>0.1111111111111111</v>
      </c>
      <c r="X52" s="7">
        <v>0.1111111111111111</v>
      </c>
      <c r="Y52" s="7">
        <v>0.1111111111111111</v>
      </c>
      <c r="Z52" s="7">
        <v>0.22222222222222221</v>
      </c>
      <c r="AA52" s="7">
        <v>0.11</v>
      </c>
      <c r="AB52" s="7">
        <v>1</v>
      </c>
      <c r="AC52" s="7">
        <v>0.27272727272727271</v>
      </c>
      <c r="AD52" s="7">
        <v>0.27272727272727271</v>
      </c>
      <c r="AE52" s="7">
        <v>9.0909090909090912E-2</v>
      </c>
      <c r="AF52" s="7">
        <v>0.18181818181818185</v>
      </c>
      <c r="AG52" s="7">
        <v>0.18181818181818185</v>
      </c>
      <c r="AH52" s="7">
        <v>0.36999999999999983</v>
      </c>
      <c r="AI52" s="7">
        <v>0.99999999999999956</v>
      </c>
      <c r="AJ52" s="7">
        <v>5.4054054054054029E-2</v>
      </c>
      <c r="AK52" s="7">
        <v>5.4054054054054029E-2</v>
      </c>
      <c r="AL52" s="7">
        <v>2.7027027027027015E-2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1.3513513513513507E-2</v>
      </c>
      <c r="AR52" s="7">
        <v>4.0540540540540529E-2</v>
      </c>
      <c r="AS52" s="7">
        <v>1.3513513513513507E-2</v>
      </c>
      <c r="AT52" s="7">
        <v>8.1081081081081058E-2</v>
      </c>
      <c r="AU52" s="7">
        <v>5.4054054054054029E-2</v>
      </c>
      <c r="AV52" s="7">
        <v>2.7027027027027015E-2</v>
      </c>
      <c r="AW52" s="7">
        <v>5.4054054054054029E-2</v>
      </c>
      <c r="AX52" s="7">
        <v>5.4054054054054029E-2</v>
      </c>
      <c r="AY52" s="7">
        <v>2.7027027027027015E-2</v>
      </c>
      <c r="AZ52" s="7">
        <v>4.0540540540540529E-2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2" s="42">
        <f>+AVANCE[[#This Row],[FECHA TERMINO  PLANIFICADO]]-AVANCE[[#This Row],[FECHA INICIO TEORICO]]</f>
        <v>40</v>
      </c>
      <c r="BK52" s="42">
        <f>+AVANCE[[#This Row],[FECHA TERMINO]]-AVANCE[[#This Row],[FECHA INICIO REAL]]</f>
        <v>57</v>
      </c>
    </row>
    <row r="53" spans="1:63" x14ac:dyDescent="0.25">
      <c r="A53" t="s">
        <v>854</v>
      </c>
      <c r="B53" t="s">
        <v>874</v>
      </c>
      <c r="C53">
        <v>2282600052</v>
      </c>
      <c r="D53" t="s">
        <v>830</v>
      </c>
      <c r="E53" s="4">
        <v>0.99999999999999989</v>
      </c>
      <c r="F53" s="1">
        <v>46134</v>
      </c>
      <c r="G53" s="1">
        <v>46134</v>
      </c>
      <c r="H53" s="1">
        <v>46196</v>
      </c>
      <c r="I53" s="1">
        <v>46163</v>
      </c>
      <c r="J53" t="s">
        <v>355</v>
      </c>
      <c r="K53" s="1">
        <v>46196</v>
      </c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0.11</v>
      </c>
      <c r="AB53" s="7">
        <v>1</v>
      </c>
      <c r="AC53" s="7">
        <v>0.27272727272727271</v>
      </c>
      <c r="AD53" s="7">
        <v>0.27272727272727271</v>
      </c>
      <c r="AE53" s="7">
        <v>9.0909090909090912E-2</v>
      </c>
      <c r="AF53" s="7">
        <v>0.18181818181818185</v>
      </c>
      <c r="AG53" s="7">
        <v>0.18181818181818185</v>
      </c>
      <c r="AH53" s="7">
        <v>0.36999999999999983</v>
      </c>
      <c r="AI53" s="7">
        <v>0.99999999999999956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4.0540540540540529E-2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3" s="42">
        <f>+AVANCE[[#This Row],[FECHA TERMINO  PLANIFICADO]]-AVANCE[[#This Row],[FECHA INICIO TEORICO]]</f>
        <v>29</v>
      </c>
      <c r="BK53" s="42">
        <f>+AVANCE[[#This Row],[FECHA TERMINO]]-AVANCE[[#This Row],[FECHA INICIO REAL]]</f>
        <v>62</v>
      </c>
    </row>
    <row r="54" spans="1:63" x14ac:dyDescent="0.25">
      <c r="A54" t="s">
        <v>854</v>
      </c>
      <c r="B54" t="s">
        <v>875</v>
      </c>
      <c r="C54">
        <v>2282600053</v>
      </c>
      <c r="D54" t="s">
        <v>830</v>
      </c>
      <c r="E54" s="4">
        <v>0.99999999999999989</v>
      </c>
      <c r="F54" s="1">
        <v>46139</v>
      </c>
      <c r="G54" s="1">
        <v>46139</v>
      </c>
      <c r="H54" s="1">
        <v>46196</v>
      </c>
      <c r="I54" s="1">
        <v>46168</v>
      </c>
      <c r="J54" t="s">
        <v>355</v>
      </c>
      <c r="K54" s="1">
        <v>46196</v>
      </c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0.11</v>
      </c>
      <c r="AB54" s="7">
        <v>1</v>
      </c>
      <c r="AC54" s="7">
        <v>0.27272727272727271</v>
      </c>
      <c r="AD54" s="7">
        <v>0.27272727272727271</v>
      </c>
      <c r="AE54" s="7">
        <v>9.0909090909090912E-2</v>
      </c>
      <c r="AF54" s="7">
        <v>0.18181818181818185</v>
      </c>
      <c r="AG54" s="7">
        <v>0.18181818181818185</v>
      </c>
      <c r="AH54" s="7">
        <v>0.36999999999999983</v>
      </c>
      <c r="AI54" s="7">
        <v>0.99999999999999956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4.0540540540540529E-2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4" s="42">
        <f>+AVANCE[[#This Row],[FECHA TERMINO  PLANIFICADO]]-AVANCE[[#This Row],[FECHA INICIO TEORICO]]</f>
        <v>29</v>
      </c>
      <c r="BK54" s="42">
        <f>+AVANCE[[#This Row],[FECHA TERMINO]]-AVANCE[[#This Row],[FECHA INICIO REAL]]</f>
        <v>57</v>
      </c>
    </row>
    <row r="55" spans="1:63" x14ac:dyDescent="0.25">
      <c r="A55" t="s">
        <v>854</v>
      </c>
      <c r="B55" t="s">
        <v>876</v>
      </c>
      <c r="C55">
        <v>2302600054</v>
      </c>
      <c r="D55" t="s">
        <v>831</v>
      </c>
      <c r="E55" s="4">
        <v>0.99999999999999989</v>
      </c>
      <c r="F55" s="1">
        <v>46141</v>
      </c>
      <c r="G55" s="1">
        <v>46141</v>
      </c>
      <c r="H55" s="1">
        <v>46198</v>
      </c>
      <c r="I55" s="1">
        <v>46181</v>
      </c>
      <c r="J55" t="s">
        <v>355</v>
      </c>
      <c r="K55" s="1">
        <v>46198</v>
      </c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0.09</v>
      </c>
      <c r="T55" s="7">
        <v>1</v>
      </c>
      <c r="U55" s="7">
        <v>0.22222222222222221</v>
      </c>
      <c r="V55" s="7">
        <v>0.22222222222222221</v>
      </c>
      <c r="W55" s="7">
        <v>0.1111111111111111</v>
      </c>
      <c r="X55" s="7">
        <v>0.1111111111111111</v>
      </c>
      <c r="Y55" s="7">
        <v>0.1111111111111111</v>
      </c>
      <c r="Z55" s="7">
        <v>0.22222222222222221</v>
      </c>
      <c r="AA55" s="7">
        <v>0.11</v>
      </c>
      <c r="AB55" s="7">
        <v>1</v>
      </c>
      <c r="AC55" s="7">
        <v>0.27272727272727271</v>
      </c>
      <c r="AD55" s="7">
        <v>0.27272727272727271</v>
      </c>
      <c r="AE55" s="7">
        <v>9.0909090909090912E-2</v>
      </c>
      <c r="AF55" s="7">
        <v>0.18181818181818185</v>
      </c>
      <c r="AG55" s="7">
        <v>0.18181818181818185</v>
      </c>
      <c r="AH55" s="7">
        <v>0.36999999999999983</v>
      </c>
      <c r="AI55" s="7">
        <v>0.99999999999999956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1.3513513513513507E-2</v>
      </c>
      <c r="AR55" s="7">
        <v>4.0540540540540529E-2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4.0540540540540529E-2</v>
      </c>
      <c r="BA55" s="7">
        <v>5.4054054054054029E-2</v>
      </c>
      <c r="BB55" s="7">
        <v>8.1081081081081058E-2</v>
      </c>
      <c r="BC55" s="7">
        <v>1.3513513513513507E-2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5" s="42">
        <f>+AVANCE[[#This Row],[FECHA TERMINO  PLANIFICADO]]-AVANCE[[#This Row],[FECHA INICIO TEORICO]]</f>
        <v>40</v>
      </c>
      <c r="BK55" s="42">
        <f>+AVANCE[[#This Row],[FECHA TERMINO]]-AVANCE[[#This Row],[FECHA INICIO REAL]]</f>
        <v>57</v>
      </c>
    </row>
    <row r="56" spans="1:63" x14ac:dyDescent="0.25">
      <c r="A56" t="s">
        <v>854</v>
      </c>
      <c r="B56" t="s">
        <v>877</v>
      </c>
      <c r="C56">
        <v>2302600055</v>
      </c>
      <c r="D56" t="s">
        <v>831</v>
      </c>
      <c r="E56" s="4">
        <v>0.99999999999999989</v>
      </c>
      <c r="F56" s="1">
        <v>46136</v>
      </c>
      <c r="G56" s="1">
        <v>46136</v>
      </c>
      <c r="H56" s="1">
        <v>46203</v>
      </c>
      <c r="I56" s="1">
        <v>46176</v>
      </c>
      <c r="J56" t="s">
        <v>355</v>
      </c>
      <c r="K56" s="1">
        <v>46203</v>
      </c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0.09</v>
      </c>
      <c r="T56" s="7">
        <v>1</v>
      </c>
      <c r="U56" s="7">
        <v>0.22222222222222221</v>
      </c>
      <c r="V56" s="7">
        <v>0.22222222222222221</v>
      </c>
      <c r="W56" s="7">
        <v>0.1111111111111111</v>
      </c>
      <c r="X56" s="7">
        <v>0.1111111111111111</v>
      </c>
      <c r="Y56" s="7">
        <v>0.1111111111111111</v>
      </c>
      <c r="Z56" s="7">
        <v>0.22222222222222221</v>
      </c>
      <c r="AA56" s="7">
        <v>0.11</v>
      </c>
      <c r="AB56" s="7">
        <v>1</v>
      </c>
      <c r="AC56" s="7">
        <v>0.27272727272727271</v>
      </c>
      <c r="AD56" s="7">
        <v>0.27272727272727271</v>
      </c>
      <c r="AE56" s="7">
        <v>9.0909090909090912E-2</v>
      </c>
      <c r="AF56" s="7">
        <v>0.18181818181818185</v>
      </c>
      <c r="AG56" s="7">
        <v>0.18181818181818185</v>
      </c>
      <c r="AH56" s="7">
        <v>0.36999999999999983</v>
      </c>
      <c r="AI56" s="7">
        <v>0.99999999999999956</v>
      </c>
      <c r="AJ56" s="7">
        <v>5.4054054054054029E-2</v>
      </c>
      <c r="AK56" s="7">
        <v>5.4054054054054029E-2</v>
      </c>
      <c r="AL56" s="7">
        <v>2.7027027027027015E-2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1.3513513513513507E-2</v>
      </c>
      <c r="AR56" s="7">
        <v>4.0540540540540529E-2</v>
      </c>
      <c r="AS56" s="7">
        <v>1.3513513513513507E-2</v>
      </c>
      <c r="AT56" s="7">
        <v>8.1081081081081058E-2</v>
      </c>
      <c r="AU56" s="7">
        <v>5.4054054054054029E-2</v>
      </c>
      <c r="AV56" s="7">
        <v>2.7027027027027015E-2</v>
      </c>
      <c r="AW56" s="7">
        <v>5.4054054054054029E-2</v>
      </c>
      <c r="AX56" s="7">
        <v>5.4054054054054029E-2</v>
      </c>
      <c r="AY56" s="7">
        <v>2.7027027027027015E-2</v>
      </c>
      <c r="AZ56" s="7">
        <v>4.0540540540540529E-2</v>
      </c>
      <c r="BA56" s="7">
        <v>5.4054054054054029E-2</v>
      </c>
      <c r="BB56" s="7">
        <v>8.1081081081081058E-2</v>
      </c>
      <c r="BC56" s="7">
        <v>1.3513513513513507E-2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6" s="42">
        <f>+AVANCE[[#This Row],[FECHA TERMINO  PLANIFICADO]]-AVANCE[[#This Row],[FECHA INICIO TEORICO]]</f>
        <v>40</v>
      </c>
      <c r="BK56" s="42">
        <f>+AVANCE[[#This Row],[FECHA TERMINO]]-AVANCE[[#This Row],[FECHA INICIO REAL]]</f>
        <v>67</v>
      </c>
    </row>
    <row r="57" spans="1:63" x14ac:dyDescent="0.25">
      <c r="A57" t="s">
        <v>854</v>
      </c>
      <c r="B57" t="s">
        <v>878</v>
      </c>
      <c r="C57">
        <v>2282600056</v>
      </c>
      <c r="D57" t="s">
        <v>830</v>
      </c>
      <c r="E57" s="4">
        <v>0.99999999999999989</v>
      </c>
      <c r="F57" s="1">
        <v>46134</v>
      </c>
      <c r="G57" s="1">
        <v>46134</v>
      </c>
      <c r="H57" s="1">
        <v>46199</v>
      </c>
      <c r="I57" s="1">
        <v>46163</v>
      </c>
      <c r="J57" t="s">
        <v>355</v>
      </c>
      <c r="K57" s="1">
        <v>46199</v>
      </c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0.11</v>
      </c>
      <c r="AB57" s="7">
        <v>1</v>
      </c>
      <c r="AC57" s="7">
        <v>0.27272727272727271</v>
      </c>
      <c r="AD57" s="7">
        <v>0.27272727272727271</v>
      </c>
      <c r="AE57" s="7">
        <v>9.0909090909090912E-2</v>
      </c>
      <c r="AF57" s="7">
        <v>0.18181818181818185</v>
      </c>
      <c r="AG57" s="7">
        <v>0.18181818181818185</v>
      </c>
      <c r="AH57" s="7">
        <v>0.36999999999999983</v>
      </c>
      <c r="AI57" s="7">
        <v>0.99999999999999956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4.0540540540540529E-2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7" s="42">
        <f>+AVANCE[[#This Row],[FECHA TERMINO  PLANIFICADO]]-AVANCE[[#This Row],[FECHA INICIO TEORICO]]</f>
        <v>29</v>
      </c>
      <c r="BK57" s="42">
        <f>+AVANCE[[#This Row],[FECHA TERMINO]]-AVANCE[[#This Row],[FECHA INICIO REAL]]</f>
        <v>65</v>
      </c>
    </row>
    <row r="58" spans="1:63" x14ac:dyDescent="0.25">
      <c r="A58" t="s">
        <v>854</v>
      </c>
      <c r="B58" t="s">
        <v>879</v>
      </c>
      <c r="C58">
        <v>2282600057</v>
      </c>
      <c r="D58" t="s">
        <v>830</v>
      </c>
      <c r="E58" s="4">
        <v>0.99999999999999989</v>
      </c>
      <c r="F58" s="1">
        <v>46146</v>
      </c>
      <c r="G58" s="1">
        <v>46148</v>
      </c>
      <c r="H58" s="1">
        <v>46198</v>
      </c>
      <c r="I58" s="1">
        <v>46175</v>
      </c>
      <c r="J58" t="s">
        <v>355</v>
      </c>
      <c r="K58" s="1">
        <v>46198</v>
      </c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0.11</v>
      </c>
      <c r="AB58" s="7">
        <v>1</v>
      </c>
      <c r="AC58" s="7">
        <v>0.27272727272727271</v>
      </c>
      <c r="AD58" s="7">
        <v>0.27272727272727271</v>
      </c>
      <c r="AE58" s="7">
        <v>9.0909090909090912E-2</v>
      </c>
      <c r="AF58" s="7">
        <v>0.18181818181818185</v>
      </c>
      <c r="AG58" s="7">
        <v>0.18181818181818185</v>
      </c>
      <c r="AH58" s="7">
        <v>0.36999999999999983</v>
      </c>
      <c r="AI58" s="7">
        <v>0.99999999999999956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1.3513513513513507E-2</v>
      </c>
      <c r="AR58" s="7">
        <v>4.0540540540540529E-2</v>
      </c>
      <c r="AS58" s="7">
        <v>1.3513513513513507E-2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4.0540540540540529E-2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8" s="42">
        <f>+AVANCE[[#This Row],[FECHA TERMINO  PLANIFICADO]]-AVANCE[[#This Row],[FECHA INICIO TEORICO]]</f>
        <v>29</v>
      </c>
      <c r="BK58" s="42">
        <f>+AVANCE[[#This Row],[FECHA TERMINO]]-AVANCE[[#This Row],[FECHA INICIO REAL]]</f>
        <v>50</v>
      </c>
    </row>
    <row r="59" spans="1:63" x14ac:dyDescent="0.25">
      <c r="A59" t="s">
        <v>854</v>
      </c>
      <c r="B59" t="s">
        <v>880</v>
      </c>
      <c r="C59">
        <v>2302600058</v>
      </c>
      <c r="D59" t="s">
        <v>831</v>
      </c>
      <c r="E59" s="4">
        <v>0.99999999999999989</v>
      </c>
      <c r="F59" s="1">
        <v>46146</v>
      </c>
      <c r="G59" s="1">
        <v>46147</v>
      </c>
      <c r="H59" s="1">
        <v>46204</v>
      </c>
      <c r="I59" s="1">
        <v>46186</v>
      </c>
      <c r="J59" t="s">
        <v>355</v>
      </c>
      <c r="K59" s="1">
        <v>46204</v>
      </c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0.09</v>
      </c>
      <c r="T59" s="7">
        <v>1</v>
      </c>
      <c r="U59" s="7">
        <v>0.22222222222222221</v>
      </c>
      <c r="V59" s="7">
        <v>0.22222222222222221</v>
      </c>
      <c r="W59" s="7">
        <v>0.1111111111111111</v>
      </c>
      <c r="X59" s="7">
        <v>0.1111111111111111</v>
      </c>
      <c r="Y59" s="7">
        <v>0.1111111111111111</v>
      </c>
      <c r="Z59" s="7">
        <v>0.22222222222222221</v>
      </c>
      <c r="AA59" s="7">
        <v>0.11</v>
      </c>
      <c r="AB59" s="7">
        <v>1</v>
      </c>
      <c r="AC59" s="7">
        <v>0.27272727272727271</v>
      </c>
      <c r="AD59" s="7">
        <v>0.27272727272727271</v>
      </c>
      <c r="AE59" s="7">
        <v>9.0909090909090912E-2</v>
      </c>
      <c r="AF59" s="7">
        <v>0.18181818181818185</v>
      </c>
      <c r="AG59" s="7">
        <v>0.18181818181818185</v>
      </c>
      <c r="AH59" s="7">
        <v>0.36999999999999983</v>
      </c>
      <c r="AI59" s="7">
        <v>0.99999999999999956</v>
      </c>
      <c r="AJ59" s="7">
        <v>5.4054054054054029E-2</v>
      </c>
      <c r="AK59" s="7">
        <v>5.4054054054054029E-2</v>
      </c>
      <c r="AL59" s="7">
        <v>2.7027027027027015E-2</v>
      </c>
      <c r="AM59" s="7">
        <v>8.1081081081081058E-2</v>
      </c>
      <c r="AN59" s="7">
        <v>8.1081081081081058E-2</v>
      </c>
      <c r="AO59" s="7">
        <v>6.7567567567567557E-2</v>
      </c>
      <c r="AP59" s="7">
        <v>5.4054054054054029E-2</v>
      </c>
      <c r="AQ59" s="7">
        <v>1.3513513513513507E-2</v>
      </c>
      <c r="AR59" s="7">
        <v>4.0540540540540529E-2</v>
      </c>
      <c r="AS59" s="7">
        <v>1.3513513513513507E-2</v>
      </c>
      <c r="AT59" s="7">
        <v>8.1081081081081058E-2</v>
      </c>
      <c r="AU59" s="7">
        <v>5.4054054054054029E-2</v>
      </c>
      <c r="AV59" s="7">
        <v>2.7027027027027015E-2</v>
      </c>
      <c r="AW59" s="7">
        <v>5.4054054054054029E-2</v>
      </c>
      <c r="AX59" s="7">
        <v>5.4054054054054029E-2</v>
      </c>
      <c r="AY59" s="7">
        <v>2.7027027027027015E-2</v>
      </c>
      <c r="AZ59" s="7">
        <v>4.0540540540540529E-2</v>
      </c>
      <c r="BA59" s="7">
        <v>5.4054054054054029E-2</v>
      </c>
      <c r="BB59" s="7">
        <v>8.1081081081081058E-2</v>
      </c>
      <c r="BC59" s="7">
        <v>1.3513513513513507E-2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9" s="42">
        <f>+AVANCE[[#This Row],[FECHA TERMINO  PLANIFICADO]]-AVANCE[[#This Row],[FECHA INICIO TEORICO]]</f>
        <v>40</v>
      </c>
      <c r="BK59" s="42">
        <f>+AVANCE[[#This Row],[FECHA TERMINO]]-AVANCE[[#This Row],[FECHA INICIO REAL]]</f>
        <v>57</v>
      </c>
    </row>
    <row r="60" spans="1:63" x14ac:dyDescent="0.25">
      <c r="A60" t="s">
        <v>854</v>
      </c>
      <c r="B60" t="s">
        <v>881</v>
      </c>
      <c r="C60">
        <v>2302600059</v>
      </c>
      <c r="D60" t="s">
        <v>831</v>
      </c>
      <c r="E60" s="4">
        <v>0.99999999999999989</v>
      </c>
      <c r="F60" s="1">
        <v>46147</v>
      </c>
      <c r="G60" s="1">
        <v>46146</v>
      </c>
      <c r="H60" s="1">
        <v>46204</v>
      </c>
      <c r="I60" s="1">
        <v>46187</v>
      </c>
      <c r="J60" t="s">
        <v>355</v>
      </c>
      <c r="K60" s="1">
        <v>46204</v>
      </c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0.09</v>
      </c>
      <c r="T60" s="7">
        <v>1</v>
      </c>
      <c r="U60" s="7">
        <v>0.22222222222222221</v>
      </c>
      <c r="V60" s="7">
        <v>0.22222222222222221</v>
      </c>
      <c r="W60" s="7">
        <v>0.1111111111111111</v>
      </c>
      <c r="X60" s="7">
        <v>0.1111111111111111</v>
      </c>
      <c r="Y60" s="7">
        <v>0.1111111111111111</v>
      </c>
      <c r="Z60" s="7">
        <v>0.22222222222222221</v>
      </c>
      <c r="AA60" s="7">
        <v>0.11</v>
      </c>
      <c r="AB60" s="7">
        <v>1</v>
      </c>
      <c r="AC60" s="7">
        <v>0.27272727272727271</v>
      </c>
      <c r="AD60" s="7">
        <v>0.27272727272727271</v>
      </c>
      <c r="AE60" s="7">
        <v>9.0909090909090912E-2</v>
      </c>
      <c r="AF60" s="7">
        <v>0.18181818181818185</v>
      </c>
      <c r="AG60" s="7">
        <v>0.18181818181818185</v>
      </c>
      <c r="AH60" s="7">
        <v>0.36999999999999983</v>
      </c>
      <c r="AI60" s="7">
        <v>0.99999999999999956</v>
      </c>
      <c r="AJ60" s="7">
        <v>5.4054054054054029E-2</v>
      </c>
      <c r="AK60" s="7">
        <v>5.4054054054054029E-2</v>
      </c>
      <c r="AL60" s="7">
        <v>2.7027027027027015E-2</v>
      </c>
      <c r="AM60" s="7">
        <v>8.1081081081081058E-2</v>
      </c>
      <c r="AN60" s="7">
        <v>8.1081081081081058E-2</v>
      </c>
      <c r="AO60" s="7">
        <v>6.7567567567567557E-2</v>
      </c>
      <c r="AP60" s="7">
        <v>5.4054054054054029E-2</v>
      </c>
      <c r="AQ60" s="7">
        <v>1.3513513513513507E-2</v>
      </c>
      <c r="AR60" s="7">
        <v>4.0540540540540529E-2</v>
      </c>
      <c r="AS60" s="7">
        <v>1.3513513513513507E-2</v>
      </c>
      <c r="AT60" s="7">
        <v>8.1081081081081058E-2</v>
      </c>
      <c r="AU60" s="7">
        <v>5.4054054054054029E-2</v>
      </c>
      <c r="AV60" s="7">
        <v>2.7027027027027015E-2</v>
      </c>
      <c r="AW60" s="7">
        <v>5.4054054054054029E-2</v>
      </c>
      <c r="AX60" s="7">
        <v>5.4054054054054029E-2</v>
      </c>
      <c r="AY60" s="7">
        <v>2.7027027027027015E-2</v>
      </c>
      <c r="AZ60" s="7">
        <v>4.0540540540540529E-2</v>
      </c>
      <c r="BA60" s="7">
        <v>5.4054054054054029E-2</v>
      </c>
      <c r="BB60" s="7">
        <v>8.1081081081081058E-2</v>
      </c>
      <c r="BC60" s="7">
        <v>1.3513513513513507E-2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0" s="42">
        <f>+AVANCE[[#This Row],[FECHA TERMINO  PLANIFICADO]]-AVANCE[[#This Row],[FECHA INICIO TEORICO]]</f>
        <v>40</v>
      </c>
      <c r="BK60" s="42">
        <f>+AVANCE[[#This Row],[FECHA TERMINO]]-AVANCE[[#This Row],[FECHA INICIO REAL]]</f>
        <v>58</v>
      </c>
    </row>
    <row r="61" spans="1:63" x14ac:dyDescent="0.25">
      <c r="A61" t="s">
        <v>854</v>
      </c>
      <c r="B61" t="s">
        <v>882</v>
      </c>
      <c r="C61">
        <v>2282600060</v>
      </c>
      <c r="D61" t="s">
        <v>830</v>
      </c>
      <c r="E61" s="4">
        <v>0.99999999999999989</v>
      </c>
      <c r="F61" s="1">
        <v>46147</v>
      </c>
      <c r="G61" s="1">
        <v>46149</v>
      </c>
      <c r="H61" s="1">
        <v>46203</v>
      </c>
      <c r="I61" s="1">
        <v>46176</v>
      </c>
      <c r="J61" t="s">
        <v>355</v>
      </c>
      <c r="K61" s="1">
        <v>46203</v>
      </c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0.11</v>
      </c>
      <c r="AB61" s="7">
        <v>1</v>
      </c>
      <c r="AC61" s="7">
        <v>0.27272727272727271</v>
      </c>
      <c r="AD61" s="7">
        <v>0.27272727272727271</v>
      </c>
      <c r="AE61" s="7">
        <v>9.0909090909090912E-2</v>
      </c>
      <c r="AF61" s="7">
        <v>0.18181818181818185</v>
      </c>
      <c r="AG61" s="7">
        <v>0.18181818181818185</v>
      </c>
      <c r="AH61" s="7">
        <v>0.36999999999999983</v>
      </c>
      <c r="AI61" s="7">
        <v>0.99999999999999956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4.0540540540540529E-2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4.0540540540540529E-2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1" s="42">
        <f>+AVANCE[[#This Row],[FECHA TERMINO  PLANIFICADO]]-AVANCE[[#This Row],[FECHA INICIO TEORICO]]</f>
        <v>29</v>
      </c>
      <c r="BK61" s="42">
        <f>+AVANCE[[#This Row],[FECHA TERMINO]]-AVANCE[[#This Row],[FECHA INICIO REAL]]</f>
        <v>54</v>
      </c>
    </row>
    <row r="62" spans="1:63" x14ac:dyDescent="0.25">
      <c r="A62" t="s">
        <v>854</v>
      </c>
      <c r="B62" t="s">
        <v>883</v>
      </c>
      <c r="C62">
        <v>2282600061</v>
      </c>
      <c r="D62" t="s">
        <v>830</v>
      </c>
      <c r="E62" s="4">
        <v>0.99999999999999989</v>
      </c>
      <c r="F62" s="1">
        <v>46148</v>
      </c>
      <c r="G62" s="1">
        <v>46150</v>
      </c>
      <c r="H62" s="1">
        <v>46203</v>
      </c>
      <c r="I62" s="1">
        <v>46177</v>
      </c>
      <c r="J62" t="s">
        <v>355</v>
      </c>
      <c r="K62" s="1">
        <v>46203</v>
      </c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0.11</v>
      </c>
      <c r="AB62" s="7">
        <v>1</v>
      </c>
      <c r="AC62" s="7">
        <v>0.27272727272727271</v>
      </c>
      <c r="AD62" s="7">
        <v>0.27272727272727271</v>
      </c>
      <c r="AE62" s="7">
        <v>9.0909090909090912E-2</v>
      </c>
      <c r="AF62" s="7">
        <v>0.18181818181818185</v>
      </c>
      <c r="AG62" s="7">
        <v>0.18181818181818185</v>
      </c>
      <c r="AH62" s="7">
        <v>0.36999999999999983</v>
      </c>
      <c r="AI62" s="7">
        <v>0.99999999999999956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4.0540540540540529E-2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4.0540540540540529E-2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2" s="42">
        <f>+AVANCE[[#This Row],[FECHA TERMINO  PLANIFICADO]]-AVANCE[[#This Row],[FECHA INICIO TEORICO]]</f>
        <v>29</v>
      </c>
      <c r="BK62" s="42">
        <f>+AVANCE[[#This Row],[FECHA TERMINO]]-AVANCE[[#This Row],[FECHA INICIO REAL]]</f>
        <v>53</v>
      </c>
    </row>
    <row r="63" spans="1:63" x14ac:dyDescent="0.25">
      <c r="A63" t="s">
        <v>854</v>
      </c>
      <c r="B63" t="s">
        <v>884</v>
      </c>
      <c r="C63">
        <v>2302600062</v>
      </c>
      <c r="D63" t="s">
        <v>831</v>
      </c>
      <c r="E63" s="4">
        <v>0.99999999999999989</v>
      </c>
      <c r="F63" s="1">
        <v>46148</v>
      </c>
      <c r="G63" s="1">
        <v>46149</v>
      </c>
      <c r="H63" s="1">
        <v>46205</v>
      </c>
      <c r="I63" s="1">
        <v>46188</v>
      </c>
      <c r="J63" t="s">
        <v>355</v>
      </c>
      <c r="K63" s="1">
        <v>46205</v>
      </c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0.09</v>
      </c>
      <c r="T63" s="7">
        <v>1</v>
      </c>
      <c r="U63" s="7">
        <v>0.22222222222222221</v>
      </c>
      <c r="V63" s="7">
        <v>0.22222222222222221</v>
      </c>
      <c r="W63" s="7">
        <v>0.1111111111111111</v>
      </c>
      <c r="X63" s="7">
        <v>0.1111111111111111</v>
      </c>
      <c r="Y63" s="7">
        <v>0.1111111111111111</v>
      </c>
      <c r="Z63" s="7">
        <v>0.22222222222222221</v>
      </c>
      <c r="AA63" s="7">
        <v>0.11</v>
      </c>
      <c r="AB63" s="7">
        <v>1</v>
      </c>
      <c r="AC63" s="7">
        <v>0.27272727272727271</v>
      </c>
      <c r="AD63" s="7">
        <v>0.27272727272727271</v>
      </c>
      <c r="AE63" s="7">
        <v>9.0909090909090912E-2</v>
      </c>
      <c r="AF63" s="7">
        <v>0.18181818181818185</v>
      </c>
      <c r="AG63" s="7">
        <v>0.18181818181818185</v>
      </c>
      <c r="AH63" s="7">
        <v>0.36999999999999983</v>
      </c>
      <c r="AI63" s="7">
        <v>0.99999999999999956</v>
      </c>
      <c r="AJ63" s="7">
        <v>5.4054054054054029E-2</v>
      </c>
      <c r="AK63" s="7">
        <v>5.4054054054054029E-2</v>
      </c>
      <c r="AL63" s="7">
        <v>2.7027027027027015E-2</v>
      </c>
      <c r="AM63" s="7">
        <v>8.1081081081081058E-2</v>
      </c>
      <c r="AN63" s="7">
        <v>8.1081081081081058E-2</v>
      </c>
      <c r="AO63" s="7">
        <v>6.7567567567567557E-2</v>
      </c>
      <c r="AP63" s="7">
        <v>5.4054054054054029E-2</v>
      </c>
      <c r="AQ63" s="7">
        <v>1.3513513513513507E-2</v>
      </c>
      <c r="AR63" s="7">
        <v>4.0540540540540529E-2</v>
      </c>
      <c r="AS63" s="7">
        <v>1.3513513513513507E-2</v>
      </c>
      <c r="AT63" s="7">
        <v>8.1081081081081058E-2</v>
      </c>
      <c r="AU63" s="7">
        <v>5.4054054054054029E-2</v>
      </c>
      <c r="AV63" s="7">
        <v>2.7027027027027015E-2</v>
      </c>
      <c r="AW63" s="7">
        <v>5.4054054054054029E-2</v>
      </c>
      <c r="AX63" s="7">
        <v>5.4054054054054029E-2</v>
      </c>
      <c r="AY63" s="7">
        <v>2.7027027027027015E-2</v>
      </c>
      <c r="AZ63" s="7">
        <v>4.0540540540540529E-2</v>
      </c>
      <c r="BA63" s="7">
        <v>5.4054054054054029E-2</v>
      </c>
      <c r="BB63" s="7">
        <v>8.1081081081081058E-2</v>
      </c>
      <c r="BC63" s="7">
        <v>1.3513513513513507E-2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3" s="42">
        <f>+AVANCE[[#This Row],[FECHA TERMINO  PLANIFICADO]]-AVANCE[[#This Row],[FECHA INICIO TEORICO]]</f>
        <v>40</v>
      </c>
      <c r="BK63" s="42">
        <f>+AVANCE[[#This Row],[FECHA TERMINO]]-AVANCE[[#This Row],[FECHA INICIO REAL]]</f>
        <v>56</v>
      </c>
    </row>
    <row r="64" spans="1:63" x14ac:dyDescent="0.25">
      <c r="A64" t="s">
        <v>854</v>
      </c>
      <c r="B64" t="s">
        <v>885</v>
      </c>
      <c r="C64">
        <v>2302600063</v>
      </c>
      <c r="D64" t="s">
        <v>831</v>
      </c>
      <c r="E64" s="4">
        <v>0.99999999999999989</v>
      </c>
      <c r="F64" s="1">
        <v>46149</v>
      </c>
      <c r="G64" s="1">
        <v>46147</v>
      </c>
      <c r="H64" s="1">
        <v>46206</v>
      </c>
      <c r="I64" s="1">
        <v>46189</v>
      </c>
      <c r="J64" t="s">
        <v>355</v>
      </c>
      <c r="K64" s="1">
        <v>46206</v>
      </c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0.09</v>
      </c>
      <c r="T64" s="7">
        <v>1</v>
      </c>
      <c r="U64" s="7">
        <v>0.22222222222222221</v>
      </c>
      <c r="V64" s="7">
        <v>0.22222222222222221</v>
      </c>
      <c r="W64" s="7">
        <v>0.1111111111111111</v>
      </c>
      <c r="X64" s="7">
        <v>0.1111111111111111</v>
      </c>
      <c r="Y64" s="7">
        <v>0.1111111111111111</v>
      </c>
      <c r="Z64" s="7">
        <v>0.22222222222222221</v>
      </c>
      <c r="AA64" s="7">
        <v>0.11</v>
      </c>
      <c r="AB64" s="7">
        <v>1</v>
      </c>
      <c r="AC64" s="7">
        <v>0.27272727272727271</v>
      </c>
      <c r="AD64" s="7">
        <v>0.27272727272727271</v>
      </c>
      <c r="AE64" s="7">
        <v>9.0909090909090912E-2</v>
      </c>
      <c r="AF64" s="7">
        <v>0.18181818181818185</v>
      </c>
      <c r="AG64" s="7">
        <v>0.18181818181818185</v>
      </c>
      <c r="AH64" s="7">
        <v>0.36999999999999983</v>
      </c>
      <c r="AI64" s="7">
        <v>0.99999999999999956</v>
      </c>
      <c r="AJ64" s="7">
        <v>5.4054054054054029E-2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1.3513513513513507E-2</v>
      </c>
      <c r="AR64" s="7">
        <v>4.0540540540540529E-2</v>
      </c>
      <c r="AS64" s="7">
        <v>1.3513513513513507E-2</v>
      </c>
      <c r="AT64" s="7">
        <v>8.1081081081081058E-2</v>
      </c>
      <c r="AU64" s="7">
        <v>5.4054054054054029E-2</v>
      </c>
      <c r="AV64" s="7">
        <v>2.7027027027027015E-2</v>
      </c>
      <c r="AW64" s="7">
        <v>5.4054054054054029E-2</v>
      </c>
      <c r="AX64" s="7">
        <v>5.4054054054054029E-2</v>
      </c>
      <c r="AY64" s="7">
        <v>2.7027027027027015E-2</v>
      </c>
      <c r="AZ64" s="7">
        <v>4.0540540540540529E-2</v>
      </c>
      <c r="BA64" s="7">
        <v>5.4054054054054029E-2</v>
      </c>
      <c r="BB64" s="7">
        <v>8.1081081081081058E-2</v>
      </c>
      <c r="BC64" s="7">
        <v>1.3513513513513507E-2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4" s="42">
        <f>+AVANCE[[#This Row],[FECHA TERMINO  PLANIFICADO]]-AVANCE[[#This Row],[FECHA INICIO TEORICO]]</f>
        <v>40</v>
      </c>
      <c r="BK64" s="42">
        <f>+AVANCE[[#This Row],[FECHA TERMINO]]-AVANCE[[#This Row],[FECHA INICIO REAL]]</f>
        <v>59</v>
      </c>
    </row>
    <row r="65" spans="1:63" x14ac:dyDescent="0.25">
      <c r="A65" t="s">
        <v>854</v>
      </c>
      <c r="B65" t="s">
        <v>886</v>
      </c>
      <c r="C65">
        <v>2282600064</v>
      </c>
      <c r="D65" t="s">
        <v>830</v>
      </c>
      <c r="E65" s="4">
        <v>0.99999999999999989</v>
      </c>
      <c r="F65" s="1">
        <v>46149</v>
      </c>
      <c r="G65" s="1">
        <v>46149</v>
      </c>
      <c r="H65" s="1">
        <v>46205</v>
      </c>
      <c r="I65" s="1">
        <v>46178</v>
      </c>
      <c r="J65" t="s">
        <v>355</v>
      </c>
      <c r="K65" s="1">
        <v>46205</v>
      </c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0.11</v>
      </c>
      <c r="AB65" s="7">
        <v>1</v>
      </c>
      <c r="AC65" s="7">
        <v>0.27272727272727271</v>
      </c>
      <c r="AD65" s="7">
        <v>0.27272727272727271</v>
      </c>
      <c r="AE65" s="7">
        <v>9.0909090909090912E-2</v>
      </c>
      <c r="AF65" s="7">
        <v>0.18181818181818185</v>
      </c>
      <c r="AG65" s="7">
        <v>0.18181818181818185</v>
      </c>
      <c r="AH65" s="7">
        <v>0.36999999999999983</v>
      </c>
      <c r="AI65" s="7">
        <v>0.99999999999999956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1.3513513513513507E-2</v>
      </c>
      <c r="AR65" s="7">
        <v>4.0540540540540529E-2</v>
      </c>
      <c r="AS65" s="7">
        <v>1.3513513513513507E-2</v>
      </c>
      <c r="AT65" s="7">
        <v>8.1081081081081058E-2</v>
      </c>
      <c r="AU65" s="7">
        <v>5.4054054054054029E-2</v>
      </c>
      <c r="AV65" s="7">
        <v>2.7027027027027015E-2</v>
      </c>
      <c r="AW65" s="7">
        <v>5.4054054054054029E-2</v>
      </c>
      <c r="AX65" s="7">
        <v>5.4054054054054029E-2</v>
      </c>
      <c r="AY65" s="7">
        <v>2.7027027027027015E-2</v>
      </c>
      <c r="AZ65" s="7">
        <v>4.0540540540540529E-2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5" s="42">
        <f>+AVANCE[[#This Row],[FECHA TERMINO  PLANIFICADO]]-AVANCE[[#This Row],[FECHA INICIO TEORICO]]</f>
        <v>29</v>
      </c>
      <c r="BK65" s="42">
        <f>+AVANCE[[#This Row],[FECHA TERMINO]]-AVANCE[[#This Row],[FECHA INICIO REAL]]</f>
        <v>56</v>
      </c>
    </row>
    <row r="66" spans="1:63" x14ac:dyDescent="0.25">
      <c r="A66" t="s">
        <v>887</v>
      </c>
      <c r="B66" t="s">
        <v>888</v>
      </c>
      <c r="C66">
        <v>2282600065</v>
      </c>
      <c r="D66" t="s">
        <v>830</v>
      </c>
      <c r="E66" s="4">
        <v>0.99999999999999989</v>
      </c>
      <c r="F66" s="1">
        <v>46150</v>
      </c>
      <c r="G66" s="1">
        <v>46153</v>
      </c>
      <c r="H66" s="1">
        <v>46205</v>
      </c>
      <c r="I66" s="1">
        <v>46176</v>
      </c>
      <c r="J66" t="s">
        <v>355</v>
      </c>
      <c r="K66" s="1">
        <v>46205</v>
      </c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0.11</v>
      </c>
      <c r="AB66" s="7">
        <v>1</v>
      </c>
      <c r="AC66" s="7">
        <v>0.27272727272727271</v>
      </c>
      <c r="AD66" s="7">
        <v>0.27272727272727271</v>
      </c>
      <c r="AE66" s="7">
        <v>9.0909090909090912E-2</v>
      </c>
      <c r="AF66" s="7">
        <v>0.18181818181818185</v>
      </c>
      <c r="AG66" s="7">
        <v>0.18181818181818185</v>
      </c>
      <c r="AH66" s="7">
        <v>0.36999999999999983</v>
      </c>
      <c r="AI66" s="7">
        <v>0.99999999999999956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1.3513513513513507E-2</v>
      </c>
      <c r="AR66" s="7">
        <v>4.0540540540540529E-2</v>
      </c>
      <c r="AS66" s="7">
        <v>1.3513513513513507E-2</v>
      </c>
      <c r="AT66" s="7">
        <v>8.1081081081081058E-2</v>
      </c>
      <c r="AU66" s="7">
        <v>5.4054054054054029E-2</v>
      </c>
      <c r="AV66" s="7">
        <v>2.7027027027027015E-2</v>
      </c>
      <c r="AW66" s="7">
        <v>5.4054054054054029E-2</v>
      </c>
      <c r="AX66" s="7">
        <v>5.4054054054054029E-2</v>
      </c>
      <c r="AY66" s="7">
        <v>2.7027027027027015E-2</v>
      </c>
      <c r="AZ66" s="7">
        <v>4.0540540540540529E-2</v>
      </c>
      <c r="BA66" s="7">
        <v>5.4054054054054029E-2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6" s="42">
        <f>+AVANCE[[#This Row],[FECHA TERMINO  PLANIFICADO]]-AVANCE[[#This Row],[FECHA INICIO TEORICO]]</f>
        <v>26</v>
      </c>
      <c r="BK66" s="42">
        <f>+AVANCE[[#This Row],[FECHA TERMINO]]-AVANCE[[#This Row],[FECHA INICIO REAL]]</f>
        <v>52</v>
      </c>
    </row>
    <row r="67" spans="1:63" x14ac:dyDescent="0.25">
      <c r="A67" t="s">
        <v>887</v>
      </c>
      <c r="B67" t="s">
        <v>889</v>
      </c>
      <c r="C67">
        <v>2302600066</v>
      </c>
      <c r="D67" t="s">
        <v>831</v>
      </c>
      <c r="E67" s="4">
        <v>0.99999999999999989</v>
      </c>
      <c r="F67" s="1">
        <v>46150</v>
      </c>
      <c r="G67" s="1">
        <v>46154</v>
      </c>
      <c r="H67" s="1">
        <v>46211</v>
      </c>
      <c r="I67" s="1">
        <v>46186</v>
      </c>
      <c r="J67" t="s">
        <v>355</v>
      </c>
      <c r="K67" s="1">
        <v>46211</v>
      </c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0.09</v>
      </c>
      <c r="T67" s="7">
        <v>1</v>
      </c>
      <c r="U67" s="7">
        <v>0.22222222222222221</v>
      </c>
      <c r="V67" s="7">
        <v>0.22222222222222221</v>
      </c>
      <c r="W67" s="7">
        <v>0.1111111111111111</v>
      </c>
      <c r="X67" s="7">
        <v>0.1111111111111111</v>
      </c>
      <c r="Y67" s="7">
        <v>0.1111111111111111</v>
      </c>
      <c r="Z67" s="7">
        <v>0.22222222222222221</v>
      </c>
      <c r="AA67" s="7">
        <v>0.11</v>
      </c>
      <c r="AB67" s="7">
        <v>1</v>
      </c>
      <c r="AC67" s="7">
        <v>0.27272727272727271</v>
      </c>
      <c r="AD67" s="7">
        <v>0.27272727272727271</v>
      </c>
      <c r="AE67" s="7">
        <v>9.0909090909090912E-2</v>
      </c>
      <c r="AF67" s="7">
        <v>0.18181818181818185</v>
      </c>
      <c r="AG67" s="7">
        <v>0.18181818181818185</v>
      </c>
      <c r="AH67" s="7">
        <v>0.36999999999999983</v>
      </c>
      <c r="AI67" s="7">
        <v>0.99999999999999956</v>
      </c>
      <c r="AJ67" s="7">
        <v>5.4054054054054029E-2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6.7567567567567557E-2</v>
      </c>
      <c r="AP67" s="7">
        <v>5.4054054054054029E-2</v>
      </c>
      <c r="AQ67" s="7">
        <v>1.3513513513513507E-2</v>
      </c>
      <c r="AR67" s="7">
        <v>4.0540540540540529E-2</v>
      </c>
      <c r="AS67" s="7">
        <v>1.3513513513513507E-2</v>
      </c>
      <c r="AT67" s="7">
        <v>8.1081081081081058E-2</v>
      </c>
      <c r="AU67" s="7">
        <v>5.4054054054054029E-2</v>
      </c>
      <c r="AV67" s="7">
        <v>2.7027027027027015E-2</v>
      </c>
      <c r="AW67" s="7">
        <v>5.4054054054054029E-2</v>
      </c>
      <c r="AX67" s="7">
        <v>5.4054054054054029E-2</v>
      </c>
      <c r="AY67" s="7">
        <v>2.7027027027027015E-2</v>
      </c>
      <c r="AZ67" s="7">
        <v>4.0540540540540529E-2</v>
      </c>
      <c r="BA67" s="7">
        <v>5.4054054054054029E-2</v>
      </c>
      <c r="BB67" s="7">
        <v>8.1081081081081058E-2</v>
      </c>
      <c r="BC67" s="7">
        <v>1.3513513513513507E-2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7" s="42">
        <f>+AVANCE[[#This Row],[FECHA TERMINO  PLANIFICADO]]-AVANCE[[#This Row],[FECHA INICIO TEORICO]]</f>
        <v>36</v>
      </c>
      <c r="BK67" s="42">
        <f>+AVANCE[[#This Row],[FECHA TERMINO]]-AVANCE[[#This Row],[FECHA INICIO REAL]]</f>
        <v>57</v>
      </c>
    </row>
    <row r="68" spans="1:63" x14ac:dyDescent="0.25">
      <c r="A68" t="s">
        <v>887</v>
      </c>
      <c r="B68" t="s">
        <v>890</v>
      </c>
      <c r="C68">
        <v>2302600067</v>
      </c>
      <c r="D68" t="s">
        <v>831</v>
      </c>
      <c r="E68" s="4">
        <v>0.99999999999999989</v>
      </c>
      <c r="F68" s="1">
        <v>46153</v>
      </c>
      <c r="G68" s="1">
        <v>46158</v>
      </c>
      <c r="H68" s="1">
        <v>46210</v>
      </c>
      <c r="I68" s="1">
        <v>46189</v>
      </c>
      <c r="J68" t="s">
        <v>355</v>
      </c>
      <c r="K68" s="1">
        <v>46210</v>
      </c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0.09</v>
      </c>
      <c r="T68" s="7">
        <v>1</v>
      </c>
      <c r="U68" s="7">
        <v>0.22222222222222221</v>
      </c>
      <c r="V68" s="7">
        <v>0.22222222222222221</v>
      </c>
      <c r="W68" s="7">
        <v>0.1111111111111111</v>
      </c>
      <c r="X68" s="7">
        <v>0.1111111111111111</v>
      </c>
      <c r="Y68" s="7">
        <v>0.1111111111111111</v>
      </c>
      <c r="Z68" s="7">
        <v>0.22222222222222221</v>
      </c>
      <c r="AA68" s="7">
        <v>0.11</v>
      </c>
      <c r="AB68" s="7">
        <v>1</v>
      </c>
      <c r="AC68" s="7">
        <v>0.27272727272727271</v>
      </c>
      <c r="AD68" s="7">
        <v>0.27272727272727271</v>
      </c>
      <c r="AE68" s="7">
        <v>9.0909090909090912E-2</v>
      </c>
      <c r="AF68" s="7">
        <v>0.18181818181818185</v>
      </c>
      <c r="AG68" s="7">
        <v>0.18181818181818185</v>
      </c>
      <c r="AH68" s="7">
        <v>0.36999999999999983</v>
      </c>
      <c r="AI68" s="7">
        <v>0.99999999999999956</v>
      </c>
      <c r="AJ68" s="7">
        <v>5.4054054054054029E-2</v>
      </c>
      <c r="AK68" s="7">
        <v>5.4054054054054029E-2</v>
      </c>
      <c r="AL68" s="7">
        <v>2.7027027027027015E-2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1.3513513513513507E-2</v>
      </c>
      <c r="AR68" s="7">
        <v>4.0540540540540529E-2</v>
      </c>
      <c r="AS68" s="7">
        <v>1.3513513513513507E-2</v>
      </c>
      <c r="AT68" s="7">
        <v>8.1081081081081058E-2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4.0540540540540529E-2</v>
      </c>
      <c r="BA68" s="7">
        <v>5.4054054054054029E-2</v>
      </c>
      <c r="BB68" s="7">
        <v>8.1081081081081058E-2</v>
      </c>
      <c r="BC68" s="7">
        <v>1.3513513513513507E-2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8" s="42">
        <f>+AVANCE[[#This Row],[FECHA TERMINO  PLANIFICADO]]-AVANCE[[#This Row],[FECHA INICIO TEORICO]]</f>
        <v>36</v>
      </c>
      <c r="BK68" s="42">
        <f>+AVANCE[[#This Row],[FECHA TERMINO]]-AVANCE[[#This Row],[FECHA INICIO REAL]]</f>
        <v>52</v>
      </c>
    </row>
    <row r="69" spans="1:63" x14ac:dyDescent="0.25">
      <c r="A69" t="s">
        <v>887</v>
      </c>
      <c r="B69" t="s">
        <v>891</v>
      </c>
      <c r="C69">
        <v>2282600068</v>
      </c>
      <c r="D69" t="s">
        <v>830</v>
      </c>
      <c r="E69" s="4">
        <v>0.99999999999999989</v>
      </c>
      <c r="F69" s="1">
        <v>46153</v>
      </c>
      <c r="G69" s="1">
        <v>46156</v>
      </c>
      <c r="H69" s="1">
        <v>46206</v>
      </c>
      <c r="I69" s="1">
        <v>46179</v>
      </c>
      <c r="J69" t="s">
        <v>355</v>
      </c>
      <c r="K69" s="1">
        <v>46206</v>
      </c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0.11</v>
      </c>
      <c r="AB69" s="7">
        <v>1</v>
      </c>
      <c r="AC69" s="7">
        <v>0.27272727272727271</v>
      </c>
      <c r="AD69" s="7">
        <v>0.27272727272727271</v>
      </c>
      <c r="AE69" s="7">
        <v>9.0909090909090912E-2</v>
      </c>
      <c r="AF69" s="7">
        <v>0.18181818181818185</v>
      </c>
      <c r="AG69" s="7">
        <v>0.18181818181818185</v>
      </c>
      <c r="AH69" s="7">
        <v>0.36999999999999983</v>
      </c>
      <c r="AI69" s="7">
        <v>0.99999999999999956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1.3513513513513507E-2</v>
      </c>
      <c r="AR69" s="7">
        <v>4.0540540540540529E-2</v>
      </c>
      <c r="AS69" s="7">
        <v>1.3513513513513507E-2</v>
      </c>
      <c r="AT69" s="7">
        <v>8.1081081081081058E-2</v>
      </c>
      <c r="AU69" s="7">
        <v>5.4054054054054029E-2</v>
      </c>
      <c r="AV69" s="7">
        <v>2.7027027027027015E-2</v>
      </c>
      <c r="AW69" s="7">
        <v>5.4054054054054029E-2</v>
      </c>
      <c r="AX69" s="7">
        <v>5.4054054054054029E-2</v>
      </c>
      <c r="AY69" s="7">
        <v>2.7027027027027015E-2</v>
      </c>
      <c r="AZ69" s="7">
        <v>4.0540540540540529E-2</v>
      </c>
      <c r="BA69" s="7">
        <v>5.4054054054054029E-2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9" s="42">
        <f>+AVANCE[[#This Row],[FECHA TERMINO  PLANIFICADO]]-AVANCE[[#This Row],[FECHA INICIO TEORICO]]</f>
        <v>26</v>
      </c>
      <c r="BK69" s="42">
        <f>+AVANCE[[#This Row],[FECHA TERMINO]]-AVANCE[[#This Row],[FECHA INICIO REAL]]</f>
        <v>50</v>
      </c>
    </row>
    <row r="70" spans="1:63" x14ac:dyDescent="0.25">
      <c r="A70" t="s">
        <v>887</v>
      </c>
      <c r="B70" t="s">
        <v>892</v>
      </c>
      <c r="C70">
        <v>2282600069</v>
      </c>
      <c r="D70" t="s">
        <v>830</v>
      </c>
      <c r="E70" s="4">
        <v>0.99999999999999989</v>
      </c>
      <c r="F70" s="1">
        <v>46154</v>
      </c>
      <c r="G70" s="1">
        <v>46156</v>
      </c>
      <c r="H70" s="1">
        <v>46206</v>
      </c>
      <c r="I70" s="1">
        <v>46180</v>
      </c>
      <c r="J70" t="s">
        <v>355</v>
      </c>
      <c r="K70" s="1">
        <v>46206</v>
      </c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0.11</v>
      </c>
      <c r="AB70" s="7">
        <v>1</v>
      </c>
      <c r="AC70" s="7">
        <v>0.27272727272727271</v>
      </c>
      <c r="AD70" s="7">
        <v>0.27272727272727271</v>
      </c>
      <c r="AE70" s="7">
        <v>9.0909090909090912E-2</v>
      </c>
      <c r="AF70" s="7">
        <v>0.18181818181818185</v>
      </c>
      <c r="AG70" s="7">
        <v>0.18181818181818185</v>
      </c>
      <c r="AH70" s="7">
        <v>0.36999999999999983</v>
      </c>
      <c r="AI70" s="7">
        <v>0.99999999999999956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1.3513513513513507E-2</v>
      </c>
      <c r="AR70" s="7">
        <v>4.0540540540540529E-2</v>
      </c>
      <c r="AS70" s="7">
        <v>1.3513513513513507E-2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4.0540540540540529E-2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0" s="42">
        <f>+AVANCE[[#This Row],[FECHA TERMINO  PLANIFICADO]]-AVANCE[[#This Row],[FECHA INICIO TEORICO]]</f>
        <v>26</v>
      </c>
      <c r="BK70" s="42">
        <f>+AVANCE[[#This Row],[FECHA TERMINO]]-AVANCE[[#This Row],[FECHA INICIO REAL]]</f>
        <v>50</v>
      </c>
    </row>
    <row r="71" spans="1:63" x14ac:dyDescent="0.25">
      <c r="A71" t="s">
        <v>887</v>
      </c>
      <c r="B71" t="s">
        <v>893</v>
      </c>
      <c r="C71">
        <v>2302600070</v>
      </c>
      <c r="D71" t="s">
        <v>831</v>
      </c>
      <c r="E71" s="4">
        <v>0.99999999999999989</v>
      </c>
      <c r="F71" s="1">
        <v>46154</v>
      </c>
      <c r="G71" s="1">
        <v>46158</v>
      </c>
      <c r="H71" s="1">
        <v>46210</v>
      </c>
      <c r="I71" s="1">
        <v>46190</v>
      </c>
      <c r="J71" t="s">
        <v>355</v>
      </c>
      <c r="K71" s="1">
        <v>46210</v>
      </c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0.09</v>
      </c>
      <c r="T71" s="7">
        <v>1</v>
      </c>
      <c r="U71" s="7">
        <v>0.22222222222222221</v>
      </c>
      <c r="V71" s="7">
        <v>0.22222222222222221</v>
      </c>
      <c r="W71" s="7">
        <v>0.1111111111111111</v>
      </c>
      <c r="X71" s="7">
        <v>0.1111111111111111</v>
      </c>
      <c r="Y71" s="7">
        <v>0.1111111111111111</v>
      </c>
      <c r="Z71" s="7">
        <v>0.22222222222222221</v>
      </c>
      <c r="AA71" s="7">
        <v>0.11</v>
      </c>
      <c r="AB71" s="7">
        <v>1</v>
      </c>
      <c r="AC71" s="7">
        <v>0.27272727272727271</v>
      </c>
      <c r="AD71" s="7">
        <v>0.27272727272727271</v>
      </c>
      <c r="AE71" s="7">
        <v>9.0909090909090912E-2</v>
      </c>
      <c r="AF71" s="7">
        <v>0.18181818181818185</v>
      </c>
      <c r="AG71" s="7">
        <v>0.18181818181818185</v>
      </c>
      <c r="AH71" s="7">
        <v>0.36999999999999983</v>
      </c>
      <c r="AI71" s="7">
        <v>0.99999999999999956</v>
      </c>
      <c r="AJ71" s="7">
        <v>5.4054054054054029E-2</v>
      </c>
      <c r="AK71" s="7">
        <v>5.4054054054054029E-2</v>
      </c>
      <c r="AL71" s="7">
        <v>2.7027027027027015E-2</v>
      </c>
      <c r="AM71" s="7">
        <v>8.1081081081081058E-2</v>
      </c>
      <c r="AN71" s="7">
        <v>8.1081081081081058E-2</v>
      </c>
      <c r="AO71" s="7">
        <v>6.7567567567567557E-2</v>
      </c>
      <c r="AP71" s="7">
        <v>5.4054054054054029E-2</v>
      </c>
      <c r="AQ71" s="7">
        <v>1.3513513513513507E-2</v>
      </c>
      <c r="AR71" s="7">
        <v>4.0540540540540529E-2</v>
      </c>
      <c r="AS71" s="7">
        <v>1.3513513513513507E-2</v>
      </c>
      <c r="AT71" s="7">
        <v>8.1081081081081058E-2</v>
      </c>
      <c r="AU71" s="7">
        <v>5.4054054054054029E-2</v>
      </c>
      <c r="AV71" s="7">
        <v>2.7027027027027015E-2</v>
      </c>
      <c r="AW71" s="7">
        <v>5.4054054054054029E-2</v>
      </c>
      <c r="AX71" s="7">
        <v>5.4054054054054029E-2</v>
      </c>
      <c r="AY71" s="7">
        <v>2.7027027027027015E-2</v>
      </c>
      <c r="AZ71" s="7">
        <v>4.0540540540540529E-2</v>
      </c>
      <c r="BA71" s="7">
        <v>5.4054054054054029E-2</v>
      </c>
      <c r="BB71" s="7">
        <v>8.1081081081081058E-2</v>
      </c>
      <c r="BC71" s="7">
        <v>1.3513513513513507E-2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1" s="42">
        <f>+AVANCE[[#This Row],[FECHA TERMINO  PLANIFICADO]]-AVANCE[[#This Row],[FECHA INICIO TEORICO]]</f>
        <v>36</v>
      </c>
      <c r="BK71" s="42">
        <f>+AVANCE[[#This Row],[FECHA TERMINO]]-AVANCE[[#This Row],[FECHA INICIO REAL]]</f>
        <v>52</v>
      </c>
    </row>
    <row r="72" spans="1:63" x14ac:dyDescent="0.25">
      <c r="A72" t="s">
        <v>887</v>
      </c>
      <c r="B72" t="s">
        <v>894</v>
      </c>
      <c r="C72">
        <v>2302600071</v>
      </c>
      <c r="D72" t="s">
        <v>831</v>
      </c>
      <c r="E72" s="4">
        <v>0.99999999999999989</v>
      </c>
      <c r="F72" s="1">
        <v>46155</v>
      </c>
      <c r="G72" s="1">
        <v>46156</v>
      </c>
      <c r="H72" s="1">
        <v>46210</v>
      </c>
      <c r="I72" s="1">
        <v>46191</v>
      </c>
      <c r="J72" t="s">
        <v>355</v>
      </c>
      <c r="K72" s="1">
        <v>46210</v>
      </c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0.09</v>
      </c>
      <c r="T72" s="7">
        <v>1</v>
      </c>
      <c r="U72" s="7">
        <v>0.22222222222222221</v>
      </c>
      <c r="V72" s="7">
        <v>0.22222222222222221</v>
      </c>
      <c r="W72" s="7">
        <v>0.1111111111111111</v>
      </c>
      <c r="X72" s="7">
        <v>0.1111111111111111</v>
      </c>
      <c r="Y72" s="7">
        <v>0.1111111111111111</v>
      </c>
      <c r="Z72" s="7">
        <v>0.22222222222222221</v>
      </c>
      <c r="AA72" s="7">
        <v>0.11</v>
      </c>
      <c r="AB72" s="7">
        <v>1</v>
      </c>
      <c r="AC72" s="7">
        <v>0.27272727272727271</v>
      </c>
      <c r="AD72" s="7">
        <v>0.27272727272727271</v>
      </c>
      <c r="AE72" s="7">
        <v>9.0909090909090912E-2</v>
      </c>
      <c r="AF72" s="7">
        <v>0.18181818181818185</v>
      </c>
      <c r="AG72" s="7">
        <v>0.18181818181818185</v>
      </c>
      <c r="AH72" s="7">
        <v>0.36999999999999983</v>
      </c>
      <c r="AI72" s="7">
        <v>0.99999999999999956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6.7567567567567557E-2</v>
      </c>
      <c r="AP72" s="7">
        <v>5.4054054054054029E-2</v>
      </c>
      <c r="AQ72" s="7">
        <v>1.3513513513513507E-2</v>
      </c>
      <c r="AR72" s="7">
        <v>4.0540540540540529E-2</v>
      </c>
      <c r="AS72" s="7">
        <v>1.3513513513513507E-2</v>
      </c>
      <c r="AT72" s="7">
        <v>8.1081081081081058E-2</v>
      </c>
      <c r="AU72" s="7">
        <v>5.4054054054054029E-2</v>
      </c>
      <c r="AV72" s="7">
        <v>2.7027027027027015E-2</v>
      </c>
      <c r="AW72" s="7">
        <v>5.4054054054054029E-2</v>
      </c>
      <c r="AX72" s="7">
        <v>5.4054054054054029E-2</v>
      </c>
      <c r="AY72" s="7">
        <v>2.7027027027027015E-2</v>
      </c>
      <c r="AZ72" s="7">
        <v>4.0540540540540529E-2</v>
      </c>
      <c r="BA72" s="7">
        <v>5.4054054054054029E-2</v>
      </c>
      <c r="BB72" s="7">
        <v>8.1081081081081058E-2</v>
      </c>
      <c r="BC72" s="7">
        <v>1.3513513513513507E-2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2" s="42">
        <f>+AVANCE[[#This Row],[FECHA TERMINO  PLANIFICADO]]-AVANCE[[#This Row],[FECHA INICIO TEORICO]]</f>
        <v>36</v>
      </c>
      <c r="BK72" s="42">
        <f>+AVANCE[[#This Row],[FECHA TERMINO]]-AVANCE[[#This Row],[FECHA INICIO REAL]]</f>
        <v>54</v>
      </c>
    </row>
    <row r="73" spans="1:63" x14ac:dyDescent="0.25">
      <c r="A73" t="s">
        <v>887</v>
      </c>
      <c r="B73" t="s">
        <v>895</v>
      </c>
      <c r="C73">
        <v>2282600072</v>
      </c>
      <c r="D73" t="s">
        <v>830</v>
      </c>
      <c r="E73" s="4">
        <v>0.99999999999999989</v>
      </c>
      <c r="F73" s="1">
        <v>46155</v>
      </c>
      <c r="G73" s="1">
        <v>46154</v>
      </c>
      <c r="H73" s="1">
        <v>46210</v>
      </c>
      <c r="I73" s="1">
        <v>46181</v>
      </c>
      <c r="J73" t="s">
        <v>355</v>
      </c>
      <c r="K73" s="1">
        <v>46210</v>
      </c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0.11</v>
      </c>
      <c r="AB73" s="7">
        <v>1</v>
      </c>
      <c r="AC73" s="7">
        <v>0.27272727272727271</v>
      </c>
      <c r="AD73" s="7">
        <v>0.27272727272727271</v>
      </c>
      <c r="AE73" s="7">
        <v>9.0909090909090912E-2</v>
      </c>
      <c r="AF73" s="7">
        <v>0.18181818181818185</v>
      </c>
      <c r="AG73" s="7">
        <v>0.18181818181818185</v>
      </c>
      <c r="AH73" s="7">
        <v>0.36999999999999983</v>
      </c>
      <c r="AI73" s="7">
        <v>0.99999999999999956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1.3513513513513507E-2</v>
      </c>
      <c r="AR73" s="7">
        <v>4.0540540540540529E-2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4.0540540540540529E-2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3" s="42">
        <f>+AVANCE[[#This Row],[FECHA TERMINO  PLANIFICADO]]-AVANCE[[#This Row],[FECHA INICIO TEORICO]]</f>
        <v>26</v>
      </c>
      <c r="BK73" s="42">
        <f>+AVANCE[[#This Row],[FECHA TERMINO]]-AVANCE[[#This Row],[FECHA INICIO REAL]]</f>
        <v>56</v>
      </c>
    </row>
    <row r="74" spans="1:63" x14ac:dyDescent="0.25">
      <c r="A74" t="s">
        <v>887</v>
      </c>
      <c r="B74" t="s">
        <v>896</v>
      </c>
      <c r="C74">
        <v>2282600073</v>
      </c>
      <c r="D74" t="s">
        <v>830</v>
      </c>
      <c r="E74" s="4">
        <v>0.99999999999999989</v>
      </c>
      <c r="F74" s="1">
        <v>46156</v>
      </c>
      <c r="G74" s="1">
        <v>46167</v>
      </c>
      <c r="H74" s="1">
        <v>46211</v>
      </c>
      <c r="I74" s="1">
        <v>46182</v>
      </c>
      <c r="J74" t="s">
        <v>355</v>
      </c>
      <c r="K74" s="1">
        <v>46211</v>
      </c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0.11</v>
      </c>
      <c r="AB74" s="7">
        <v>1</v>
      </c>
      <c r="AC74" s="7">
        <v>0.27272727272727271</v>
      </c>
      <c r="AD74" s="7">
        <v>0.27272727272727271</v>
      </c>
      <c r="AE74" s="7">
        <v>9.0909090909090912E-2</v>
      </c>
      <c r="AF74" s="7">
        <v>0.18181818181818185</v>
      </c>
      <c r="AG74" s="7">
        <v>0.18181818181818185</v>
      </c>
      <c r="AH74" s="7">
        <v>0.36999999999999983</v>
      </c>
      <c r="AI74" s="7">
        <v>0.99999999999999956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6.7567567567567557E-2</v>
      </c>
      <c r="AP74" s="7">
        <v>5.4054054054054029E-2</v>
      </c>
      <c r="AQ74" s="7">
        <v>1.3513513513513507E-2</v>
      </c>
      <c r="AR74" s="7">
        <v>4.0540540540540529E-2</v>
      </c>
      <c r="AS74" s="7">
        <v>1.3513513513513507E-2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4.0540540540540529E-2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4" s="42">
        <f>+AVANCE[[#This Row],[FECHA TERMINO  PLANIFICADO]]-AVANCE[[#This Row],[FECHA INICIO TEORICO]]</f>
        <v>26</v>
      </c>
      <c r="BK74" s="42">
        <f>+AVANCE[[#This Row],[FECHA TERMINO]]-AVANCE[[#This Row],[FECHA INICIO REAL]]</f>
        <v>44</v>
      </c>
    </row>
    <row r="75" spans="1:63" x14ac:dyDescent="0.25">
      <c r="A75" t="s">
        <v>887</v>
      </c>
      <c r="B75" t="s">
        <v>897</v>
      </c>
      <c r="C75">
        <v>2302600074</v>
      </c>
      <c r="D75" t="s">
        <v>831</v>
      </c>
      <c r="E75" s="4">
        <v>0.99999999999999989</v>
      </c>
      <c r="F75" s="1">
        <v>46156</v>
      </c>
      <c r="G75" s="1">
        <v>46161</v>
      </c>
      <c r="H75" s="1">
        <v>46211</v>
      </c>
      <c r="I75" s="1">
        <v>46192</v>
      </c>
      <c r="J75" t="s">
        <v>355</v>
      </c>
      <c r="K75" s="1">
        <v>46211</v>
      </c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0.09</v>
      </c>
      <c r="T75" s="7">
        <v>1</v>
      </c>
      <c r="U75" s="7">
        <v>0.22222222222222221</v>
      </c>
      <c r="V75" s="7">
        <v>0.22222222222222221</v>
      </c>
      <c r="W75" s="7">
        <v>0.1111111111111111</v>
      </c>
      <c r="X75" s="7">
        <v>0.1111111111111111</v>
      </c>
      <c r="Y75" s="7">
        <v>0.1111111111111111</v>
      </c>
      <c r="Z75" s="7">
        <v>0.22222222222222221</v>
      </c>
      <c r="AA75" s="7">
        <v>0.11</v>
      </c>
      <c r="AB75" s="7">
        <v>1</v>
      </c>
      <c r="AC75" s="7">
        <v>0.27272727272727271</v>
      </c>
      <c r="AD75" s="7">
        <v>0.27272727272727271</v>
      </c>
      <c r="AE75" s="7">
        <v>9.0909090909090912E-2</v>
      </c>
      <c r="AF75" s="7">
        <v>0.18181818181818185</v>
      </c>
      <c r="AG75" s="7">
        <v>0.18181818181818185</v>
      </c>
      <c r="AH75" s="7">
        <v>0.36999999999999983</v>
      </c>
      <c r="AI75" s="7">
        <v>0.99999999999999956</v>
      </c>
      <c r="AJ75" s="7">
        <v>5.4054054054054029E-2</v>
      </c>
      <c r="AK75" s="7">
        <v>5.4054054054054029E-2</v>
      </c>
      <c r="AL75" s="7">
        <v>2.7027027027027015E-2</v>
      </c>
      <c r="AM75" s="7">
        <v>8.1081081081081058E-2</v>
      </c>
      <c r="AN75" s="7">
        <v>8.1081081081081058E-2</v>
      </c>
      <c r="AO75" s="7">
        <v>6.7567567567567557E-2</v>
      </c>
      <c r="AP75" s="7">
        <v>5.4054054054054029E-2</v>
      </c>
      <c r="AQ75" s="7">
        <v>1.3513513513513507E-2</v>
      </c>
      <c r="AR75" s="7">
        <v>4.0540540540540529E-2</v>
      </c>
      <c r="AS75" s="7">
        <v>1.3513513513513507E-2</v>
      </c>
      <c r="AT75" s="7">
        <v>8.1081081081081058E-2</v>
      </c>
      <c r="AU75" s="7">
        <v>5.4054054054054029E-2</v>
      </c>
      <c r="AV75" s="7">
        <v>2.7027027027027015E-2</v>
      </c>
      <c r="AW75" s="7">
        <v>5.4054054054054029E-2</v>
      </c>
      <c r="AX75" s="7">
        <v>5.4054054054054029E-2</v>
      </c>
      <c r="AY75" s="7">
        <v>2.7027027027027015E-2</v>
      </c>
      <c r="AZ75" s="7">
        <v>4.0540540540540529E-2</v>
      </c>
      <c r="BA75" s="7">
        <v>5.4054054054054029E-2</v>
      </c>
      <c r="BB75" s="7">
        <v>8.1081081081081058E-2</v>
      </c>
      <c r="BC75" s="7">
        <v>1.3513513513513507E-2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5" s="42">
        <f>+AVANCE[[#This Row],[FECHA TERMINO  PLANIFICADO]]-AVANCE[[#This Row],[FECHA INICIO TEORICO]]</f>
        <v>36</v>
      </c>
      <c r="BK75" s="42">
        <f>+AVANCE[[#This Row],[FECHA TERMINO]]-AVANCE[[#This Row],[FECHA INICIO REAL]]</f>
        <v>50</v>
      </c>
    </row>
    <row r="76" spans="1:63" x14ac:dyDescent="0.25">
      <c r="A76" t="s">
        <v>887</v>
      </c>
      <c r="B76" t="s">
        <v>898</v>
      </c>
      <c r="C76">
        <v>2302600075</v>
      </c>
      <c r="D76" t="s">
        <v>831</v>
      </c>
      <c r="E76" s="4">
        <v>0.99999999999999989</v>
      </c>
      <c r="F76" s="1">
        <v>46157</v>
      </c>
      <c r="G76" s="1">
        <v>46160</v>
      </c>
      <c r="H76" s="1">
        <v>46213</v>
      </c>
      <c r="I76" s="1">
        <v>46193</v>
      </c>
      <c r="J76" t="s">
        <v>355</v>
      </c>
      <c r="K76" s="1">
        <v>46213</v>
      </c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0.09</v>
      </c>
      <c r="T76" s="7">
        <v>1</v>
      </c>
      <c r="U76" s="7">
        <v>0.22222222222222221</v>
      </c>
      <c r="V76" s="7">
        <v>0.22222222222222221</v>
      </c>
      <c r="W76" s="7">
        <v>0.1111111111111111</v>
      </c>
      <c r="X76" s="7">
        <v>0.1111111111111111</v>
      </c>
      <c r="Y76" s="7">
        <v>0.1111111111111111</v>
      </c>
      <c r="Z76" s="7">
        <v>0.22222222222222221</v>
      </c>
      <c r="AA76" s="7">
        <v>0.11</v>
      </c>
      <c r="AB76" s="7">
        <v>1</v>
      </c>
      <c r="AC76" s="7">
        <v>0.27272727272727271</v>
      </c>
      <c r="AD76" s="7">
        <v>0.27272727272727271</v>
      </c>
      <c r="AE76" s="7">
        <v>9.0909090909090912E-2</v>
      </c>
      <c r="AF76" s="7">
        <v>0.18181818181818185</v>
      </c>
      <c r="AG76" s="7">
        <v>0.18181818181818185</v>
      </c>
      <c r="AH76" s="7">
        <v>0.36999999999999983</v>
      </c>
      <c r="AI76" s="7">
        <v>0.99999999999999956</v>
      </c>
      <c r="AJ76" s="7">
        <v>5.4054054054054029E-2</v>
      </c>
      <c r="AK76" s="7">
        <v>5.4054054054054029E-2</v>
      </c>
      <c r="AL76" s="7">
        <v>2.7027027027027015E-2</v>
      </c>
      <c r="AM76" s="7">
        <v>8.1081081081081058E-2</v>
      </c>
      <c r="AN76" s="7">
        <v>8.1081081081081058E-2</v>
      </c>
      <c r="AO76" s="7">
        <v>6.7567567567567557E-2</v>
      </c>
      <c r="AP76" s="7">
        <v>5.4054054054054029E-2</v>
      </c>
      <c r="AQ76" s="7">
        <v>1.3513513513513507E-2</v>
      </c>
      <c r="AR76" s="7">
        <v>4.0540540540540529E-2</v>
      </c>
      <c r="AS76" s="7">
        <v>1.3513513513513507E-2</v>
      </c>
      <c r="AT76" s="7">
        <v>8.1081081081081058E-2</v>
      </c>
      <c r="AU76" s="7">
        <v>5.4054054054054029E-2</v>
      </c>
      <c r="AV76" s="7">
        <v>2.7027027027027015E-2</v>
      </c>
      <c r="AW76" s="7">
        <v>5.4054054054054029E-2</v>
      </c>
      <c r="AX76" s="7">
        <v>5.4054054054054029E-2</v>
      </c>
      <c r="AY76" s="7">
        <v>2.7027027027027015E-2</v>
      </c>
      <c r="AZ76" s="7">
        <v>4.0540540540540529E-2</v>
      </c>
      <c r="BA76" s="7">
        <v>5.4054054054054029E-2</v>
      </c>
      <c r="BB76" s="7">
        <v>8.1081081081081058E-2</v>
      </c>
      <c r="BC76" s="7">
        <v>1.3513513513513507E-2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6" s="42">
        <f>+AVANCE[[#This Row],[FECHA TERMINO  PLANIFICADO]]-AVANCE[[#This Row],[FECHA INICIO TEORICO]]</f>
        <v>36</v>
      </c>
      <c r="BK76" s="42">
        <f>+AVANCE[[#This Row],[FECHA TERMINO]]-AVANCE[[#This Row],[FECHA INICIO REAL]]</f>
        <v>53</v>
      </c>
    </row>
    <row r="77" spans="1:63" x14ac:dyDescent="0.25">
      <c r="A77" t="s">
        <v>887</v>
      </c>
      <c r="B77" t="s">
        <v>899</v>
      </c>
      <c r="C77">
        <v>2282600076</v>
      </c>
      <c r="D77" t="s">
        <v>830</v>
      </c>
      <c r="E77" s="4">
        <v>0.99999999999999989</v>
      </c>
      <c r="F77" s="1">
        <v>46157</v>
      </c>
      <c r="G77" s="1">
        <v>46169</v>
      </c>
      <c r="H77" s="1">
        <v>46213</v>
      </c>
      <c r="I77" s="1">
        <v>46183</v>
      </c>
      <c r="J77" t="s">
        <v>355</v>
      </c>
      <c r="K77" s="1">
        <v>46213</v>
      </c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0.11</v>
      </c>
      <c r="AB77" s="7">
        <v>1</v>
      </c>
      <c r="AC77" s="7">
        <v>0.27272727272727271</v>
      </c>
      <c r="AD77" s="7">
        <v>0.27272727272727271</v>
      </c>
      <c r="AE77" s="7">
        <v>9.0909090909090912E-2</v>
      </c>
      <c r="AF77" s="7">
        <v>0.18181818181818185</v>
      </c>
      <c r="AG77" s="7">
        <v>0.18181818181818185</v>
      </c>
      <c r="AH77" s="7">
        <v>0.36999999999999983</v>
      </c>
      <c r="AI77" s="7">
        <v>0.99999999999999956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8.1081081081081058E-2</v>
      </c>
      <c r="AO77" s="7">
        <v>6.7567567567567557E-2</v>
      </c>
      <c r="AP77" s="7">
        <v>5.4054054054054029E-2</v>
      </c>
      <c r="AQ77" s="7">
        <v>1.3513513513513507E-2</v>
      </c>
      <c r="AR77" s="7">
        <v>4.0540540540540529E-2</v>
      </c>
      <c r="AS77" s="7">
        <v>1.3513513513513507E-2</v>
      </c>
      <c r="AT77" s="7">
        <v>8.1081081081081058E-2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4.0540540540540529E-2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7" s="42">
        <f>+AVANCE[[#This Row],[FECHA TERMINO  PLANIFICADO]]-AVANCE[[#This Row],[FECHA INICIO TEORICO]]</f>
        <v>26</v>
      </c>
      <c r="BK77" s="42">
        <f>+AVANCE[[#This Row],[FECHA TERMINO]]-AVANCE[[#This Row],[FECHA INICIO REAL]]</f>
        <v>44</v>
      </c>
    </row>
    <row r="78" spans="1:63" x14ac:dyDescent="0.25">
      <c r="A78" t="s">
        <v>887</v>
      </c>
      <c r="B78" t="s">
        <v>900</v>
      </c>
      <c r="C78">
        <v>2282600077</v>
      </c>
      <c r="D78" t="s">
        <v>830</v>
      </c>
      <c r="E78" s="4">
        <v>0.99999999999999989</v>
      </c>
      <c r="F78" s="1">
        <v>46160</v>
      </c>
      <c r="G78" s="1">
        <v>46168</v>
      </c>
      <c r="H78" s="1">
        <v>46211</v>
      </c>
      <c r="I78" s="1">
        <v>46186</v>
      </c>
      <c r="J78" t="s">
        <v>355</v>
      </c>
      <c r="K78" s="1">
        <v>46211</v>
      </c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0.11</v>
      </c>
      <c r="AB78" s="7">
        <v>1</v>
      </c>
      <c r="AC78" s="7">
        <v>0.27272727272727271</v>
      </c>
      <c r="AD78" s="7">
        <v>0.27272727272727271</v>
      </c>
      <c r="AE78" s="7">
        <v>9.0909090909090912E-2</v>
      </c>
      <c r="AF78" s="7">
        <v>0.18181818181818185</v>
      </c>
      <c r="AG78" s="7">
        <v>0.18181818181818185</v>
      </c>
      <c r="AH78" s="7">
        <v>0.36999999999999983</v>
      </c>
      <c r="AI78" s="7">
        <v>0.99999999999999956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6.7567567567567557E-2</v>
      </c>
      <c r="AP78" s="7">
        <v>5.4054054054054029E-2</v>
      </c>
      <c r="AQ78" s="7">
        <v>1.3513513513513507E-2</v>
      </c>
      <c r="AR78" s="7">
        <v>4.0540540540540529E-2</v>
      </c>
      <c r="AS78" s="7">
        <v>1.3513513513513507E-2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4.0540540540540529E-2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8" s="42">
        <f>+AVANCE[[#This Row],[FECHA TERMINO  PLANIFICADO]]-AVANCE[[#This Row],[FECHA INICIO TEORICO]]</f>
        <v>26</v>
      </c>
      <c r="BK78" s="42">
        <f>+AVANCE[[#This Row],[FECHA TERMINO]]-AVANCE[[#This Row],[FECHA INICIO REAL]]</f>
        <v>43</v>
      </c>
    </row>
    <row r="79" spans="1:63" x14ac:dyDescent="0.25">
      <c r="A79" t="s">
        <v>887</v>
      </c>
      <c r="B79" t="s">
        <v>901</v>
      </c>
      <c r="C79">
        <v>2302600078</v>
      </c>
      <c r="D79" t="s">
        <v>831</v>
      </c>
      <c r="E79" s="4">
        <v>0.99999999999999989</v>
      </c>
      <c r="F79" s="1">
        <v>46160</v>
      </c>
      <c r="G79" s="1">
        <v>46158</v>
      </c>
      <c r="H79" s="1">
        <v>46216</v>
      </c>
      <c r="I79" s="1">
        <v>46196</v>
      </c>
      <c r="J79" t="s">
        <v>355</v>
      </c>
      <c r="K79" s="1">
        <v>46216</v>
      </c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0.09</v>
      </c>
      <c r="T79" s="7">
        <v>1</v>
      </c>
      <c r="U79" s="7">
        <v>0.22222222222222221</v>
      </c>
      <c r="V79" s="7">
        <v>0.22222222222222221</v>
      </c>
      <c r="W79" s="7">
        <v>0.1111111111111111</v>
      </c>
      <c r="X79" s="7">
        <v>0.1111111111111111</v>
      </c>
      <c r="Y79" s="7">
        <v>0.1111111111111111</v>
      </c>
      <c r="Z79" s="7">
        <v>0.22222222222222221</v>
      </c>
      <c r="AA79" s="7">
        <v>0.11</v>
      </c>
      <c r="AB79" s="7">
        <v>1</v>
      </c>
      <c r="AC79" s="7">
        <v>0.27272727272727271</v>
      </c>
      <c r="AD79" s="7">
        <v>0.27272727272727271</v>
      </c>
      <c r="AE79" s="7">
        <v>9.0909090909090912E-2</v>
      </c>
      <c r="AF79" s="7">
        <v>0.18181818181818185</v>
      </c>
      <c r="AG79" s="7">
        <v>0.18181818181818185</v>
      </c>
      <c r="AH79" s="7">
        <v>0.36999999999999983</v>
      </c>
      <c r="AI79" s="7">
        <v>0.99999999999999956</v>
      </c>
      <c r="AJ79" s="7">
        <v>5.4054054054054029E-2</v>
      </c>
      <c r="AK79" s="7">
        <v>5.4054054054054029E-2</v>
      </c>
      <c r="AL79" s="7">
        <v>2.7027027027027015E-2</v>
      </c>
      <c r="AM79" s="7">
        <v>8.1081081081081058E-2</v>
      </c>
      <c r="AN79" s="7">
        <v>8.1081081081081058E-2</v>
      </c>
      <c r="AO79" s="7">
        <v>6.7567567567567557E-2</v>
      </c>
      <c r="AP79" s="7">
        <v>5.4054054054054029E-2</v>
      </c>
      <c r="AQ79" s="7">
        <v>1.3513513513513507E-2</v>
      </c>
      <c r="AR79" s="7">
        <v>4.0540540540540529E-2</v>
      </c>
      <c r="AS79" s="7">
        <v>1.3513513513513507E-2</v>
      </c>
      <c r="AT79" s="7">
        <v>8.1081081081081058E-2</v>
      </c>
      <c r="AU79" s="7">
        <v>5.4054054054054029E-2</v>
      </c>
      <c r="AV79" s="7">
        <v>2.7027027027027015E-2</v>
      </c>
      <c r="AW79" s="7">
        <v>5.4054054054054029E-2</v>
      </c>
      <c r="AX79" s="7">
        <v>5.4054054054054029E-2</v>
      </c>
      <c r="AY79" s="7">
        <v>2.7027027027027015E-2</v>
      </c>
      <c r="AZ79" s="7">
        <v>4.0540540540540529E-2</v>
      </c>
      <c r="BA79" s="7">
        <v>5.4054054054054029E-2</v>
      </c>
      <c r="BB79" s="7">
        <v>8.1081081081081058E-2</v>
      </c>
      <c r="BC79" s="7">
        <v>1.3513513513513507E-2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9" s="42">
        <f>+AVANCE[[#This Row],[FECHA TERMINO  PLANIFICADO]]-AVANCE[[#This Row],[FECHA INICIO TEORICO]]</f>
        <v>36</v>
      </c>
      <c r="BK79" s="42">
        <f>+AVANCE[[#This Row],[FECHA TERMINO]]-AVANCE[[#This Row],[FECHA INICIO REAL]]</f>
        <v>58</v>
      </c>
    </row>
    <row r="80" spans="1:63" x14ac:dyDescent="0.25">
      <c r="A80" t="s">
        <v>887</v>
      </c>
      <c r="B80" t="s">
        <v>902</v>
      </c>
      <c r="C80">
        <v>2302600079</v>
      </c>
      <c r="D80" t="s">
        <v>831</v>
      </c>
      <c r="E80" s="4">
        <v>0.99999999999999989</v>
      </c>
      <c r="F80" s="1">
        <v>46161</v>
      </c>
      <c r="G80" s="1">
        <v>46162</v>
      </c>
      <c r="H80" s="1">
        <v>46216</v>
      </c>
      <c r="I80" s="1">
        <v>46197</v>
      </c>
      <c r="J80" t="s">
        <v>355</v>
      </c>
      <c r="K80" s="1">
        <v>46216</v>
      </c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0.09</v>
      </c>
      <c r="T80" s="7">
        <v>1</v>
      </c>
      <c r="U80" s="7">
        <v>0.22222222222222221</v>
      </c>
      <c r="V80" s="7">
        <v>0.22222222222222221</v>
      </c>
      <c r="W80" s="7">
        <v>0.1111111111111111</v>
      </c>
      <c r="X80" s="7">
        <v>0.1111111111111111</v>
      </c>
      <c r="Y80" s="7">
        <v>0.1111111111111111</v>
      </c>
      <c r="Z80" s="7">
        <v>0.22222222222222221</v>
      </c>
      <c r="AA80" s="7">
        <v>0.11</v>
      </c>
      <c r="AB80" s="7">
        <v>1</v>
      </c>
      <c r="AC80" s="7">
        <v>0.27272727272727271</v>
      </c>
      <c r="AD80" s="7">
        <v>0.27272727272727271</v>
      </c>
      <c r="AE80" s="7">
        <v>9.0909090909090912E-2</v>
      </c>
      <c r="AF80" s="7">
        <v>0.18181818181818185</v>
      </c>
      <c r="AG80" s="7">
        <v>0.18181818181818185</v>
      </c>
      <c r="AH80" s="7">
        <v>0.36999999999999983</v>
      </c>
      <c r="AI80" s="7">
        <v>0.99999999999999956</v>
      </c>
      <c r="AJ80" s="7">
        <v>5.4054054054054029E-2</v>
      </c>
      <c r="AK80" s="7">
        <v>5.4054054054054029E-2</v>
      </c>
      <c r="AL80" s="7">
        <v>2.7027027027027015E-2</v>
      </c>
      <c r="AM80" s="7">
        <v>8.1081081081081058E-2</v>
      </c>
      <c r="AN80" s="7">
        <v>8.1081081081081058E-2</v>
      </c>
      <c r="AO80" s="7">
        <v>6.7567567567567557E-2</v>
      </c>
      <c r="AP80" s="7">
        <v>5.4054054054054029E-2</v>
      </c>
      <c r="AQ80" s="7">
        <v>1.3513513513513507E-2</v>
      </c>
      <c r="AR80" s="7">
        <v>4.0540540540540529E-2</v>
      </c>
      <c r="AS80" s="7">
        <v>1.3513513513513507E-2</v>
      </c>
      <c r="AT80" s="7">
        <v>8.1081081081081058E-2</v>
      </c>
      <c r="AU80" s="7">
        <v>5.4054054054054029E-2</v>
      </c>
      <c r="AV80" s="7">
        <v>2.7027027027027015E-2</v>
      </c>
      <c r="AW80" s="7">
        <v>5.4054054054054029E-2</v>
      </c>
      <c r="AX80" s="7">
        <v>5.4054054054054029E-2</v>
      </c>
      <c r="AY80" s="7">
        <v>2.7027027027027015E-2</v>
      </c>
      <c r="AZ80" s="7">
        <v>4.0540540540540529E-2</v>
      </c>
      <c r="BA80" s="7">
        <v>5.4054054054054029E-2</v>
      </c>
      <c r="BB80" s="7">
        <v>8.1081081081081058E-2</v>
      </c>
      <c r="BC80" s="7">
        <v>1.3513513513513507E-2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0" s="42">
        <f>+AVANCE[[#This Row],[FECHA TERMINO  PLANIFICADO]]-AVANCE[[#This Row],[FECHA INICIO TEORICO]]</f>
        <v>36</v>
      </c>
      <c r="BK80" s="42">
        <f>+AVANCE[[#This Row],[FECHA TERMINO]]-AVANCE[[#This Row],[FECHA INICIO REAL]]</f>
        <v>54</v>
      </c>
    </row>
    <row r="81" spans="1:63" x14ac:dyDescent="0.25">
      <c r="A81" t="s">
        <v>887</v>
      </c>
      <c r="B81" t="s">
        <v>903</v>
      </c>
      <c r="C81">
        <v>2282600080</v>
      </c>
      <c r="D81" t="s">
        <v>830</v>
      </c>
      <c r="E81" s="4">
        <v>0.99999999999999989</v>
      </c>
      <c r="F81" s="1">
        <v>46161</v>
      </c>
      <c r="G81" s="1">
        <v>46168</v>
      </c>
      <c r="H81" s="1">
        <v>46213</v>
      </c>
      <c r="I81" s="1">
        <v>46187</v>
      </c>
      <c r="J81" t="s">
        <v>355</v>
      </c>
      <c r="K81" s="1">
        <v>46213</v>
      </c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0.11</v>
      </c>
      <c r="AB81" s="7">
        <v>1</v>
      </c>
      <c r="AC81" s="7">
        <v>0.27272727272727271</v>
      </c>
      <c r="AD81" s="7">
        <v>0.27272727272727271</v>
      </c>
      <c r="AE81" s="7">
        <v>9.0909090909090912E-2</v>
      </c>
      <c r="AF81" s="7">
        <v>0.18181818181818185</v>
      </c>
      <c r="AG81" s="7">
        <v>0.18181818181818185</v>
      </c>
      <c r="AH81" s="7">
        <v>0.36999999999999983</v>
      </c>
      <c r="AI81" s="7">
        <v>0.99999999999999956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6.7567567567567557E-2</v>
      </c>
      <c r="AP81" s="7">
        <v>5.4054054054054029E-2</v>
      </c>
      <c r="AQ81" s="7">
        <v>1.3513513513513507E-2</v>
      </c>
      <c r="AR81" s="7">
        <v>4.0540540540540529E-2</v>
      </c>
      <c r="AS81" s="7">
        <v>1.3513513513513507E-2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4.0540540540540529E-2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1" s="42">
        <f>+AVANCE[[#This Row],[FECHA TERMINO  PLANIFICADO]]-AVANCE[[#This Row],[FECHA INICIO TEORICO]]</f>
        <v>26</v>
      </c>
      <c r="BK81" s="42">
        <f>+AVANCE[[#This Row],[FECHA TERMINO]]-AVANCE[[#This Row],[FECHA INICIO REAL]]</f>
        <v>45</v>
      </c>
    </row>
    <row r="82" spans="1:63" x14ac:dyDescent="0.25">
      <c r="A82" t="s">
        <v>887</v>
      </c>
      <c r="B82" t="s">
        <v>904</v>
      </c>
      <c r="C82">
        <v>2282600081</v>
      </c>
      <c r="D82" t="s">
        <v>830</v>
      </c>
      <c r="E82" s="4">
        <v>0.99999999999999989</v>
      </c>
      <c r="F82" s="1">
        <v>46162</v>
      </c>
      <c r="G82" s="1">
        <v>46171</v>
      </c>
      <c r="H82" s="1">
        <v>46213</v>
      </c>
      <c r="I82" s="1">
        <v>46188</v>
      </c>
      <c r="J82" t="s">
        <v>355</v>
      </c>
      <c r="K82" s="1">
        <v>46213</v>
      </c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0.11</v>
      </c>
      <c r="AB82" s="7">
        <v>1</v>
      </c>
      <c r="AC82" s="7">
        <v>0.27272727272727271</v>
      </c>
      <c r="AD82" s="7">
        <v>0.27272727272727271</v>
      </c>
      <c r="AE82" s="7">
        <v>9.0909090909090912E-2</v>
      </c>
      <c r="AF82" s="7">
        <v>0.18181818181818185</v>
      </c>
      <c r="AG82" s="7">
        <v>0.18181818181818185</v>
      </c>
      <c r="AH82" s="7">
        <v>0.36999999999999983</v>
      </c>
      <c r="AI82" s="7">
        <v>0.99999999999999956</v>
      </c>
      <c r="AJ82" s="7">
        <v>5.4054054054054029E-2</v>
      </c>
      <c r="AK82" s="7">
        <v>5.4054054054054029E-2</v>
      </c>
      <c r="AL82" s="7">
        <v>2.7027027027027015E-2</v>
      </c>
      <c r="AM82" s="7">
        <v>8.1081081081081058E-2</v>
      </c>
      <c r="AN82" s="7">
        <v>8.1081081081081058E-2</v>
      </c>
      <c r="AO82" s="7">
        <v>6.7567567567567557E-2</v>
      </c>
      <c r="AP82" s="7">
        <v>5.4054054054054029E-2</v>
      </c>
      <c r="AQ82" s="7">
        <v>1.3513513513513507E-2</v>
      </c>
      <c r="AR82" s="7">
        <v>4.0540540540540529E-2</v>
      </c>
      <c r="AS82" s="7">
        <v>1.3513513513513507E-2</v>
      </c>
      <c r="AT82" s="7">
        <v>8.1081081081081058E-2</v>
      </c>
      <c r="AU82" s="7">
        <v>5.4054054054054029E-2</v>
      </c>
      <c r="AV82" s="7">
        <v>2.7027027027027015E-2</v>
      </c>
      <c r="AW82" s="7">
        <v>5.4054054054054029E-2</v>
      </c>
      <c r="AX82" s="7">
        <v>5.4054054054054029E-2</v>
      </c>
      <c r="AY82" s="7">
        <v>2.7027027027027015E-2</v>
      </c>
      <c r="AZ82" s="7">
        <v>4.0540540540540529E-2</v>
      </c>
      <c r="BA82" s="7">
        <v>5.4054054054054029E-2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2" s="42">
        <f>+AVANCE[[#This Row],[FECHA TERMINO  PLANIFICADO]]-AVANCE[[#This Row],[FECHA INICIO TEORICO]]</f>
        <v>26</v>
      </c>
      <c r="BK82" s="42">
        <f>+AVANCE[[#This Row],[FECHA TERMINO]]-AVANCE[[#This Row],[FECHA INICIO REAL]]</f>
        <v>42</v>
      </c>
    </row>
    <row r="83" spans="1:63" x14ac:dyDescent="0.25">
      <c r="A83" t="s">
        <v>887</v>
      </c>
      <c r="B83" t="s">
        <v>905</v>
      </c>
      <c r="C83">
        <v>2302600082</v>
      </c>
      <c r="D83" t="s">
        <v>831</v>
      </c>
      <c r="E83" s="4">
        <v>0.99999999999999989</v>
      </c>
      <c r="F83" s="1">
        <v>46162</v>
      </c>
      <c r="G83" s="1">
        <v>46171</v>
      </c>
      <c r="H83" s="1">
        <v>46217</v>
      </c>
      <c r="I83" s="1">
        <v>46198</v>
      </c>
      <c r="J83" t="s">
        <v>355</v>
      </c>
      <c r="K83" s="1">
        <v>46217</v>
      </c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0.09</v>
      </c>
      <c r="T83" s="7">
        <v>1</v>
      </c>
      <c r="U83" s="7">
        <v>0.22222222222222221</v>
      </c>
      <c r="V83" s="7">
        <v>0.22222222222222221</v>
      </c>
      <c r="W83" s="7">
        <v>0.1111111111111111</v>
      </c>
      <c r="X83" s="7">
        <v>0.1111111111111111</v>
      </c>
      <c r="Y83" s="7">
        <v>0.1111111111111111</v>
      </c>
      <c r="Z83" s="7">
        <v>0.22222222222222221</v>
      </c>
      <c r="AA83" s="7">
        <v>0.11</v>
      </c>
      <c r="AB83" s="7">
        <v>1</v>
      </c>
      <c r="AC83" s="7">
        <v>0.27272727272727271</v>
      </c>
      <c r="AD83" s="7">
        <v>0.27272727272727271</v>
      </c>
      <c r="AE83" s="7">
        <v>9.0909090909090912E-2</v>
      </c>
      <c r="AF83" s="7">
        <v>0.18181818181818185</v>
      </c>
      <c r="AG83" s="7">
        <v>0.18181818181818185</v>
      </c>
      <c r="AH83" s="7">
        <v>0.36999999999999983</v>
      </c>
      <c r="AI83" s="7">
        <v>0.99999999999999956</v>
      </c>
      <c r="AJ83" s="7">
        <v>5.4054054054054029E-2</v>
      </c>
      <c r="AK83" s="7">
        <v>5.4054054054054029E-2</v>
      </c>
      <c r="AL83" s="7">
        <v>2.7027027027027015E-2</v>
      </c>
      <c r="AM83" s="7">
        <v>8.1081081081081058E-2</v>
      </c>
      <c r="AN83" s="7">
        <v>8.1081081081081058E-2</v>
      </c>
      <c r="AO83" s="7">
        <v>6.7567567567567557E-2</v>
      </c>
      <c r="AP83" s="7">
        <v>5.4054054054054029E-2</v>
      </c>
      <c r="AQ83" s="7">
        <v>1.3513513513513507E-2</v>
      </c>
      <c r="AR83" s="7">
        <v>4.0540540540540529E-2</v>
      </c>
      <c r="AS83" s="7">
        <v>1.3513513513513507E-2</v>
      </c>
      <c r="AT83" s="7">
        <v>8.1081081081081058E-2</v>
      </c>
      <c r="AU83" s="7">
        <v>5.4054054054054029E-2</v>
      </c>
      <c r="AV83" s="7">
        <v>2.7027027027027015E-2</v>
      </c>
      <c r="AW83" s="7">
        <v>5.4054054054054029E-2</v>
      </c>
      <c r="AX83" s="7">
        <v>5.4054054054054029E-2</v>
      </c>
      <c r="AY83" s="7">
        <v>2.7027027027027015E-2</v>
      </c>
      <c r="AZ83" s="7">
        <v>4.0540540540540529E-2</v>
      </c>
      <c r="BA83" s="7">
        <v>5.4054054054054029E-2</v>
      </c>
      <c r="BB83" s="7">
        <v>8.1081081081081058E-2</v>
      </c>
      <c r="BC83" s="7">
        <v>1.3513513513513507E-2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3" s="42">
        <f>+AVANCE[[#This Row],[FECHA TERMINO  PLANIFICADO]]-AVANCE[[#This Row],[FECHA INICIO TEORICO]]</f>
        <v>36</v>
      </c>
      <c r="BK83" s="42">
        <f>+AVANCE[[#This Row],[FECHA TERMINO]]-AVANCE[[#This Row],[FECHA INICIO REAL]]</f>
        <v>46</v>
      </c>
    </row>
    <row r="84" spans="1:63" x14ac:dyDescent="0.25">
      <c r="A84" t="s">
        <v>887</v>
      </c>
      <c r="B84" t="s">
        <v>906</v>
      </c>
      <c r="C84">
        <v>2302600083</v>
      </c>
      <c r="D84" t="s">
        <v>831</v>
      </c>
      <c r="E84" s="4">
        <v>0.99999999999999989</v>
      </c>
      <c r="F84" s="1">
        <v>46164</v>
      </c>
      <c r="G84" s="1">
        <v>46174</v>
      </c>
      <c r="H84" s="1">
        <v>46217</v>
      </c>
      <c r="I84" s="1">
        <v>46200</v>
      </c>
      <c r="J84" t="s">
        <v>355</v>
      </c>
      <c r="K84" s="1">
        <v>46217</v>
      </c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0.09</v>
      </c>
      <c r="T84" s="7">
        <v>1</v>
      </c>
      <c r="U84" s="7">
        <v>0.22222222222222221</v>
      </c>
      <c r="V84" s="7">
        <v>0.22222222222222221</v>
      </c>
      <c r="W84" s="7">
        <v>0.1111111111111111</v>
      </c>
      <c r="X84" s="7">
        <v>0.1111111111111111</v>
      </c>
      <c r="Y84" s="7">
        <v>0.1111111111111111</v>
      </c>
      <c r="Z84" s="7">
        <v>0.22222222222222221</v>
      </c>
      <c r="AA84" s="7">
        <v>0.11</v>
      </c>
      <c r="AB84" s="7">
        <v>1</v>
      </c>
      <c r="AC84" s="7">
        <v>0.27272727272727271</v>
      </c>
      <c r="AD84" s="7">
        <v>0.27272727272727271</v>
      </c>
      <c r="AE84" s="7">
        <v>9.0909090909090912E-2</v>
      </c>
      <c r="AF84" s="7">
        <v>0.18181818181818185</v>
      </c>
      <c r="AG84" s="7">
        <v>0.18181818181818185</v>
      </c>
      <c r="AH84" s="7">
        <v>0.36999999999999983</v>
      </c>
      <c r="AI84" s="7">
        <v>0.99999999999999956</v>
      </c>
      <c r="AJ84" s="7">
        <v>5.4054054054054029E-2</v>
      </c>
      <c r="AK84" s="7">
        <v>5.4054054054054029E-2</v>
      </c>
      <c r="AL84" s="7">
        <v>2.7027027027027015E-2</v>
      </c>
      <c r="AM84" s="7">
        <v>8.1081081081081058E-2</v>
      </c>
      <c r="AN84" s="7">
        <v>8.1081081081081058E-2</v>
      </c>
      <c r="AO84" s="7">
        <v>6.7567567567567557E-2</v>
      </c>
      <c r="AP84" s="7">
        <v>5.4054054054054029E-2</v>
      </c>
      <c r="AQ84" s="7">
        <v>1.3513513513513507E-2</v>
      </c>
      <c r="AR84" s="7">
        <v>4.0540540540540529E-2</v>
      </c>
      <c r="AS84" s="7">
        <v>1.3513513513513507E-2</v>
      </c>
      <c r="AT84" s="7">
        <v>8.1081081081081058E-2</v>
      </c>
      <c r="AU84" s="7">
        <v>5.4054054054054029E-2</v>
      </c>
      <c r="AV84" s="7">
        <v>2.7027027027027015E-2</v>
      </c>
      <c r="AW84" s="7">
        <v>5.4054054054054029E-2</v>
      </c>
      <c r="AX84" s="7">
        <v>5.4054054054054029E-2</v>
      </c>
      <c r="AY84" s="7">
        <v>2.7027027027027015E-2</v>
      </c>
      <c r="AZ84" s="7">
        <v>4.0540540540540529E-2</v>
      </c>
      <c r="BA84" s="7">
        <v>5.4054054054054029E-2</v>
      </c>
      <c r="BB84" s="7">
        <v>8.1081081081081058E-2</v>
      </c>
      <c r="BC84" s="7">
        <v>1.3513513513513507E-2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4" s="42">
        <f>+AVANCE[[#This Row],[FECHA TERMINO  PLANIFICADO]]-AVANCE[[#This Row],[FECHA INICIO TEORICO]]</f>
        <v>36</v>
      </c>
      <c r="BK84" s="42">
        <f>+AVANCE[[#This Row],[FECHA TERMINO]]-AVANCE[[#This Row],[FECHA INICIO REAL]]</f>
        <v>43</v>
      </c>
    </row>
    <row r="85" spans="1:63" x14ac:dyDescent="0.25">
      <c r="A85" t="s">
        <v>887</v>
      </c>
      <c r="B85" t="s">
        <v>907</v>
      </c>
      <c r="C85">
        <v>2282600084</v>
      </c>
      <c r="D85" t="s">
        <v>830</v>
      </c>
      <c r="E85" s="4">
        <v>0.99999999999999989</v>
      </c>
      <c r="F85" s="1">
        <v>46164</v>
      </c>
      <c r="G85" s="1">
        <v>46171</v>
      </c>
      <c r="H85" s="1">
        <v>46216</v>
      </c>
      <c r="I85" s="1">
        <v>46190</v>
      </c>
      <c r="J85" t="s">
        <v>355</v>
      </c>
      <c r="K85" s="1">
        <v>46216</v>
      </c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0.11</v>
      </c>
      <c r="AB85" s="7">
        <v>1</v>
      </c>
      <c r="AC85" s="7">
        <v>0.27272727272727271</v>
      </c>
      <c r="AD85" s="7">
        <v>0.27272727272727271</v>
      </c>
      <c r="AE85" s="7">
        <v>9.0909090909090912E-2</v>
      </c>
      <c r="AF85" s="7">
        <v>0.18181818181818185</v>
      </c>
      <c r="AG85" s="7">
        <v>0.18181818181818185</v>
      </c>
      <c r="AH85" s="7">
        <v>0.36999999999999983</v>
      </c>
      <c r="AI85" s="7">
        <v>0.99999999999999956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8.1081081081081058E-2</v>
      </c>
      <c r="AO85" s="7">
        <v>6.7567567567567557E-2</v>
      </c>
      <c r="AP85" s="7">
        <v>5.4054054054054029E-2</v>
      </c>
      <c r="AQ85" s="7">
        <v>1.3513513513513507E-2</v>
      </c>
      <c r="AR85" s="7">
        <v>4.0540540540540529E-2</v>
      </c>
      <c r="AS85" s="7">
        <v>1.3513513513513507E-2</v>
      </c>
      <c r="AT85" s="7">
        <v>8.1081081081081058E-2</v>
      </c>
      <c r="AU85" s="7">
        <v>5.4054054054054029E-2</v>
      </c>
      <c r="AV85" s="7">
        <v>2.7027027027027015E-2</v>
      </c>
      <c r="AW85" s="7">
        <v>5.4054054054054029E-2</v>
      </c>
      <c r="AX85" s="7">
        <v>5.4054054054054029E-2</v>
      </c>
      <c r="AY85" s="7">
        <v>2.7027027027027015E-2</v>
      </c>
      <c r="AZ85" s="7">
        <v>4.0540540540540529E-2</v>
      </c>
      <c r="BA85" s="7">
        <v>5.4054054054054029E-2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5" s="42">
        <f>+AVANCE[[#This Row],[FECHA TERMINO  PLANIFICADO]]-AVANCE[[#This Row],[FECHA INICIO TEORICO]]</f>
        <v>26</v>
      </c>
      <c r="BK85" s="42">
        <f>+AVANCE[[#This Row],[FECHA TERMINO]]-AVANCE[[#This Row],[FECHA INICIO REAL]]</f>
        <v>45</v>
      </c>
    </row>
    <row r="86" spans="1:63" x14ac:dyDescent="0.25">
      <c r="A86" t="s">
        <v>887</v>
      </c>
      <c r="B86" t="s">
        <v>908</v>
      </c>
      <c r="C86">
        <v>2282600085</v>
      </c>
      <c r="D86" t="s">
        <v>830</v>
      </c>
      <c r="E86" s="4">
        <v>0.99999999999999989</v>
      </c>
      <c r="F86" s="1">
        <v>46167</v>
      </c>
      <c r="G86" s="1">
        <v>46171</v>
      </c>
      <c r="H86" s="1">
        <v>46216</v>
      </c>
      <c r="I86" s="1">
        <v>46193</v>
      </c>
      <c r="J86" t="s">
        <v>355</v>
      </c>
      <c r="K86" s="1">
        <v>46216</v>
      </c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0.11</v>
      </c>
      <c r="AB86" s="7">
        <v>1</v>
      </c>
      <c r="AC86" s="7">
        <v>0.27272727272727271</v>
      </c>
      <c r="AD86" s="7">
        <v>0.27272727272727271</v>
      </c>
      <c r="AE86" s="7">
        <v>9.0909090909090912E-2</v>
      </c>
      <c r="AF86" s="7">
        <v>0.18181818181818185</v>
      </c>
      <c r="AG86" s="7">
        <v>0.18181818181818185</v>
      </c>
      <c r="AH86" s="7">
        <v>0.36999999999999983</v>
      </c>
      <c r="AI86" s="7">
        <v>0.99999999999999956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8.1081081081081058E-2</v>
      </c>
      <c r="AO86" s="7">
        <v>6.7567567567567557E-2</v>
      </c>
      <c r="AP86" s="7">
        <v>5.4054054054054029E-2</v>
      </c>
      <c r="AQ86" s="7">
        <v>1.3513513513513507E-2</v>
      </c>
      <c r="AR86" s="7">
        <v>4.0540540540540529E-2</v>
      </c>
      <c r="AS86" s="7">
        <v>1.3513513513513507E-2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4.0540540540540529E-2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6" s="42">
        <f>+AVANCE[[#This Row],[FECHA TERMINO  PLANIFICADO]]-AVANCE[[#This Row],[FECHA INICIO TEORICO]]</f>
        <v>26</v>
      </c>
      <c r="BK86" s="42">
        <f>+AVANCE[[#This Row],[FECHA TERMINO]]-AVANCE[[#This Row],[FECHA INICIO REAL]]</f>
        <v>45</v>
      </c>
    </row>
    <row r="87" spans="1:63" x14ac:dyDescent="0.25">
      <c r="A87" t="s">
        <v>887</v>
      </c>
      <c r="B87" t="s">
        <v>909</v>
      </c>
      <c r="C87">
        <v>2302600086</v>
      </c>
      <c r="D87" t="s">
        <v>831</v>
      </c>
      <c r="E87" s="4">
        <v>0.99999999999999989</v>
      </c>
      <c r="F87" s="1">
        <v>46167</v>
      </c>
      <c r="G87" s="1">
        <v>46176</v>
      </c>
      <c r="H87" s="1">
        <v>46225</v>
      </c>
      <c r="I87" s="1">
        <v>46203</v>
      </c>
      <c r="J87" t="s">
        <v>355</v>
      </c>
      <c r="K87" s="1">
        <v>46225</v>
      </c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0.09</v>
      </c>
      <c r="T87" s="7">
        <v>1</v>
      </c>
      <c r="U87" s="7">
        <v>0.22222222222222221</v>
      </c>
      <c r="V87" s="7">
        <v>0.22222222222222221</v>
      </c>
      <c r="W87" s="7">
        <v>0.1111111111111111</v>
      </c>
      <c r="X87" s="7">
        <v>0.1111111111111111</v>
      </c>
      <c r="Y87" s="7">
        <v>0.1111111111111111</v>
      </c>
      <c r="Z87" s="7">
        <v>0.22222222222222221</v>
      </c>
      <c r="AA87" s="7">
        <v>0.11</v>
      </c>
      <c r="AB87" s="7">
        <v>1</v>
      </c>
      <c r="AC87" s="7">
        <v>0.27272727272727271</v>
      </c>
      <c r="AD87" s="7">
        <v>0.27272727272727271</v>
      </c>
      <c r="AE87" s="7">
        <v>9.0909090909090912E-2</v>
      </c>
      <c r="AF87" s="7">
        <v>0.18181818181818185</v>
      </c>
      <c r="AG87" s="7">
        <v>0.18181818181818185</v>
      </c>
      <c r="AH87" s="7">
        <v>0.36999999999999983</v>
      </c>
      <c r="AI87" s="7">
        <v>0.99999999999999956</v>
      </c>
      <c r="AJ87" s="7">
        <v>5.4054054054054029E-2</v>
      </c>
      <c r="AK87" s="7">
        <v>5.4054054054054029E-2</v>
      </c>
      <c r="AL87" s="7">
        <v>2.7027027027027015E-2</v>
      </c>
      <c r="AM87" s="7">
        <v>8.1081081081081058E-2</v>
      </c>
      <c r="AN87" s="7">
        <v>8.1081081081081058E-2</v>
      </c>
      <c r="AO87" s="7">
        <v>6.7567567567567557E-2</v>
      </c>
      <c r="AP87" s="7">
        <v>5.4054054054054029E-2</v>
      </c>
      <c r="AQ87" s="7">
        <v>1.3513513513513507E-2</v>
      </c>
      <c r="AR87" s="7">
        <v>4.0540540540540529E-2</v>
      </c>
      <c r="AS87" s="7">
        <v>1.3513513513513507E-2</v>
      </c>
      <c r="AT87" s="7">
        <v>8.1081081081081058E-2</v>
      </c>
      <c r="AU87" s="7">
        <v>5.4054054054054029E-2</v>
      </c>
      <c r="AV87" s="7">
        <v>2.7027027027027015E-2</v>
      </c>
      <c r="AW87" s="7">
        <v>5.4054054054054029E-2</v>
      </c>
      <c r="AX87" s="7">
        <v>5.4054054054054029E-2</v>
      </c>
      <c r="AY87" s="7">
        <v>2.7027027027027015E-2</v>
      </c>
      <c r="AZ87" s="7">
        <v>4.0540540540540529E-2</v>
      </c>
      <c r="BA87" s="7">
        <v>5.4054054054054029E-2</v>
      </c>
      <c r="BB87" s="7">
        <v>8.1081081081081058E-2</v>
      </c>
      <c r="BC87" s="7">
        <v>1.3513513513513507E-2</v>
      </c>
      <c r="BD87">
        <v>2.7027027027027015E-2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7" s="42">
        <f>+AVANCE[[#This Row],[FECHA TERMINO  PLANIFICADO]]-AVANCE[[#This Row],[FECHA INICIO TEORICO]]</f>
        <v>36</v>
      </c>
      <c r="BK87" s="42">
        <f>+AVANCE[[#This Row],[FECHA TERMINO]]-AVANCE[[#This Row],[FECHA INICIO REAL]]</f>
        <v>49</v>
      </c>
    </row>
    <row r="88" spans="1:63" x14ac:dyDescent="0.25">
      <c r="A88" t="s">
        <v>887</v>
      </c>
      <c r="B88" t="s">
        <v>910</v>
      </c>
      <c r="C88">
        <v>2302600087</v>
      </c>
      <c r="D88" t="s">
        <v>831</v>
      </c>
      <c r="E88" s="4">
        <v>0.99999999999999989</v>
      </c>
      <c r="F88" s="1">
        <v>46168</v>
      </c>
      <c r="G88" s="1">
        <v>46171</v>
      </c>
      <c r="H88" s="1">
        <v>46218</v>
      </c>
      <c r="I88" s="1">
        <v>46204</v>
      </c>
      <c r="J88" t="s">
        <v>355</v>
      </c>
      <c r="K88" s="1">
        <v>46218</v>
      </c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0.09</v>
      </c>
      <c r="T88" s="7">
        <v>1</v>
      </c>
      <c r="U88" s="7">
        <v>0.22222222222222221</v>
      </c>
      <c r="V88" s="7">
        <v>0.22222222222222221</v>
      </c>
      <c r="W88" s="7">
        <v>0.1111111111111111</v>
      </c>
      <c r="X88" s="7">
        <v>0.1111111111111111</v>
      </c>
      <c r="Y88" s="7">
        <v>0.1111111111111111</v>
      </c>
      <c r="Z88" s="7">
        <v>0.22222222222222221</v>
      </c>
      <c r="AA88" s="7">
        <v>0.11</v>
      </c>
      <c r="AB88" s="7">
        <v>1</v>
      </c>
      <c r="AC88" s="7">
        <v>0.27272727272727271</v>
      </c>
      <c r="AD88" s="7">
        <v>0.27272727272727271</v>
      </c>
      <c r="AE88" s="7">
        <v>9.0909090909090912E-2</v>
      </c>
      <c r="AF88" s="7">
        <v>0.18181818181818185</v>
      </c>
      <c r="AG88" s="7">
        <v>0.18181818181818185</v>
      </c>
      <c r="AH88" s="7">
        <v>0.36999999999999983</v>
      </c>
      <c r="AI88" s="7">
        <v>0.99999999999999956</v>
      </c>
      <c r="AJ88" s="7">
        <v>5.4054054054054029E-2</v>
      </c>
      <c r="AK88" s="7">
        <v>5.4054054054054029E-2</v>
      </c>
      <c r="AL88" s="7">
        <v>2.7027027027027015E-2</v>
      </c>
      <c r="AM88" s="7">
        <v>8.1081081081081058E-2</v>
      </c>
      <c r="AN88" s="7">
        <v>8.1081081081081058E-2</v>
      </c>
      <c r="AO88" s="7">
        <v>6.7567567567567557E-2</v>
      </c>
      <c r="AP88" s="7">
        <v>5.4054054054054029E-2</v>
      </c>
      <c r="AQ88" s="7">
        <v>1.3513513513513507E-2</v>
      </c>
      <c r="AR88" s="7">
        <v>4.0540540540540529E-2</v>
      </c>
      <c r="AS88" s="7">
        <v>1.3513513513513507E-2</v>
      </c>
      <c r="AT88" s="7">
        <v>8.1081081081081058E-2</v>
      </c>
      <c r="AU88" s="7">
        <v>5.4054054054054029E-2</v>
      </c>
      <c r="AV88" s="7">
        <v>2.7027027027027015E-2</v>
      </c>
      <c r="AW88" s="7">
        <v>5.4054054054054029E-2</v>
      </c>
      <c r="AX88" s="7">
        <v>5.4054054054054029E-2</v>
      </c>
      <c r="AY88" s="7">
        <v>2.7027027027027015E-2</v>
      </c>
      <c r="AZ88" s="7">
        <v>4.0540540540540529E-2</v>
      </c>
      <c r="BA88" s="7">
        <v>5.4054054054054029E-2</v>
      </c>
      <c r="BB88" s="7">
        <v>8.1081081081081058E-2</v>
      </c>
      <c r="BC88" s="7">
        <v>1.3513513513513507E-2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8" s="42">
        <f>+AVANCE[[#This Row],[FECHA TERMINO  PLANIFICADO]]-AVANCE[[#This Row],[FECHA INICIO TEORICO]]</f>
        <v>36</v>
      </c>
      <c r="BK88" s="42">
        <f>+AVANCE[[#This Row],[FECHA TERMINO]]-AVANCE[[#This Row],[FECHA INICIO REAL]]</f>
        <v>47</v>
      </c>
    </row>
    <row r="89" spans="1:63" x14ac:dyDescent="0.25">
      <c r="A89" t="s">
        <v>887</v>
      </c>
      <c r="B89" t="s">
        <v>911</v>
      </c>
      <c r="C89">
        <v>2282600088</v>
      </c>
      <c r="D89" t="s">
        <v>830</v>
      </c>
      <c r="E89" s="4">
        <v>0.99999999999999989</v>
      </c>
      <c r="F89" s="1">
        <v>46168</v>
      </c>
      <c r="G89" s="1">
        <v>46171</v>
      </c>
      <c r="H89" s="1">
        <v>46217</v>
      </c>
      <c r="I89" s="1">
        <v>46194</v>
      </c>
      <c r="J89" t="s">
        <v>355</v>
      </c>
      <c r="K89" s="1">
        <v>46217</v>
      </c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0.11</v>
      </c>
      <c r="AB89" s="7">
        <v>1</v>
      </c>
      <c r="AC89" s="7">
        <v>0.27272727272727271</v>
      </c>
      <c r="AD89" s="7">
        <v>0.27272727272727271</v>
      </c>
      <c r="AE89" s="7">
        <v>9.0909090909090912E-2</v>
      </c>
      <c r="AF89" s="7">
        <v>0.18181818181818185</v>
      </c>
      <c r="AG89" s="7">
        <v>0.18181818181818185</v>
      </c>
      <c r="AH89" s="7">
        <v>0.36999999999999983</v>
      </c>
      <c r="AI89" s="7">
        <v>0.99999999999999956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1.3513513513513507E-2</v>
      </c>
      <c r="AR89" s="7">
        <v>4.0540540540540529E-2</v>
      </c>
      <c r="AS89" s="7">
        <v>1.3513513513513507E-2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4.0540540540540529E-2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9" s="42">
        <f>+AVANCE[[#This Row],[FECHA TERMINO  PLANIFICADO]]-AVANCE[[#This Row],[FECHA INICIO TEORICO]]</f>
        <v>26</v>
      </c>
      <c r="BK89" s="42">
        <f>+AVANCE[[#This Row],[FECHA TERMINO]]-AVANCE[[#This Row],[FECHA INICIO REAL]]</f>
        <v>46</v>
      </c>
    </row>
    <row r="90" spans="1:63" x14ac:dyDescent="0.25">
      <c r="A90" t="s">
        <v>887</v>
      </c>
      <c r="B90" t="s">
        <v>912</v>
      </c>
      <c r="C90">
        <v>2282600089</v>
      </c>
      <c r="D90" t="s">
        <v>830</v>
      </c>
      <c r="E90" s="4">
        <v>0.99999999999999989</v>
      </c>
      <c r="F90" s="1">
        <v>46169</v>
      </c>
      <c r="G90" s="1">
        <v>46178</v>
      </c>
      <c r="H90" s="1">
        <v>46216</v>
      </c>
      <c r="I90" s="1">
        <v>46195</v>
      </c>
      <c r="J90" t="s">
        <v>355</v>
      </c>
      <c r="K90" s="1">
        <v>46216</v>
      </c>
      <c r="L90" s="7">
        <v>0.43</v>
      </c>
      <c r="M90" s="7">
        <v>1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9.3023255813953487E-2</v>
      </c>
      <c r="S90" s="7">
        <v>0.09</v>
      </c>
      <c r="T90" s="7">
        <v>1</v>
      </c>
      <c r="U90" s="7">
        <v>0.22222222222222221</v>
      </c>
      <c r="V90" s="7">
        <v>0.22222222222222221</v>
      </c>
      <c r="W90" s="7">
        <v>0.1111111111111111</v>
      </c>
      <c r="X90" s="7">
        <v>0.1111111111111111</v>
      </c>
      <c r="Y90" s="7">
        <v>0.1111111111111111</v>
      </c>
      <c r="Z90" s="7">
        <v>0.22222222222222221</v>
      </c>
      <c r="AA90" s="7">
        <v>0.11</v>
      </c>
      <c r="AB90" s="7">
        <v>1</v>
      </c>
      <c r="AC90" s="7">
        <v>0.27272727272727271</v>
      </c>
      <c r="AD90" s="7">
        <v>0.27272727272727271</v>
      </c>
      <c r="AE90" s="7">
        <v>9.0909090909090912E-2</v>
      </c>
      <c r="AF90" s="7">
        <v>0.18181818181818185</v>
      </c>
      <c r="AG90" s="7">
        <v>0.18181818181818185</v>
      </c>
      <c r="AH90" s="7">
        <v>0.36999999999999983</v>
      </c>
      <c r="AI90" s="7">
        <v>0.99999999999999956</v>
      </c>
      <c r="AJ90" s="7">
        <v>5.4054054054054029E-2</v>
      </c>
      <c r="AK90" s="7">
        <v>5.4054054054054029E-2</v>
      </c>
      <c r="AL90" s="7">
        <v>2.7027027027027015E-2</v>
      </c>
      <c r="AM90" s="7">
        <v>8.1081081081081058E-2</v>
      </c>
      <c r="AN90" s="7">
        <v>8.1081081081081058E-2</v>
      </c>
      <c r="AO90" s="7">
        <v>6.7567567567567557E-2</v>
      </c>
      <c r="AP90" s="7">
        <v>5.4054054054054029E-2</v>
      </c>
      <c r="AQ90" s="7">
        <v>1.3513513513513507E-2</v>
      </c>
      <c r="AR90" s="7">
        <v>4.0540540540540529E-2</v>
      </c>
      <c r="AS90" s="7">
        <v>1.3513513513513507E-2</v>
      </c>
      <c r="AT90" s="7">
        <v>8.1081081081081058E-2</v>
      </c>
      <c r="AU90" s="7">
        <v>5.4054054054054029E-2</v>
      </c>
      <c r="AV90" s="7">
        <v>2.7027027027027015E-2</v>
      </c>
      <c r="AW90" s="7">
        <v>5.4054054054054029E-2</v>
      </c>
      <c r="AX90" s="7">
        <v>5.4054054054054029E-2</v>
      </c>
      <c r="AY90" s="7">
        <v>2.7027027027027015E-2</v>
      </c>
      <c r="AZ90" s="7">
        <v>4.0540540540540529E-2</v>
      </c>
      <c r="BA90" s="7">
        <v>5.4054054054054029E-2</v>
      </c>
      <c r="BB90" s="7">
        <v>8.1081081081081058E-2</v>
      </c>
      <c r="BC90" s="7">
        <v>1.3513513513513507E-2</v>
      </c>
      <c r="BD90">
        <v>2.7027027027027015E-2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0" s="42">
        <f>+AVANCE[[#This Row],[FECHA TERMINO  PLANIFICADO]]-AVANCE[[#This Row],[FECHA INICIO TEORICO]]</f>
        <v>26</v>
      </c>
      <c r="BK90" s="42">
        <f>+AVANCE[[#This Row],[FECHA TERMINO]]-AVANCE[[#This Row],[FECHA INICIO REAL]]</f>
        <v>38</v>
      </c>
    </row>
    <row r="91" spans="1:63" x14ac:dyDescent="0.25">
      <c r="A91" t="s">
        <v>887</v>
      </c>
      <c r="B91" t="s">
        <v>913</v>
      </c>
      <c r="C91">
        <v>2302600090</v>
      </c>
      <c r="D91" t="s">
        <v>831</v>
      </c>
      <c r="E91" s="4">
        <v>0.99999999999999989</v>
      </c>
      <c r="F91" s="1">
        <v>46169</v>
      </c>
      <c r="G91" s="1">
        <v>46176</v>
      </c>
      <c r="H91" s="1">
        <v>46225</v>
      </c>
      <c r="I91" s="1">
        <v>46205</v>
      </c>
      <c r="J91" t="s">
        <v>355</v>
      </c>
      <c r="K91" s="1">
        <v>46225</v>
      </c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0.09</v>
      </c>
      <c r="T91" s="7">
        <v>1</v>
      </c>
      <c r="U91" s="7">
        <v>0.22222222222222221</v>
      </c>
      <c r="V91" s="7">
        <v>0.22222222222222221</v>
      </c>
      <c r="W91" s="7">
        <v>0.1111111111111111</v>
      </c>
      <c r="X91" s="7">
        <v>0.1111111111111111</v>
      </c>
      <c r="Y91" s="7">
        <v>0.1111111111111111</v>
      </c>
      <c r="Z91" s="7">
        <v>0.22222222222222221</v>
      </c>
      <c r="AA91" s="7">
        <v>0.11</v>
      </c>
      <c r="AB91" s="7">
        <v>1</v>
      </c>
      <c r="AC91" s="7">
        <v>0.27272727272727271</v>
      </c>
      <c r="AD91" s="7">
        <v>0.27272727272727271</v>
      </c>
      <c r="AE91" s="7">
        <v>9.0909090909090912E-2</v>
      </c>
      <c r="AF91" s="7">
        <v>0.18181818181818185</v>
      </c>
      <c r="AG91" s="7">
        <v>0.18181818181818185</v>
      </c>
      <c r="AH91" s="7">
        <v>0.36999999999999983</v>
      </c>
      <c r="AI91" s="7">
        <v>0.99999999999999956</v>
      </c>
      <c r="AJ91" s="7">
        <v>5.4054054054054029E-2</v>
      </c>
      <c r="AK91" s="7">
        <v>5.4054054054054029E-2</v>
      </c>
      <c r="AL91" s="7">
        <v>2.7027027027027015E-2</v>
      </c>
      <c r="AM91" s="7">
        <v>8.1081081081081058E-2</v>
      </c>
      <c r="AN91" s="7">
        <v>8.1081081081081058E-2</v>
      </c>
      <c r="AO91" s="7">
        <v>6.7567567567567557E-2</v>
      </c>
      <c r="AP91" s="7">
        <v>5.4054054054054029E-2</v>
      </c>
      <c r="AQ91" s="7">
        <v>1.3513513513513507E-2</v>
      </c>
      <c r="AR91" s="7">
        <v>4.0540540540540529E-2</v>
      </c>
      <c r="AS91" s="7">
        <v>1.3513513513513507E-2</v>
      </c>
      <c r="AT91" s="7">
        <v>8.1081081081081058E-2</v>
      </c>
      <c r="AU91" s="7">
        <v>5.4054054054054029E-2</v>
      </c>
      <c r="AV91" s="7">
        <v>2.7027027027027015E-2</v>
      </c>
      <c r="AW91" s="7">
        <v>5.4054054054054029E-2</v>
      </c>
      <c r="AX91" s="7">
        <v>5.4054054054054029E-2</v>
      </c>
      <c r="AY91" s="7">
        <v>2.7027027027027015E-2</v>
      </c>
      <c r="AZ91" s="7">
        <v>4.0540540540540529E-2</v>
      </c>
      <c r="BA91" s="7">
        <v>5.4054054054054029E-2</v>
      </c>
      <c r="BB91" s="7">
        <v>8.1081081081081058E-2</v>
      </c>
      <c r="BC91" s="7">
        <v>1.3513513513513507E-2</v>
      </c>
      <c r="BD91">
        <v>2.7027027027027015E-2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1" s="42">
        <f>+AVANCE[[#This Row],[FECHA TERMINO  PLANIFICADO]]-AVANCE[[#This Row],[FECHA INICIO TEORICO]]</f>
        <v>36</v>
      </c>
      <c r="BK91" s="42">
        <f>+AVANCE[[#This Row],[FECHA TERMINO]]-AVANCE[[#This Row],[FECHA INICIO REAL]]</f>
        <v>49</v>
      </c>
    </row>
    <row r="92" spans="1:63" x14ac:dyDescent="0.25">
      <c r="A92" t="s">
        <v>887</v>
      </c>
      <c r="B92" t="s">
        <v>914</v>
      </c>
      <c r="C92">
        <v>2302600091</v>
      </c>
      <c r="D92" t="s">
        <v>831</v>
      </c>
      <c r="E92" s="4">
        <v>0.99999999999999989</v>
      </c>
      <c r="F92" s="1">
        <v>46170</v>
      </c>
      <c r="G92" s="1">
        <v>46181</v>
      </c>
      <c r="H92" s="1">
        <v>46225</v>
      </c>
      <c r="I92" s="1">
        <v>46206</v>
      </c>
      <c r="J92" t="s">
        <v>355</v>
      </c>
      <c r="K92" s="1">
        <v>46225</v>
      </c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0.09</v>
      </c>
      <c r="T92" s="7">
        <v>1</v>
      </c>
      <c r="U92" s="7">
        <v>0.22222222222222221</v>
      </c>
      <c r="V92" s="7">
        <v>0.22222222222222221</v>
      </c>
      <c r="W92" s="7">
        <v>0.1111111111111111</v>
      </c>
      <c r="X92" s="7">
        <v>0.1111111111111111</v>
      </c>
      <c r="Y92" s="7">
        <v>0.1111111111111111</v>
      </c>
      <c r="Z92" s="7">
        <v>0.22222222222222221</v>
      </c>
      <c r="AA92" s="7">
        <v>0.11</v>
      </c>
      <c r="AB92" s="7">
        <v>1</v>
      </c>
      <c r="AC92" s="7">
        <v>0.27272727272727271</v>
      </c>
      <c r="AD92" s="7">
        <v>0.27272727272727271</v>
      </c>
      <c r="AE92" s="7">
        <v>9.0909090909090912E-2</v>
      </c>
      <c r="AF92" s="7">
        <v>0.18181818181818185</v>
      </c>
      <c r="AG92" s="7">
        <v>0.18181818181818185</v>
      </c>
      <c r="AH92" s="7">
        <v>0.36999999999999983</v>
      </c>
      <c r="AI92" s="7">
        <v>0.99999999999999956</v>
      </c>
      <c r="AJ92" s="7">
        <v>5.4054054054054029E-2</v>
      </c>
      <c r="AK92" s="7">
        <v>5.4054054054054029E-2</v>
      </c>
      <c r="AL92" s="7">
        <v>2.7027027027027015E-2</v>
      </c>
      <c r="AM92" s="7">
        <v>8.1081081081081058E-2</v>
      </c>
      <c r="AN92" s="7">
        <v>8.1081081081081058E-2</v>
      </c>
      <c r="AO92" s="7">
        <v>6.7567567567567557E-2</v>
      </c>
      <c r="AP92" s="7">
        <v>5.4054054054054029E-2</v>
      </c>
      <c r="AQ92" s="7">
        <v>1.3513513513513507E-2</v>
      </c>
      <c r="AR92" s="7">
        <v>4.0540540540540529E-2</v>
      </c>
      <c r="AS92" s="7">
        <v>1.3513513513513507E-2</v>
      </c>
      <c r="AT92" s="7">
        <v>8.1081081081081058E-2</v>
      </c>
      <c r="AU92" s="7">
        <v>5.4054054054054029E-2</v>
      </c>
      <c r="AV92" s="7">
        <v>2.7027027027027015E-2</v>
      </c>
      <c r="AW92" s="7">
        <v>5.4054054054054029E-2</v>
      </c>
      <c r="AX92" s="7">
        <v>5.4054054054054029E-2</v>
      </c>
      <c r="AY92" s="7">
        <v>2.7027027027027015E-2</v>
      </c>
      <c r="AZ92" s="7">
        <v>4.0540540540540529E-2</v>
      </c>
      <c r="BA92" s="7">
        <v>5.4054054054054029E-2</v>
      </c>
      <c r="BB92" s="7">
        <v>8.1081081081081058E-2</v>
      </c>
      <c r="BC92" s="7">
        <v>1.3513513513513507E-2</v>
      </c>
      <c r="BD92">
        <v>2.7027027027027015E-2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2" s="42">
        <f>+AVANCE[[#This Row],[FECHA TERMINO  PLANIFICADO]]-AVANCE[[#This Row],[FECHA INICIO TEORICO]]</f>
        <v>36</v>
      </c>
      <c r="BK92" s="42">
        <f>+AVANCE[[#This Row],[FECHA TERMINO]]-AVANCE[[#This Row],[FECHA INICIO REAL]]</f>
        <v>44</v>
      </c>
    </row>
    <row r="93" spans="1:63" x14ac:dyDescent="0.25">
      <c r="A93" t="s">
        <v>887</v>
      </c>
      <c r="B93" t="s">
        <v>915</v>
      </c>
      <c r="C93">
        <v>2282600092</v>
      </c>
      <c r="D93" t="s">
        <v>830</v>
      </c>
      <c r="E93" s="4">
        <v>0.99999999999999989</v>
      </c>
      <c r="F93" s="1">
        <v>46170</v>
      </c>
      <c r="G93" s="1">
        <v>46184</v>
      </c>
      <c r="H93" s="1">
        <v>46218</v>
      </c>
      <c r="I93" s="1">
        <v>46196</v>
      </c>
      <c r="J93" t="s">
        <v>355</v>
      </c>
      <c r="K93" s="1">
        <v>46218</v>
      </c>
      <c r="L93" s="7">
        <v>0.43</v>
      </c>
      <c r="M93" s="7">
        <v>1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9.3023255813953487E-2</v>
      </c>
      <c r="S93" s="7">
        <v>0.09</v>
      </c>
      <c r="T93" s="7">
        <v>1</v>
      </c>
      <c r="U93" s="7">
        <v>0.22222222222222221</v>
      </c>
      <c r="V93" s="7">
        <v>0.22222222222222221</v>
      </c>
      <c r="W93" s="7">
        <v>0.1111111111111111</v>
      </c>
      <c r="X93" s="7">
        <v>0.1111111111111111</v>
      </c>
      <c r="Y93" s="7">
        <v>0.1111111111111111</v>
      </c>
      <c r="Z93" s="7">
        <v>0.22222222222222221</v>
      </c>
      <c r="AA93" s="7">
        <v>0.11</v>
      </c>
      <c r="AB93" s="7">
        <v>1</v>
      </c>
      <c r="AC93" s="7">
        <v>0.27272727272727271</v>
      </c>
      <c r="AD93" s="7">
        <v>0.27272727272727271</v>
      </c>
      <c r="AE93" s="7">
        <v>9.0909090909090912E-2</v>
      </c>
      <c r="AF93" s="7">
        <v>0.18181818181818185</v>
      </c>
      <c r="AG93" s="7">
        <v>0.18181818181818185</v>
      </c>
      <c r="AH93" s="7">
        <v>0.36999999999999983</v>
      </c>
      <c r="AI93" s="7">
        <v>0.99999999999999956</v>
      </c>
      <c r="AJ93" s="7">
        <v>5.4054054054054029E-2</v>
      </c>
      <c r="AK93" s="7">
        <v>5.4054054054054029E-2</v>
      </c>
      <c r="AL93" s="7">
        <v>2.7027027027027015E-2</v>
      </c>
      <c r="AM93" s="7">
        <v>8.1081081081081058E-2</v>
      </c>
      <c r="AN93" s="7">
        <v>8.1081081081081058E-2</v>
      </c>
      <c r="AO93" s="7">
        <v>6.7567567567567557E-2</v>
      </c>
      <c r="AP93" s="7">
        <v>5.4054054054054029E-2</v>
      </c>
      <c r="AQ93" s="7">
        <v>1.3513513513513507E-2</v>
      </c>
      <c r="AR93" s="7">
        <v>4.0540540540540529E-2</v>
      </c>
      <c r="AS93" s="7">
        <v>1.3513513513513507E-2</v>
      </c>
      <c r="AT93" s="7">
        <v>8.1081081081081058E-2</v>
      </c>
      <c r="AU93" s="7">
        <v>5.4054054054054029E-2</v>
      </c>
      <c r="AV93" s="7">
        <v>2.7027027027027015E-2</v>
      </c>
      <c r="AW93" s="7">
        <v>5.4054054054054029E-2</v>
      </c>
      <c r="AX93" s="7">
        <v>5.4054054054054029E-2</v>
      </c>
      <c r="AY93" s="7">
        <v>2.7027027027027015E-2</v>
      </c>
      <c r="AZ93" s="7">
        <v>4.0540540540540529E-2</v>
      </c>
      <c r="BA93" s="7">
        <v>5.4054054054054029E-2</v>
      </c>
      <c r="BB93" s="7">
        <v>8.1081081081081058E-2</v>
      </c>
      <c r="BC93" s="7">
        <v>1.3513513513513507E-2</v>
      </c>
      <c r="BD93">
        <v>2.7027027027027015E-2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3" s="42">
        <f>+AVANCE[[#This Row],[FECHA TERMINO  PLANIFICADO]]-AVANCE[[#This Row],[FECHA INICIO TEORICO]]</f>
        <v>26</v>
      </c>
      <c r="BK93" s="42">
        <f>+AVANCE[[#This Row],[FECHA TERMINO]]-AVANCE[[#This Row],[FECHA INICIO REAL]]</f>
        <v>34</v>
      </c>
    </row>
    <row r="94" spans="1:63" x14ac:dyDescent="0.25">
      <c r="A94" t="s">
        <v>887</v>
      </c>
      <c r="B94" t="s">
        <v>916</v>
      </c>
      <c r="C94">
        <v>2282600093</v>
      </c>
      <c r="D94" t="s">
        <v>830</v>
      </c>
      <c r="E94" s="4">
        <v>0.99999999999999989</v>
      </c>
      <c r="F94" s="1">
        <v>46171</v>
      </c>
      <c r="G94" s="1">
        <v>46184</v>
      </c>
      <c r="H94" s="1">
        <v>46224</v>
      </c>
      <c r="I94" s="1">
        <v>46197</v>
      </c>
      <c r="J94" t="s">
        <v>355</v>
      </c>
      <c r="K94" s="1">
        <v>46224</v>
      </c>
      <c r="L94" s="7">
        <v>0.43</v>
      </c>
      <c r="M94" s="7">
        <v>1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9.3023255813953487E-2</v>
      </c>
      <c r="S94" s="7">
        <v>0.09</v>
      </c>
      <c r="T94" s="7">
        <v>1</v>
      </c>
      <c r="U94" s="7">
        <v>0.22222222222222221</v>
      </c>
      <c r="V94" s="7">
        <v>0.22222222222222221</v>
      </c>
      <c r="W94" s="7">
        <v>0.1111111111111111</v>
      </c>
      <c r="X94" s="7">
        <v>0.1111111111111111</v>
      </c>
      <c r="Y94" s="7">
        <v>0.1111111111111111</v>
      </c>
      <c r="Z94" s="7">
        <v>0.22222222222222221</v>
      </c>
      <c r="AA94" s="7">
        <v>0.11</v>
      </c>
      <c r="AB94" s="7">
        <v>1</v>
      </c>
      <c r="AC94" s="7">
        <v>0.27272727272727271</v>
      </c>
      <c r="AD94" s="7">
        <v>0.27272727272727271</v>
      </c>
      <c r="AE94" s="7">
        <v>9.0909090909090912E-2</v>
      </c>
      <c r="AF94" s="7">
        <v>0.18181818181818185</v>
      </c>
      <c r="AG94" s="7">
        <v>0.18181818181818185</v>
      </c>
      <c r="AH94" s="7">
        <v>0.36999999999999983</v>
      </c>
      <c r="AI94" s="7">
        <v>0.99999999999999956</v>
      </c>
      <c r="AJ94" s="7">
        <v>5.4054054054054029E-2</v>
      </c>
      <c r="AK94" s="7">
        <v>5.4054054054054029E-2</v>
      </c>
      <c r="AL94" s="7">
        <v>2.7027027027027015E-2</v>
      </c>
      <c r="AM94" s="7">
        <v>8.1081081081081058E-2</v>
      </c>
      <c r="AN94" s="7">
        <v>8.1081081081081058E-2</v>
      </c>
      <c r="AO94" s="7">
        <v>6.7567567567567557E-2</v>
      </c>
      <c r="AP94" s="7">
        <v>5.4054054054054029E-2</v>
      </c>
      <c r="AQ94" s="7">
        <v>1.3513513513513507E-2</v>
      </c>
      <c r="AR94" s="7">
        <v>4.0540540540540529E-2</v>
      </c>
      <c r="AS94" s="7">
        <v>1.3513513513513507E-2</v>
      </c>
      <c r="AT94" s="7">
        <v>8.1081081081081058E-2</v>
      </c>
      <c r="AU94" s="7">
        <v>5.4054054054054029E-2</v>
      </c>
      <c r="AV94" s="7">
        <v>2.7027027027027015E-2</v>
      </c>
      <c r="AW94" s="7">
        <v>5.4054054054054029E-2</v>
      </c>
      <c r="AX94" s="7">
        <v>5.4054054054054029E-2</v>
      </c>
      <c r="AY94" s="7">
        <v>2.7027027027027015E-2</v>
      </c>
      <c r="AZ94" s="7">
        <v>4.0540540540540529E-2</v>
      </c>
      <c r="BA94" s="7">
        <v>5.4054054054054029E-2</v>
      </c>
      <c r="BB94" s="7">
        <v>8.1081081081081058E-2</v>
      </c>
      <c r="BC94" s="7">
        <v>1.3513513513513507E-2</v>
      </c>
      <c r="BD94">
        <v>2.7027027027027015E-2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4" s="42">
        <f>+AVANCE[[#This Row],[FECHA TERMINO  PLANIFICADO]]-AVANCE[[#This Row],[FECHA INICIO TEORICO]]</f>
        <v>26</v>
      </c>
      <c r="BK94" s="42">
        <f>+AVANCE[[#This Row],[FECHA TERMINO]]-AVANCE[[#This Row],[FECHA INICIO REAL]]</f>
        <v>40</v>
      </c>
    </row>
    <row r="95" spans="1:63" x14ac:dyDescent="0.25">
      <c r="A95" t="s">
        <v>887</v>
      </c>
      <c r="B95" t="s">
        <v>917</v>
      </c>
      <c r="C95">
        <v>2302600094</v>
      </c>
      <c r="D95" t="s">
        <v>831</v>
      </c>
      <c r="E95" s="4">
        <v>0.99999999999999989</v>
      </c>
      <c r="F95" s="1">
        <v>46171</v>
      </c>
      <c r="G95" s="1">
        <v>46181</v>
      </c>
      <c r="H95" s="1">
        <v>46225</v>
      </c>
      <c r="I95" s="1">
        <v>46207</v>
      </c>
      <c r="J95" t="s">
        <v>355</v>
      </c>
      <c r="K95" s="1">
        <v>46225</v>
      </c>
      <c r="L95" s="7">
        <v>0.43</v>
      </c>
      <c r="M95" s="7">
        <v>1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9.3023255813953487E-2</v>
      </c>
      <c r="S95" s="7">
        <v>0.09</v>
      </c>
      <c r="T95" s="7">
        <v>1</v>
      </c>
      <c r="U95" s="7">
        <v>0.22222222222222221</v>
      </c>
      <c r="V95" s="7">
        <v>0.22222222222222221</v>
      </c>
      <c r="W95" s="7">
        <v>0.1111111111111111</v>
      </c>
      <c r="X95" s="7">
        <v>0.1111111111111111</v>
      </c>
      <c r="Y95" s="7">
        <v>0.1111111111111111</v>
      </c>
      <c r="Z95" s="7">
        <v>0.22222222222222221</v>
      </c>
      <c r="AA95" s="7">
        <v>0.11</v>
      </c>
      <c r="AB95" s="7">
        <v>1</v>
      </c>
      <c r="AC95" s="7">
        <v>0.27272727272727271</v>
      </c>
      <c r="AD95" s="7">
        <v>0.27272727272727271</v>
      </c>
      <c r="AE95" s="7">
        <v>9.0909090909090912E-2</v>
      </c>
      <c r="AF95" s="7">
        <v>0.18181818181818185</v>
      </c>
      <c r="AG95" s="7">
        <v>0.18181818181818185</v>
      </c>
      <c r="AH95" s="7">
        <v>0.36999999999999983</v>
      </c>
      <c r="AI95" s="7">
        <v>0.99999999999999956</v>
      </c>
      <c r="AJ95" s="7">
        <v>5.4054054054054029E-2</v>
      </c>
      <c r="AK95" s="7">
        <v>5.4054054054054029E-2</v>
      </c>
      <c r="AL95" s="7">
        <v>2.7027027027027015E-2</v>
      </c>
      <c r="AM95" s="7">
        <v>8.1081081081081058E-2</v>
      </c>
      <c r="AN95" s="7">
        <v>8.1081081081081058E-2</v>
      </c>
      <c r="AO95" s="7">
        <v>6.7567567567567557E-2</v>
      </c>
      <c r="AP95" s="7">
        <v>5.4054054054054029E-2</v>
      </c>
      <c r="AQ95" s="7">
        <v>1.3513513513513507E-2</v>
      </c>
      <c r="AR95" s="7">
        <v>4.0540540540540529E-2</v>
      </c>
      <c r="AS95" s="7">
        <v>1.3513513513513507E-2</v>
      </c>
      <c r="AT95" s="7">
        <v>8.1081081081081058E-2</v>
      </c>
      <c r="AU95" s="7">
        <v>5.4054054054054029E-2</v>
      </c>
      <c r="AV95" s="7">
        <v>2.7027027027027015E-2</v>
      </c>
      <c r="AW95" s="7">
        <v>5.4054054054054029E-2</v>
      </c>
      <c r="AX95" s="7">
        <v>5.4054054054054029E-2</v>
      </c>
      <c r="AY95" s="7">
        <v>2.7027027027027015E-2</v>
      </c>
      <c r="AZ95" s="7">
        <v>4.0540540540540529E-2</v>
      </c>
      <c r="BA95" s="7">
        <v>5.4054054054054029E-2</v>
      </c>
      <c r="BB95" s="7">
        <v>8.1081081081081058E-2</v>
      </c>
      <c r="BC95" s="7">
        <v>1.3513513513513507E-2</v>
      </c>
      <c r="BD95">
        <v>2.7027027027027015E-2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5" s="42">
        <f>+AVANCE[[#This Row],[FECHA TERMINO  PLANIFICADO]]-AVANCE[[#This Row],[FECHA INICIO TEORICO]]</f>
        <v>36</v>
      </c>
      <c r="BK95" s="42">
        <f>+AVANCE[[#This Row],[FECHA TERMINO]]-AVANCE[[#This Row],[FECHA INICIO REAL]]</f>
        <v>44</v>
      </c>
    </row>
    <row r="96" spans="1:63" x14ac:dyDescent="0.25">
      <c r="A96" t="s">
        <v>887</v>
      </c>
      <c r="B96" t="s">
        <v>918</v>
      </c>
      <c r="C96">
        <v>2302600095</v>
      </c>
      <c r="D96" t="s">
        <v>831</v>
      </c>
      <c r="E96" s="4">
        <v>0.99999999999999989</v>
      </c>
      <c r="F96" s="1">
        <v>46174</v>
      </c>
      <c r="G96" s="1">
        <v>46177</v>
      </c>
      <c r="H96" s="1">
        <v>46225</v>
      </c>
      <c r="I96" s="1">
        <v>46210</v>
      </c>
      <c r="J96" t="s">
        <v>355</v>
      </c>
      <c r="K96" s="1">
        <v>46225</v>
      </c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0.09</v>
      </c>
      <c r="T96" s="7">
        <v>1</v>
      </c>
      <c r="U96" s="7">
        <v>0.22222222222222221</v>
      </c>
      <c r="V96" s="7">
        <v>0.22222222222222221</v>
      </c>
      <c r="W96" s="7">
        <v>0.1111111111111111</v>
      </c>
      <c r="X96" s="7">
        <v>0.1111111111111111</v>
      </c>
      <c r="Y96" s="7">
        <v>0.1111111111111111</v>
      </c>
      <c r="Z96" s="7">
        <v>0.22222222222222221</v>
      </c>
      <c r="AA96" s="7">
        <v>0.11</v>
      </c>
      <c r="AB96" s="7">
        <v>1</v>
      </c>
      <c r="AC96" s="7">
        <v>0.27272727272727271</v>
      </c>
      <c r="AD96" s="7">
        <v>0.27272727272727271</v>
      </c>
      <c r="AE96" s="7">
        <v>9.0909090909090912E-2</v>
      </c>
      <c r="AF96" s="7">
        <v>0.18181818181818185</v>
      </c>
      <c r="AG96" s="7">
        <v>0.18181818181818185</v>
      </c>
      <c r="AH96" s="7">
        <v>0.36999999999999983</v>
      </c>
      <c r="AI96" s="7">
        <v>0.99999999999999956</v>
      </c>
      <c r="AJ96" s="7">
        <v>5.4054054054054029E-2</v>
      </c>
      <c r="AK96" s="7">
        <v>5.4054054054054029E-2</v>
      </c>
      <c r="AL96" s="7">
        <v>2.7027027027027015E-2</v>
      </c>
      <c r="AM96" s="7">
        <v>8.1081081081081058E-2</v>
      </c>
      <c r="AN96" s="7">
        <v>8.1081081081081058E-2</v>
      </c>
      <c r="AO96" s="7">
        <v>6.7567567567567557E-2</v>
      </c>
      <c r="AP96" s="7">
        <v>5.4054054054054029E-2</v>
      </c>
      <c r="AQ96" s="7">
        <v>1.3513513513513507E-2</v>
      </c>
      <c r="AR96" s="7">
        <v>4.0540540540540529E-2</v>
      </c>
      <c r="AS96" s="7">
        <v>1.3513513513513507E-2</v>
      </c>
      <c r="AT96" s="7">
        <v>8.1081081081081058E-2</v>
      </c>
      <c r="AU96" s="7">
        <v>5.4054054054054029E-2</v>
      </c>
      <c r="AV96" s="7">
        <v>2.7027027027027015E-2</v>
      </c>
      <c r="AW96" s="7">
        <v>5.4054054054054029E-2</v>
      </c>
      <c r="AX96" s="7">
        <v>5.4054054054054029E-2</v>
      </c>
      <c r="AY96" s="7">
        <v>2.7027027027027015E-2</v>
      </c>
      <c r="AZ96" s="7">
        <v>4.0540540540540529E-2</v>
      </c>
      <c r="BA96" s="7">
        <v>5.4054054054054029E-2</v>
      </c>
      <c r="BB96" s="7">
        <v>8.1081081081081058E-2</v>
      </c>
      <c r="BC96" s="7">
        <v>1.3513513513513507E-2</v>
      </c>
      <c r="BD96">
        <v>2.7027027027027015E-2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6" s="42">
        <f>+AVANCE[[#This Row],[FECHA TERMINO  PLANIFICADO]]-AVANCE[[#This Row],[FECHA INICIO TEORICO]]</f>
        <v>36</v>
      </c>
      <c r="BK96" s="42">
        <f>+AVANCE[[#This Row],[FECHA TERMINO]]-AVANCE[[#This Row],[FECHA INICIO REAL]]</f>
        <v>48</v>
      </c>
    </row>
    <row r="97" spans="1:63" x14ac:dyDescent="0.25">
      <c r="A97" t="s">
        <v>887</v>
      </c>
      <c r="B97" t="s">
        <v>919</v>
      </c>
      <c r="C97">
        <v>2282600096</v>
      </c>
      <c r="D97" t="s">
        <v>830</v>
      </c>
      <c r="E97" s="4">
        <v>0.99999999999999989</v>
      </c>
      <c r="F97" s="1">
        <v>46174</v>
      </c>
      <c r="G97" s="1">
        <v>46177</v>
      </c>
      <c r="H97" s="1">
        <v>46218</v>
      </c>
      <c r="I97" s="1">
        <v>46200</v>
      </c>
      <c r="J97" t="s">
        <v>355</v>
      </c>
      <c r="K97" s="1">
        <v>46218</v>
      </c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0.11</v>
      </c>
      <c r="AB97" s="7">
        <v>1</v>
      </c>
      <c r="AC97" s="7">
        <v>0.27272727272727271</v>
      </c>
      <c r="AD97" s="7">
        <v>0.27272727272727271</v>
      </c>
      <c r="AE97" s="7">
        <v>9.0909090909090912E-2</v>
      </c>
      <c r="AF97" s="7">
        <v>0.18181818181818185</v>
      </c>
      <c r="AG97" s="7">
        <v>0.18181818181818185</v>
      </c>
      <c r="AH97" s="7">
        <v>0.36999999999999983</v>
      </c>
      <c r="AI97" s="7">
        <v>0.99999999999999956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8.1081081081081058E-2</v>
      </c>
      <c r="AO97" s="7">
        <v>6.7567567567567557E-2</v>
      </c>
      <c r="AP97" s="7">
        <v>5.4054054054054029E-2</v>
      </c>
      <c r="AQ97" s="7">
        <v>1.3513513513513507E-2</v>
      </c>
      <c r="AR97" s="7">
        <v>4.0540540540540529E-2</v>
      </c>
      <c r="AS97" s="7">
        <v>1.3513513513513507E-2</v>
      </c>
      <c r="AT97" s="7">
        <v>8.1081081081081058E-2</v>
      </c>
      <c r="AU97" s="7">
        <v>5.4054054054054029E-2</v>
      </c>
      <c r="AV97" s="7">
        <v>2.7027027027027015E-2</v>
      </c>
      <c r="AW97" s="7">
        <v>5.4054054054054029E-2</v>
      </c>
      <c r="AX97" s="7">
        <v>5.4054054054054029E-2</v>
      </c>
      <c r="AY97" s="7">
        <v>2.7027027027027015E-2</v>
      </c>
      <c r="AZ97" s="7">
        <v>4.0540540540540529E-2</v>
      </c>
      <c r="BA97" s="7">
        <v>5.4054054054054029E-2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7" s="42">
        <f>+AVANCE[[#This Row],[FECHA TERMINO  PLANIFICADO]]-AVANCE[[#This Row],[FECHA INICIO TEORICO]]</f>
        <v>26</v>
      </c>
      <c r="BK97" s="42">
        <f>+AVANCE[[#This Row],[FECHA TERMINO]]-AVANCE[[#This Row],[FECHA INICIO REAL]]</f>
        <v>41</v>
      </c>
    </row>
    <row r="98" spans="1:63" x14ac:dyDescent="0.25">
      <c r="A98" t="s">
        <v>920</v>
      </c>
      <c r="B98" t="s">
        <v>921</v>
      </c>
      <c r="C98">
        <v>2282600097</v>
      </c>
      <c r="D98" t="s">
        <v>830</v>
      </c>
      <c r="E98" s="4">
        <v>0.99999999999999989</v>
      </c>
      <c r="F98" s="1">
        <v>46175</v>
      </c>
      <c r="G98" s="1">
        <v>46184</v>
      </c>
      <c r="H98" s="1">
        <v>46226</v>
      </c>
      <c r="I98" s="1">
        <v>46199</v>
      </c>
      <c r="J98" t="s">
        <v>355</v>
      </c>
      <c r="K98" s="1">
        <v>46226</v>
      </c>
      <c r="L98" s="7">
        <v>0.43</v>
      </c>
      <c r="M98" s="7">
        <v>1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9.3023255813953487E-2</v>
      </c>
      <c r="S98" s="7">
        <v>0.09</v>
      </c>
      <c r="T98" s="7">
        <v>1</v>
      </c>
      <c r="U98" s="7">
        <v>0.22222222222222221</v>
      </c>
      <c r="V98" s="7">
        <v>0.22222222222222221</v>
      </c>
      <c r="W98" s="7">
        <v>0.1111111111111111</v>
      </c>
      <c r="X98" s="7">
        <v>0.1111111111111111</v>
      </c>
      <c r="Y98" s="7">
        <v>0.1111111111111111</v>
      </c>
      <c r="Z98" s="7">
        <v>0.22222222222222221</v>
      </c>
      <c r="AA98" s="7">
        <v>0.11</v>
      </c>
      <c r="AB98" s="7">
        <v>1</v>
      </c>
      <c r="AC98" s="7">
        <v>0.27272727272727271</v>
      </c>
      <c r="AD98" s="7">
        <v>0.27272727272727271</v>
      </c>
      <c r="AE98" s="7">
        <v>9.0909090909090912E-2</v>
      </c>
      <c r="AF98" s="7">
        <v>0.18181818181818185</v>
      </c>
      <c r="AG98" s="7">
        <v>0.18181818181818185</v>
      </c>
      <c r="AH98" s="7">
        <v>0.36999999999999983</v>
      </c>
      <c r="AI98" s="7">
        <v>0.99999999999999956</v>
      </c>
      <c r="AJ98" s="7">
        <v>5.4054054054054029E-2</v>
      </c>
      <c r="AK98" s="7">
        <v>5.4054054054054029E-2</v>
      </c>
      <c r="AL98" s="7">
        <v>2.7027027027027015E-2</v>
      </c>
      <c r="AM98" s="7">
        <v>8.1081081081081058E-2</v>
      </c>
      <c r="AN98" s="7">
        <v>8.1081081081081058E-2</v>
      </c>
      <c r="AO98" s="7">
        <v>6.7567567567567557E-2</v>
      </c>
      <c r="AP98" s="7">
        <v>5.4054054054054029E-2</v>
      </c>
      <c r="AQ98" s="7">
        <v>1.3513513513513507E-2</v>
      </c>
      <c r="AR98" s="7">
        <v>4.0540540540540529E-2</v>
      </c>
      <c r="AS98" s="7">
        <v>1.3513513513513507E-2</v>
      </c>
      <c r="AT98" s="7">
        <v>8.1081081081081058E-2</v>
      </c>
      <c r="AU98" s="7">
        <v>5.4054054054054029E-2</v>
      </c>
      <c r="AV98" s="7">
        <v>2.7027027027027015E-2</v>
      </c>
      <c r="AW98" s="7">
        <v>5.4054054054054029E-2</v>
      </c>
      <c r="AX98" s="7">
        <v>5.4054054054054029E-2</v>
      </c>
      <c r="AY98" s="7">
        <v>2.7027027027027015E-2</v>
      </c>
      <c r="AZ98" s="7">
        <v>4.0540540540540529E-2</v>
      </c>
      <c r="BA98" s="7">
        <v>5.4054054054054029E-2</v>
      </c>
      <c r="BB98" s="7">
        <v>8.1081081081081058E-2</v>
      </c>
      <c r="BC98" s="7">
        <v>1.3513513513513507E-2</v>
      </c>
      <c r="BD98">
        <v>2.7027027027027015E-2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8" s="42">
        <f>+AVANCE[[#This Row],[FECHA TERMINO  PLANIFICADO]]-AVANCE[[#This Row],[FECHA INICIO TEORICO]]</f>
        <v>24</v>
      </c>
      <c r="BK98" s="42">
        <f>+AVANCE[[#This Row],[FECHA TERMINO]]-AVANCE[[#This Row],[FECHA INICIO REAL]]</f>
        <v>42</v>
      </c>
    </row>
    <row r="99" spans="1:63" x14ac:dyDescent="0.25">
      <c r="A99" t="s">
        <v>920</v>
      </c>
      <c r="B99" t="s">
        <v>922</v>
      </c>
      <c r="C99">
        <v>2302600098</v>
      </c>
      <c r="D99" t="s">
        <v>831</v>
      </c>
      <c r="E99" s="4">
        <v>0.99999999999999989</v>
      </c>
      <c r="F99" s="1">
        <v>46175</v>
      </c>
      <c r="G99" s="1">
        <v>46184</v>
      </c>
      <c r="H99" s="1">
        <v>46227</v>
      </c>
      <c r="I99" s="1">
        <v>46209</v>
      </c>
      <c r="J99" t="s">
        <v>355</v>
      </c>
      <c r="K99" s="1">
        <v>46227</v>
      </c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0.09</v>
      </c>
      <c r="T99" s="7">
        <v>1</v>
      </c>
      <c r="U99" s="7">
        <v>0.22222222222222221</v>
      </c>
      <c r="V99" s="7">
        <v>0.22222222222222221</v>
      </c>
      <c r="W99" s="7">
        <v>0.1111111111111111</v>
      </c>
      <c r="X99" s="7">
        <v>0.1111111111111111</v>
      </c>
      <c r="Y99" s="7">
        <v>0.1111111111111111</v>
      </c>
      <c r="Z99" s="7">
        <v>0.22222222222222221</v>
      </c>
      <c r="AA99" s="7">
        <v>0.11</v>
      </c>
      <c r="AB99" s="7">
        <v>1</v>
      </c>
      <c r="AC99" s="7">
        <v>0.27272727272727271</v>
      </c>
      <c r="AD99" s="7">
        <v>0.27272727272727271</v>
      </c>
      <c r="AE99" s="7">
        <v>9.0909090909090912E-2</v>
      </c>
      <c r="AF99" s="7">
        <v>0.18181818181818185</v>
      </c>
      <c r="AG99" s="7">
        <v>0.18181818181818185</v>
      </c>
      <c r="AH99" s="7">
        <v>0.36999999999999983</v>
      </c>
      <c r="AI99" s="7">
        <v>0.99999999999999956</v>
      </c>
      <c r="AJ99" s="7">
        <v>5.4054054054054029E-2</v>
      </c>
      <c r="AK99" s="7">
        <v>5.4054054054054029E-2</v>
      </c>
      <c r="AL99" s="7">
        <v>2.7027027027027015E-2</v>
      </c>
      <c r="AM99" s="7">
        <v>8.1081081081081058E-2</v>
      </c>
      <c r="AN99" s="7">
        <v>8.1081081081081058E-2</v>
      </c>
      <c r="AO99" s="7">
        <v>6.7567567567567557E-2</v>
      </c>
      <c r="AP99" s="7">
        <v>5.4054054054054029E-2</v>
      </c>
      <c r="AQ99" s="7">
        <v>1.3513513513513507E-2</v>
      </c>
      <c r="AR99" s="7">
        <v>4.0540540540540529E-2</v>
      </c>
      <c r="AS99" s="7">
        <v>1.3513513513513507E-2</v>
      </c>
      <c r="AT99" s="7">
        <v>8.1081081081081058E-2</v>
      </c>
      <c r="AU99" s="7">
        <v>5.4054054054054029E-2</v>
      </c>
      <c r="AV99" s="7">
        <v>2.7027027027027015E-2</v>
      </c>
      <c r="AW99" s="7">
        <v>5.4054054054054029E-2</v>
      </c>
      <c r="AX99" s="7">
        <v>5.4054054054054029E-2</v>
      </c>
      <c r="AY99" s="7">
        <v>2.7027027027027015E-2</v>
      </c>
      <c r="AZ99" s="7">
        <v>4.0540540540540529E-2</v>
      </c>
      <c r="BA99" s="7">
        <v>5.4054054054054029E-2</v>
      </c>
      <c r="BB99" s="7">
        <v>8.1081081081081058E-2</v>
      </c>
      <c r="BC99" s="7">
        <v>1.3513513513513507E-2</v>
      </c>
      <c r="BD99">
        <v>2.7027027027027015E-2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9" s="42">
        <f>+AVANCE[[#This Row],[FECHA TERMINO  PLANIFICADO]]-AVANCE[[#This Row],[FECHA INICIO TEORICO]]</f>
        <v>34</v>
      </c>
      <c r="BK99" s="42">
        <f>+AVANCE[[#This Row],[FECHA TERMINO]]-AVANCE[[#This Row],[FECHA INICIO REAL]]</f>
        <v>43</v>
      </c>
    </row>
    <row r="100" spans="1:63" x14ac:dyDescent="0.25">
      <c r="A100" t="s">
        <v>920</v>
      </c>
      <c r="B100" t="s">
        <v>923</v>
      </c>
      <c r="C100">
        <v>2302600099</v>
      </c>
      <c r="D100" t="s">
        <v>831</v>
      </c>
      <c r="E100" s="4">
        <v>0.99999999999999989</v>
      </c>
      <c r="F100" s="1">
        <v>46176</v>
      </c>
      <c r="G100" s="1">
        <v>46192</v>
      </c>
      <c r="H100" s="1">
        <v>46227</v>
      </c>
      <c r="I100" s="1">
        <v>46210</v>
      </c>
      <c r="J100" t="s">
        <v>355</v>
      </c>
      <c r="K100" s="1">
        <v>46227</v>
      </c>
      <c r="L100" s="7">
        <v>0.43</v>
      </c>
      <c r="M100" s="7">
        <v>1</v>
      </c>
      <c r="N100" s="7">
        <v>0.27906976744186046</v>
      </c>
      <c r="O100" s="7">
        <v>0.18604651162790695</v>
      </c>
      <c r="P100" s="7">
        <v>0.2558139534883721</v>
      </c>
      <c r="Q100" s="7">
        <v>0.18604651162790695</v>
      </c>
      <c r="R100" s="7">
        <v>9.3023255813953487E-2</v>
      </c>
      <c r="S100" s="7">
        <v>0.09</v>
      </c>
      <c r="T100" s="7">
        <v>1</v>
      </c>
      <c r="U100" s="7">
        <v>0.22222222222222221</v>
      </c>
      <c r="V100" s="7">
        <v>0.22222222222222221</v>
      </c>
      <c r="W100" s="7">
        <v>0.1111111111111111</v>
      </c>
      <c r="X100" s="7">
        <v>0.1111111111111111</v>
      </c>
      <c r="Y100" s="7">
        <v>0.1111111111111111</v>
      </c>
      <c r="Z100" s="7">
        <v>0.22222222222222221</v>
      </c>
      <c r="AA100" s="7">
        <v>0.11</v>
      </c>
      <c r="AB100" s="7">
        <v>1</v>
      </c>
      <c r="AC100" s="7">
        <v>0.27272727272727271</v>
      </c>
      <c r="AD100" s="7">
        <v>0.27272727272727271</v>
      </c>
      <c r="AE100" s="7">
        <v>9.0909090909090912E-2</v>
      </c>
      <c r="AF100" s="7">
        <v>0.18181818181818185</v>
      </c>
      <c r="AG100" s="7">
        <v>0.18181818181818185</v>
      </c>
      <c r="AH100" s="7">
        <v>0.36999999999999983</v>
      </c>
      <c r="AI100" s="7">
        <v>0.99999999999999956</v>
      </c>
      <c r="AJ100" s="7">
        <v>5.4054054054054029E-2</v>
      </c>
      <c r="AK100" s="7">
        <v>5.4054054054054029E-2</v>
      </c>
      <c r="AL100" s="7">
        <v>2.7027027027027015E-2</v>
      </c>
      <c r="AM100" s="7">
        <v>8.1081081081081058E-2</v>
      </c>
      <c r="AN100" s="7">
        <v>8.1081081081081058E-2</v>
      </c>
      <c r="AO100" s="7">
        <v>6.7567567567567557E-2</v>
      </c>
      <c r="AP100" s="7">
        <v>5.4054054054054029E-2</v>
      </c>
      <c r="AQ100" s="7">
        <v>1.3513513513513507E-2</v>
      </c>
      <c r="AR100" s="7">
        <v>4.0540540540540529E-2</v>
      </c>
      <c r="AS100" s="7">
        <v>1.3513513513513507E-2</v>
      </c>
      <c r="AT100" s="7">
        <v>8.1081081081081058E-2</v>
      </c>
      <c r="AU100" s="7">
        <v>5.4054054054054029E-2</v>
      </c>
      <c r="AV100" s="7">
        <v>2.7027027027027015E-2</v>
      </c>
      <c r="AW100" s="7">
        <v>5.4054054054054029E-2</v>
      </c>
      <c r="AX100" s="7">
        <v>5.4054054054054029E-2</v>
      </c>
      <c r="AY100" s="7">
        <v>2.7027027027027015E-2</v>
      </c>
      <c r="AZ100" s="7">
        <v>4.0540540540540529E-2</v>
      </c>
      <c r="BA100" s="7">
        <v>5.4054054054054029E-2</v>
      </c>
      <c r="BB100" s="7">
        <v>8.1081081081081058E-2</v>
      </c>
      <c r="BC100" s="7">
        <v>1.3513513513513507E-2</v>
      </c>
      <c r="BD100">
        <v>2.7027027027027015E-2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0" s="42">
        <f>+IF(AVANCE[[#This Row],[FECHA INICIO REAL]]="","",AVANCE[[#This Row],[FECHA INICIO REAL]]-AVANCE[[#This Row],[FECHA INICIO TEORICO]])</f>
        <v>16</v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0" s="42">
        <f>+AVANCE[[#This Row],[FECHA TERMINO  PLANIFICADO]]-AVANCE[[#This Row],[FECHA INICIO TEORICO]]</f>
        <v>34</v>
      </c>
      <c r="BK100" s="42">
        <f>+AVANCE[[#This Row],[FECHA TERMINO]]-AVANCE[[#This Row],[FECHA INICIO REAL]]</f>
        <v>35</v>
      </c>
    </row>
    <row r="101" spans="1:63" x14ac:dyDescent="0.25">
      <c r="A101" t="s">
        <v>920</v>
      </c>
      <c r="B101" t="s">
        <v>924</v>
      </c>
      <c r="C101">
        <v>2282600100</v>
      </c>
      <c r="D101" t="s">
        <v>830</v>
      </c>
      <c r="E101" s="4">
        <v>0.99999999999999989</v>
      </c>
      <c r="F101" s="1">
        <v>46176</v>
      </c>
      <c r="G101" s="1">
        <v>46188</v>
      </c>
      <c r="H101" s="1">
        <v>46227</v>
      </c>
      <c r="I101" s="1">
        <v>46200</v>
      </c>
      <c r="J101" t="s">
        <v>355</v>
      </c>
      <c r="K101" s="1">
        <v>46227</v>
      </c>
      <c r="L101" s="7">
        <v>0.43</v>
      </c>
      <c r="M101" s="7">
        <v>1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9.3023255813953487E-2</v>
      </c>
      <c r="S101" s="7">
        <v>0.09</v>
      </c>
      <c r="T101" s="7">
        <v>1</v>
      </c>
      <c r="U101" s="7">
        <v>0.22222222222222221</v>
      </c>
      <c r="V101" s="7">
        <v>0.22222222222222221</v>
      </c>
      <c r="W101" s="7">
        <v>0.1111111111111111</v>
      </c>
      <c r="X101" s="7">
        <v>0.1111111111111111</v>
      </c>
      <c r="Y101" s="7">
        <v>0.1111111111111111</v>
      </c>
      <c r="Z101" s="7">
        <v>0.22222222222222221</v>
      </c>
      <c r="AA101" s="7">
        <v>0.11</v>
      </c>
      <c r="AB101" s="7">
        <v>1</v>
      </c>
      <c r="AC101" s="7">
        <v>0.27272727272727271</v>
      </c>
      <c r="AD101" s="7">
        <v>0.27272727272727271</v>
      </c>
      <c r="AE101" s="7">
        <v>9.0909090909090912E-2</v>
      </c>
      <c r="AF101" s="7">
        <v>0.18181818181818185</v>
      </c>
      <c r="AG101" s="7">
        <v>0.18181818181818185</v>
      </c>
      <c r="AH101" s="7">
        <v>0.36999999999999983</v>
      </c>
      <c r="AI101" s="7">
        <v>0.99999999999999956</v>
      </c>
      <c r="AJ101" s="7">
        <v>5.4054054054054029E-2</v>
      </c>
      <c r="AK101" s="7">
        <v>5.4054054054054029E-2</v>
      </c>
      <c r="AL101" s="7">
        <v>2.7027027027027015E-2</v>
      </c>
      <c r="AM101" s="7">
        <v>8.1081081081081058E-2</v>
      </c>
      <c r="AN101" s="7">
        <v>8.1081081081081058E-2</v>
      </c>
      <c r="AO101" s="7">
        <v>6.7567567567567557E-2</v>
      </c>
      <c r="AP101" s="7">
        <v>5.4054054054054029E-2</v>
      </c>
      <c r="AQ101" s="7">
        <v>1.3513513513513507E-2</v>
      </c>
      <c r="AR101" s="7">
        <v>4.0540540540540529E-2</v>
      </c>
      <c r="AS101" s="7">
        <v>1.3513513513513507E-2</v>
      </c>
      <c r="AT101" s="7">
        <v>8.1081081081081058E-2</v>
      </c>
      <c r="AU101" s="7">
        <v>5.4054054054054029E-2</v>
      </c>
      <c r="AV101" s="7">
        <v>2.7027027027027015E-2</v>
      </c>
      <c r="AW101" s="7">
        <v>5.4054054054054029E-2</v>
      </c>
      <c r="AX101" s="7">
        <v>5.4054054054054029E-2</v>
      </c>
      <c r="AY101" s="7">
        <v>2.7027027027027015E-2</v>
      </c>
      <c r="AZ101" s="7">
        <v>4.0540540540540529E-2</v>
      </c>
      <c r="BA101" s="7">
        <v>5.4054054054054029E-2</v>
      </c>
      <c r="BB101" s="7">
        <v>8.1081081081081058E-2</v>
      </c>
      <c r="BC101" s="7">
        <v>1.3513513513513507E-2</v>
      </c>
      <c r="BD101">
        <v>2.7027027027027015E-2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1" s="42">
        <f>+AVANCE[[#This Row],[FECHA TERMINO  PLANIFICADO]]-AVANCE[[#This Row],[FECHA INICIO TEORICO]]</f>
        <v>24</v>
      </c>
      <c r="BK101" s="42">
        <f>+AVANCE[[#This Row],[FECHA TERMINO]]-AVANCE[[#This Row],[FECHA INICIO REAL]]</f>
        <v>39</v>
      </c>
    </row>
    <row r="102" spans="1:63" x14ac:dyDescent="0.25">
      <c r="A102" t="s">
        <v>920</v>
      </c>
      <c r="B102" t="s">
        <v>925</v>
      </c>
      <c r="C102">
        <v>2282600101</v>
      </c>
      <c r="D102" t="s">
        <v>830</v>
      </c>
      <c r="E102" s="4">
        <v>0.99999999999999989</v>
      </c>
      <c r="F102" s="1">
        <v>46177</v>
      </c>
      <c r="G102" s="1">
        <v>46190</v>
      </c>
      <c r="H102" s="1">
        <v>46230</v>
      </c>
      <c r="I102" s="1">
        <v>46201</v>
      </c>
      <c r="J102" t="s">
        <v>355</v>
      </c>
      <c r="K102" s="1">
        <v>46230</v>
      </c>
      <c r="L102" s="7">
        <v>0.43</v>
      </c>
      <c r="M102" s="7">
        <v>1</v>
      </c>
      <c r="N102" s="7">
        <v>0.27906976744186046</v>
      </c>
      <c r="O102" s="7">
        <v>0.18604651162790695</v>
      </c>
      <c r="P102" s="7">
        <v>0.2558139534883721</v>
      </c>
      <c r="Q102" s="7">
        <v>0.18604651162790695</v>
      </c>
      <c r="R102" s="7">
        <v>9.3023255813953487E-2</v>
      </c>
      <c r="S102" s="7">
        <v>0.09</v>
      </c>
      <c r="T102" s="7">
        <v>1</v>
      </c>
      <c r="U102" s="7">
        <v>0.22222222222222221</v>
      </c>
      <c r="V102" s="7">
        <v>0.22222222222222221</v>
      </c>
      <c r="W102" s="7">
        <v>0.1111111111111111</v>
      </c>
      <c r="X102" s="7">
        <v>0.1111111111111111</v>
      </c>
      <c r="Y102" s="7">
        <v>0.1111111111111111</v>
      </c>
      <c r="Z102" s="7">
        <v>0.22222222222222221</v>
      </c>
      <c r="AA102" s="7">
        <v>0.11</v>
      </c>
      <c r="AB102" s="7">
        <v>1</v>
      </c>
      <c r="AC102" s="7">
        <v>0.27272727272727271</v>
      </c>
      <c r="AD102" s="7">
        <v>0.27272727272727271</v>
      </c>
      <c r="AE102" s="7">
        <v>9.0909090909090912E-2</v>
      </c>
      <c r="AF102" s="7">
        <v>0.18181818181818185</v>
      </c>
      <c r="AG102" s="7">
        <v>0.18181818181818185</v>
      </c>
      <c r="AH102" s="7">
        <v>0.36999999999999983</v>
      </c>
      <c r="AI102" s="7">
        <v>0.99999999999999956</v>
      </c>
      <c r="AJ102" s="7">
        <v>5.4054054054054029E-2</v>
      </c>
      <c r="AK102" s="7">
        <v>5.4054054054054029E-2</v>
      </c>
      <c r="AL102" s="7">
        <v>2.7027027027027015E-2</v>
      </c>
      <c r="AM102" s="7">
        <v>8.1081081081081058E-2</v>
      </c>
      <c r="AN102" s="7">
        <v>8.1081081081081058E-2</v>
      </c>
      <c r="AO102" s="7">
        <v>6.7567567567567557E-2</v>
      </c>
      <c r="AP102" s="7">
        <v>5.4054054054054029E-2</v>
      </c>
      <c r="AQ102" s="7">
        <v>1.3513513513513507E-2</v>
      </c>
      <c r="AR102" s="7">
        <v>4.0540540540540529E-2</v>
      </c>
      <c r="AS102" s="7">
        <v>1.3513513513513507E-2</v>
      </c>
      <c r="AT102" s="7">
        <v>8.1081081081081058E-2</v>
      </c>
      <c r="AU102" s="7">
        <v>5.4054054054054029E-2</v>
      </c>
      <c r="AV102" s="7">
        <v>2.7027027027027015E-2</v>
      </c>
      <c r="AW102" s="7">
        <v>5.4054054054054029E-2</v>
      </c>
      <c r="AX102" s="7">
        <v>5.4054054054054029E-2</v>
      </c>
      <c r="AY102" s="7">
        <v>2.7027027027027015E-2</v>
      </c>
      <c r="AZ102" s="7">
        <v>4.0540540540540529E-2</v>
      </c>
      <c r="BA102" s="7">
        <v>5.4054054054054029E-2</v>
      </c>
      <c r="BB102" s="7">
        <v>8.1081081081081058E-2</v>
      </c>
      <c r="BC102" s="7">
        <v>1.3513513513513507E-2</v>
      </c>
      <c r="BD102">
        <v>2.7027027027027015E-2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2" s="42">
        <f>+AVANCE[[#This Row],[FECHA TERMINO  PLANIFICADO]]-AVANCE[[#This Row],[FECHA INICIO TEORICO]]</f>
        <v>24</v>
      </c>
      <c r="BK102" s="42">
        <f>+AVANCE[[#This Row],[FECHA TERMINO]]-AVANCE[[#This Row],[FECHA INICIO REAL]]</f>
        <v>40</v>
      </c>
    </row>
    <row r="103" spans="1:63" x14ac:dyDescent="0.25">
      <c r="A103" t="s">
        <v>920</v>
      </c>
      <c r="B103" t="s">
        <v>926</v>
      </c>
      <c r="C103">
        <v>2302600102</v>
      </c>
      <c r="D103" t="s">
        <v>831</v>
      </c>
      <c r="E103" s="4">
        <v>0.99999999999999989</v>
      </c>
      <c r="F103" s="1">
        <v>46177</v>
      </c>
      <c r="G103" s="1">
        <v>46190</v>
      </c>
      <c r="H103" s="1">
        <v>46231</v>
      </c>
      <c r="I103" s="1">
        <v>46211</v>
      </c>
      <c r="J103" t="s">
        <v>355</v>
      </c>
      <c r="K103" s="1">
        <v>46231</v>
      </c>
      <c r="L103" s="7">
        <v>0.43</v>
      </c>
      <c r="M103" s="7">
        <v>1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9.3023255813953487E-2</v>
      </c>
      <c r="S103" s="7">
        <v>0.09</v>
      </c>
      <c r="T103" s="7">
        <v>1</v>
      </c>
      <c r="U103" s="7">
        <v>0.22222222222222221</v>
      </c>
      <c r="V103" s="7">
        <v>0.22222222222222221</v>
      </c>
      <c r="W103" s="7">
        <v>0.1111111111111111</v>
      </c>
      <c r="X103" s="7">
        <v>0.1111111111111111</v>
      </c>
      <c r="Y103" s="7">
        <v>0.1111111111111111</v>
      </c>
      <c r="Z103" s="7">
        <v>0.22222222222222221</v>
      </c>
      <c r="AA103" s="7">
        <v>0.11</v>
      </c>
      <c r="AB103" s="7">
        <v>1</v>
      </c>
      <c r="AC103" s="7">
        <v>0.27272727272727271</v>
      </c>
      <c r="AD103" s="7">
        <v>0.27272727272727271</v>
      </c>
      <c r="AE103" s="7">
        <v>9.0909090909090912E-2</v>
      </c>
      <c r="AF103" s="7">
        <v>0.18181818181818185</v>
      </c>
      <c r="AG103" s="7">
        <v>0.18181818181818185</v>
      </c>
      <c r="AH103" s="7">
        <v>0.36999999999999983</v>
      </c>
      <c r="AI103" s="7">
        <v>0.99999999999999956</v>
      </c>
      <c r="AJ103" s="7">
        <v>5.4054054054054029E-2</v>
      </c>
      <c r="AK103" s="7">
        <v>5.4054054054054029E-2</v>
      </c>
      <c r="AL103" s="7">
        <v>2.7027027027027015E-2</v>
      </c>
      <c r="AM103" s="7">
        <v>8.1081081081081058E-2</v>
      </c>
      <c r="AN103" s="7">
        <v>8.1081081081081058E-2</v>
      </c>
      <c r="AO103" s="7">
        <v>6.7567567567567557E-2</v>
      </c>
      <c r="AP103" s="7">
        <v>5.4054054054054029E-2</v>
      </c>
      <c r="AQ103" s="7">
        <v>1.3513513513513507E-2</v>
      </c>
      <c r="AR103" s="7">
        <v>4.0540540540540529E-2</v>
      </c>
      <c r="AS103" s="7">
        <v>1.3513513513513507E-2</v>
      </c>
      <c r="AT103" s="7">
        <v>8.1081081081081058E-2</v>
      </c>
      <c r="AU103" s="7">
        <v>5.4054054054054029E-2</v>
      </c>
      <c r="AV103" s="7">
        <v>2.7027027027027015E-2</v>
      </c>
      <c r="AW103" s="7">
        <v>5.4054054054054029E-2</v>
      </c>
      <c r="AX103" s="7">
        <v>5.4054054054054029E-2</v>
      </c>
      <c r="AY103" s="7">
        <v>2.7027027027027015E-2</v>
      </c>
      <c r="AZ103" s="7">
        <v>4.0540540540540529E-2</v>
      </c>
      <c r="BA103" s="7">
        <v>5.4054054054054029E-2</v>
      </c>
      <c r="BB103" s="7">
        <v>8.1081081081081058E-2</v>
      </c>
      <c r="BC103" s="7">
        <v>1.3513513513513507E-2</v>
      </c>
      <c r="BD103">
        <v>2.7027027027027015E-2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3" s="42">
        <f>+AVANCE[[#This Row],[FECHA TERMINO  PLANIFICADO]]-AVANCE[[#This Row],[FECHA INICIO TEORICO]]</f>
        <v>34</v>
      </c>
      <c r="BK103" s="42">
        <f>+AVANCE[[#This Row],[FECHA TERMINO]]-AVANCE[[#This Row],[FECHA INICIO REAL]]</f>
        <v>41</v>
      </c>
    </row>
    <row r="104" spans="1:63" x14ac:dyDescent="0.25">
      <c r="A104" t="s">
        <v>920</v>
      </c>
      <c r="B104" t="s">
        <v>927</v>
      </c>
      <c r="C104">
        <v>2302600103</v>
      </c>
      <c r="D104" t="s">
        <v>831</v>
      </c>
      <c r="E104" s="4">
        <v>0.98499999999999988</v>
      </c>
      <c r="F104" s="1">
        <v>46178</v>
      </c>
      <c r="G104" s="1">
        <v>46184</v>
      </c>
      <c r="H104" s="1">
        <v>46230</v>
      </c>
      <c r="I104" s="1">
        <v>46212</v>
      </c>
      <c r="J104">
        <v>3</v>
      </c>
      <c r="K104" s="1"/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0.09</v>
      </c>
      <c r="T104" s="7">
        <v>1</v>
      </c>
      <c r="U104" s="7">
        <v>0.22222222222222221</v>
      </c>
      <c r="V104" s="7">
        <v>0.22222222222222221</v>
      </c>
      <c r="W104" s="7">
        <v>0.1111111111111111</v>
      </c>
      <c r="X104" s="7">
        <v>0.1111111111111111</v>
      </c>
      <c r="Y104" s="7">
        <v>0.1111111111111111</v>
      </c>
      <c r="Z104" s="7">
        <v>0.22222222222222221</v>
      </c>
      <c r="AA104" s="7">
        <v>0.11</v>
      </c>
      <c r="AB104" s="7">
        <v>1</v>
      </c>
      <c r="AC104" s="7">
        <v>0.27272727272727271</v>
      </c>
      <c r="AD104" s="7">
        <v>0.27272727272727271</v>
      </c>
      <c r="AE104" s="7">
        <v>9.0909090909090912E-2</v>
      </c>
      <c r="AF104" s="7">
        <v>0.18181818181818185</v>
      </c>
      <c r="AG104" s="7">
        <v>0.18181818181818185</v>
      </c>
      <c r="AH104" s="7">
        <v>0.35499999999999982</v>
      </c>
      <c r="AI104" s="7">
        <v>0.95945945945945899</v>
      </c>
      <c r="AJ104" s="7">
        <v>5.4054054054054029E-2</v>
      </c>
      <c r="AK104" s="7">
        <v>5.4054054054054029E-2</v>
      </c>
      <c r="AL104" s="7">
        <v>2.7027027027027015E-2</v>
      </c>
      <c r="AM104" s="7">
        <v>8.1081081081081058E-2</v>
      </c>
      <c r="AN104" s="7">
        <v>8.1081081081081058E-2</v>
      </c>
      <c r="AO104" s="7">
        <v>6.7567567567567557E-2</v>
      </c>
      <c r="AP104" s="7">
        <v>5.4054054054054029E-2</v>
      </c>
      <c r="AQ104" s="7">
        <v>1.3513513513513507E-2</v>
      </c>
      <c r="AR104" s="7">
        <v>4.0540540540540529E-2</v>
      </c>
      <c r="AS104" s="7">
        <v>1.3513513513513507E-2</v>
      </c>
      <c r="AT104" s="7">
        <v>8.1081081081081058E-2</v>
      </c>
      <c r="AU104" s="7">
        <v>5.4054054054054029E-2</v>
      </c>
      <c r="AV104" s="7">
        <v>2.7027027027027015E-2</v>
      </c>
      <c r="AW104" s="7">
        <v>5.4054054054054029E-2</v>
      </c>
      <c r="AX104" s="7">
        <v>5.4054054054054029E-2</v>
      </c>
      <c r="AY104" s="7">
        <v>2.7027027027027015E-2</v>
      </c>
      <c r="AZ104" s="7">
        <v>0</v>
      </c>
      <c r="BA104" s="7">
        <v>5.4054054054054029E-2</v>
      </c>
      <c r="BB104" s="7">
        <v>8.1081081081081058E-2</v>
      </c>
      <c r="BC104" s="7">
        <v>1.3513513513513507E-2</v>
      </c>
      <c r="BD104">
        <v>2.7027027027027015E-2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4" s="42">
        <f>+AVANCE[[#This Row],[FECHA TERMINO  PLANIFICADO]]-AVANCE[[#This Row],[FECHA INICIO TEORICO]]</f>
        <v>34</v>
      </c>
      <c r="BK104" s="42">
        <f>+AVANCE[[#This Row],[FECHA TERMINO]]-AVANCE[[#This Row],[FECHA INICIO REAL]]</f>
        <v>-46184</v>
      </c>
    </row>
    <row r="105" spans="1:63" x14ac:dyDescent="0.25">
      <c r="A105" t="s">
        <v>920</v>
      </c>
      <c r="B105" t="s">
        <v>928</v>
      </c>
      <c r="C105">
        <v>2282600104</v>
      </c>
      <c r="D105" t="s">
        <v>830</v>
      </c>
      <c r="E105" s="4">
        <v>0.99999999999999989</v>
      </c>
      <c r="F105" s="1">
        <v>46178</v>
      </c>
      <c r="G105" s="1">
        <v>46184</v>
      </c>
      <c r="H105" s="1">
        <v>46224</v>
      </c>
      <c r="I105" s="1">
        <v>46202</v>
      </c>
      <c r="J105" t="s">
        <v>355</v>
      </c>
      <c r="K105" s="1">
        <v>46224</v>
      </c>
      <c r="L105" s="7">
        <v>0.43</v>
      </c>
      <c r="M105" s="7">
        <v>1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9.3023255813953487E-2</v>
      </c>
      <c r="S105" s="7">
        <v>0.09</v>
      </c>
      <c r="T105" s="7">
        <v>1</v>
      </c>
      <c r="U105" s="7">
        <v>0.22222222222222221</v>
      </c>
      <c r="V105" s="7">
        <v>0.22222222222222221</v>
      </c>
      <c r="W105" s="7">
        <v>0.1111111111111111</v>
      </c>
      <c r="X105" s="7">
        <v>0.1111111111111111</v>
      </c>
      <c r="Y105" s="7">
        <v>0.1111111111111111</v>
      </c>
      <c r="Z105" s="7">
        <v>0.22222222222222221</v>
      </c>
      <c r="AA105" s="7">
        <v>0.11</v>
      </c>
      <c r="AB105" s="7">
        <v>1</v>
      </c>
      <c r="AC105" s="7">
        <v>0.27272727272727271</v>
      </c>
      <c r="AD105" s="7">
        <v>0.27272727272727271</v>
      </c>
      <c r="AE105" s="7">
        <v>9.0909090909090912E-2</v>
      </c>
      <c r="AF105" s="7">
        <v>0.18181818181818185</v>
      </c>
      <c r="AG105" s="7">
        <v>0.18181818181818185</v>
      </c>
      <c r="AH105" s="7">
        <v>0.36999999999999983</v>
      </c>
      <c r="AI105" s="7">
        <v>0.99999999999999956</v>
      </c>
      <c r="AJ105" s="7">
        <v>5.4054054054054029E-2</v>
      </c>
      <c r="AK105" s="7">
        <v>5.4054054054054029E-2</v>
      </c>
      <c r="AL105" s="7">
        <v>2.7027027027027015E-2</v>
      </c>
      <c r="AM105" s="7">
        <v>8.1081081081081058E-2</v>
      </c>
      <c r="AN105" s="7">
        <v>8.1081081081081058E-2</v>
      </c>
      <c r="AO105" s="7">
        <v>6.7567567567567557E-2</v>
      </c>
      <c r="AP105" s="7">
        <v>5.4054054054054029E-2</v>
      </c>
      <c r="AQ105" s="7">
        <v>1.3513513513513507E-2</v>
      </c>
      <c r="AR105" s="7">
        <v>4.0540540540540529E-2</v>
      </c>
      <c r="AS105" s="7">
        <v>1.3513513513513507E-2</v>
      </c>
      <c r="AT105" s="7">
        <v>8.1081081081081058E-2</v>
      </c>
      <c r="AU105" s="7">
        <v>5.4054054054054029E-2</v>
      </c>
      <c r="AV105" s="7">
        <v>2.7027027027027015E-2</v>
      </c>
      <c r="AW105" s="7">
        <v>5.4054054054054029E-2</v>
      </c>
      <c r="AX105" s="7">
        <v>5.4054054054054029E-2</v>
      </c>
      <c r="AY105" s="7">
        <v>2.7027027027027015E-2</v>
      </c>
      <c r="AZ105" s="7">
        <v>4.0540540540540529E-2</v>
      </c>
      <c r="BA105" s="7">
        <v>5.4054054054054029E-2</v>
      </c>
      <c r="BB105" s="7">
        <v>8.1081081081081058E-2</v>
      </c>
      <c r="BC105" s="7">
        <v>1.3513513513513507E-2</v>
      </c>
      <c r="BD105">
        <v>2.7027027027027015E-2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5" s="42">
        <f>+AVANCE[[#This Row],[FECHA TERMINO  PLANIFICADO]]-AVANCE[[#This Row],[FECHA INICIO TEORICO]]</f>
        <v>24</v>
      </c>
      <c r="BK105" s="42">
        <f>+AVANCE[[#This Row],[FECHA TERMINO]]-AVANCE[[#This Row],[FECHA INICIO REAL]]</f>
        <v>40</v>
      </c>
    </row>
    <row r="106" spans="1:63" x14ac:dyDescent="0.25">
      <c r="A106" t="s">
        <v>920</v>
      </c>
      <c r="B106" t="s">
        <v>929</v>
      </c>
      <c r="C106">
        <v>2282600105</v>
      </c>
      <c r="D106" t="s">
        <v>830</v>
      </c>
      <c r="E106" s="4">
        <v>0.99999999999999989</v>
      </c>
      <c r="F106" s="1">
        <v>46181</v>
      </c>
      <c r="G106" s="1">
        <v>46189</v>
      </c>
      <c r="H106" s="1">
        <v>46226</v>
      </c>
      <c r="I106" s="1">
        <v>46205</v>
      </c>
      <c r="J106" t="s">
        <v>355</v>
      </c>
      <c r="K106" s="1">
        <v>46226</v>
      </c>
      <c r="L106" s="7">
        <v>0.43</v>
      </c>
      <c r="M106" s="7">
        <v>1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9.3023255813953487E-2</v>
      </c>
      <c r="S106" s="7">
        <v>0.09</v>
      </c>
      <c r="T106" s="7">
        <v>1</v>
      </c>
      <c r="U106" s="7">
        <v>0.22222222222222221</v>
      </c>
      <c r="V106" s="7">
        <v>0.22222222222222221</v>
      </c>
      <c r="W106" s="7">
        <v>0.1111111111111111</v>
      </c>
      <c r="X106" s="7">
        <v>0.1111111111111111</v>
      </c>
      <c r="Y106" s="7">
        <v>0.1111111111111111</v>
      </c>
      <c r="Z106" s="7">
        <v>0.22222222222222221</v>
      </c>
      <c r="AA106" s="7">
        <v>0.11</v>
      </c>
      <c r="AB106" s="7">
        <v>1</v>
      </c>
      <c r="AC106" s="7">
        <v>0.27272727272727271</v>
      </c>
      <c r="AD106" s="7">
        <v>0.27272727272727271</v>
      </c>
      <c r="AE106" s="7">
        <v>9.0909090909090912E-2</v>
      </c>
      <c r="AF106" s="7">
        <v>0.18181818181818185</v>
      </c>
      <c r="AG106" s="7">
        <v>0.18181818181818185</v>
      </c>
      <c r="AH106" s="7">
        <v>0.36999999999999983</v>
      </c>
      <c r="AI106" s="7">
        <v>0.99999999999999956</v>
      </c>
      <c r="AJ106" s="7">
        <v>5.4054054054054029E-2</v>
      </c>
      <c r="AK106" s="7">
        <v>5.4054054054054029E-2</v>
      </c>
      <c r="AL106" s="7">
        <v>2.7027027027027015E-2</v>
      </c>
      <c r="AM106" s="7">
        <v>8.1081081081081058E-2</v>
      </c>
      <c r="AN106" s="7">
        <v>8.1081081081081058E-2</v>
      </c>
      <c r="AO106" s="7">
        <v>6.7567567567567557E-2</v>
      </c>
      <c r="AP106" s="7">
        <v>5.4054054054054029E-2</v>
      </c>
      <c r="AQ106" s="7">
        <v>1.3513513513513507E-2</v>
      </c>
      <c r="AR106" s="7">
        <v>4.0540540540540529E-2</v>
      </c>
      <c r="AS106" s="7">
        <v>1.3513513513513507E-2</v>
      </c>
      <c r="AT106" s="7">
        <v>8.1081081081081058E-2</v>
      </c>
      <c r="AU106" s="7">
        <v>5.4054054054054029E-2</v>
      </c>
      <c r="AV106" s="7">
        <v>2.7027027027027015E-2</v>
      </c>
      <c r="AW106" s="7">
        <v>5.4054054054054029E-2</v>
      </c>
      <c r="AX106" s="7">
        <v>5.4054054054054029E-2</v>
      </c>
      <c r="AY106" s="7">
        <v>2.7027027027027015E-2</v>
      </c>
      <c r="AZ106" s="7">
        <v>4.0540540540540529E-2</v>
      </c>
      <c r="BA106" s="7">
        <v>5.4054054054054029E-2</v>
      </c>
      <c r="BB106" s="7">
        <v>8.1081081081081058E-2</v>
      </c>
      <c r="BC106" s="7">
        <v>1.3513513513513507E-2</v>
      </c>
      <c r="BD106">
        <v>2.7027027027027015E-2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6" s="42">
        <f>+AVANCE[[#This Row],[FECHA TERMINO  PLANIFICADO]]-AVANCE[[#This Row],[FECHA INICIO TEORICO]]</f>
        <v>24</v>
      </c>
      <c r="BK106" s="42">
        <f>+AVANCE[[#This Row],[FECHA TERMINO]]-AVANCE[[#This Row],[FECHA INICIO REAL]]</f>
        <v>37</v>
      </c>
    </row>
    <row r="107" spans="1:63" x14ac:dyDescent="0.25">
      <c r="A107" t="s">
        <v>920</v>
      </c>
      <c r="B107" t="s">
        <v>930</v>
      </c>
      <c r="C107">
        <v>2302600106</v>
      </c>
      <c r="D107" t="s">
        <v>831</v>
      </c>
      <c r="E107" s="4">
        <v>0.99999999999999989</v>
      </c>
      <c r="F107" s="1">
        <v>46181</v>
      </c>
      <c r="G107" s="1">
        <v>46190</v>
      </c>
      <c r="H107" s="1">
        <v>46230</v>
      </c>
      <c r="I107" s="1">
        <v>46215</v>
      </c>
      <c r="J107" t="s">
        <v>355</v>
      </c>
      <c r="K107" s="1">
        <v>46230</v>
      </c>
      <c r="L107" s="7">
        <v>0.43</v>
      </c>
      <c r="M107" s="7">
        <v>1</v>
      </c>
      <c r="N107" s="7">
        <v>0.27906976744186046</v>
      </c>
      <c r="O107" s="7">
        <v>0.18604651162790695</v>
      </c>
      <c r="P107" s="7">
        <v>0.2558139534883721</v>
      </c>
      <c r="Q107" s="7">
        <v>0.18604651162790695</v>
      </c>
      <c r="R107" s="7">
        <v>9.3023255813953487E-2</v>
      </c>
      <c r="S107" s="7">
        <v>0.09</v>
      </c>
      <c r="T107" s="7">
        <v>1</v>
      </c>
      <c r="U107" s="7">
        <v>0.22222222222222221</v>
      </c>
      <c r="V107" s="7">
        <v>0.22222222222222221</v>
      </c>
      <c r="W107" s="7">
        <v>0.1111111111111111</v>
      </c>
      <c r="X107" s="7">
        <v>0.1111111111111111</v>
      </c>
      <c r="Y107" s="7">
        <v>0.1111111111111111</v>
      </c>
      <c r="Z107" s="7">
        <v>0.22222222222222221</v>
      </c>
      <c r="AA107" s="7">
        <v>0.11</v>
      </c>
      <c r="AB107" s="7">
        <v>1</v>
      </c>
      <c r="AC107" s="7">
        <v>0.27272727272727271</v>
      </c>
      <c r="AD107" s="7">
        <v>0.27272727272727271</v>
      </c>
      <c r="AE107" s="7">
        <v>9.0909090909090912E-2</v>
      </c>
      <c r="AF107" s="7">
        <v>0.18181818181818185</v>
      </c>
      <c r="AG107" s="7">
        <v>0.18181818181818185</v>
      </c>
      <c r="AH107" s="7">
        <v>0.36999999999999983</v>
      </c>
      <c r="AI107" s="7">
        <v>0.99999999999999956</v>
      </c>
      <c r="AJ107" s="7">
        <v>5.4054054054054029E-2</v>
      </c>
      <c r="AK107" s="7">
        <v>5.4054054054054029E-2</v>
      </c>
      <c r="AL107" s="7">
        <v>2.7027027027027015E-2</v>
      </c>
      <c r="AM107" s="7">
        <v>8.1081081081081058E-2</v>
      </c>
      <c r="AN107" s="7">
        <v>8.1081081081081058E-2</v>
      </c>
      <c r="AO107" s="7">
        <v>6.7567567567567557E-2</v>
      </c>
      <c r="AP107" s="7">
        <v>5.4054054054054029E-2</v>
      </c>
      <c r="AQ107" s="7">
        <v>1.3513513513513507E-2</v>
      </c>
      <c r="AR107" s="7">
        <v>4.0540540540540529E-2</v>
      </c>
      <c r="AS107" s="7">
        <v>1.3513513513513507E-2</v>
      </c>
      <c r="AT107" s="7">
        <v>8.1081081081081058E-2</v>
      </c>
      <c r="AU107" s="7">
        <v>5.4054054054054029E-2</v>
      </c>
      <c r="AV107" s="7">
        <v>2.7027027027027015E-2</v>
      </c>
      <c r="AW107" s="7">
        <v>5.4054054054054029E-2</v>
      </c>
      <c r="AX107" s="7">
        <v>5.4054054054054029E-2</v>
      </c>
      <c r="AY107" s="7">
        <v>2.7027027027027015E-2</v>
      </c>
      <c r="AZ107" s="7">
        <v>4.0540540540540529E-2</v>
      </c>
      <c r="BA107" s="7">
        <v>5.4054054054054029E-2</v>
      </c>
      <c r="BB107" s="7">
        <v>8.1081081081081058E-2</v>
      </c>
      <c r="BC107" s="7">
        <v>1.3513513513513507E-2</v>
      </c>
      <c r="BD107">
        <v>2.7027027027027015E-2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7" s="42">
        <f>+AVANCE[[#This Row],[FECHA TERMINO  PLANIFICADO]]-AVANCE[[#This Row],[FECHA INICIO TEORICO]]</f>
        <v>34</v>
      </c>
      <c r="BK107" s="42">
        <f>+AVANCE[[#This Row],[FECHA TERMINO]]-AVANCE[[#This Row],[FECHA INICIO REAL]]</f>
        <v>40</v>
      </c>
    </row>
    <row r="108" spans="1:63" x14ac:dyDescent="0.25">
      <c r="A108" t="s">
        <v>920</v>
      </c>
      <c r="B108" t="s">
        <v>931</v>
      </c>
      <c r="C108">
        <v>2302600107</v>
      </c>
      <c r="D108" t="s">
        <v>831</v>
      </c>
      <c r="E108" s="4">
        <v>0.97499999999999987</v>
      </c>
      <c r="F108" s="1">
        <v>46182</v>
      </c>
      <c r="G108" s="1">
        <v>46196</v>
      </c>
      <c r="H108" s="1">
        <v>46230</v>
      </c>
      <c r="I108" s="1">
        <v>46216</v>
      </c>
      <c r="J108">
        <v>3</v>
      </c>
      <c r="K108" s="1"/>
      <c r="L108" s="7">
        <v>0.43</v>
      </c>
      <c r="M108" s="7">
        <v>1</v>
      </c>
      <c r="N108" s="7">
        <v>0.27906976744186046</v>
      </c>
      <c r="O108" s="7">
        <v>0.18604651162790695</v>
      </c>
      <c r="P108" s="7">
        <v>0.2558139534883721</v>
      </c>
      <c r="Q108" s="7">
        <v>0.18604651162790695</v>
      </c>
      <c r="R108" s="7">
        <v>9.3023255813953487E-2</v>
      </c>
      <c r="S108" s="7">
        <v>0.08</v>
      </c>
      <c r="T108" s="7">
        <v>0.88888888888888895</v>
      </c>
      <c r="U108" s="7">
        <v>0.22222222222222221</v>
      </c>
      <c r="V108" s="7">
        <v>0.22222222222222221</v>
      </c>
      <c r="W108" s="7">
        <v>0</v>
      </c>
      <c r="X108" s="7">
        <v>0.1111111111111111</v>
      </c>
      <c r="Y108" s="7">
        <v>0.1111111111111111</v>
      </c>
      <c r="Z108" s="7">
        <v>0.22222222222222221</v>
      </c>
      <c r="AA108" s="7">
        <v>0.11</v>
      </c>
      <c r="AB108" s="7">
        <v>1</v>
      </c>
      <c r="AC108" s="7">
        <v>0.27272727272727271</v>
      </c>
      <c r="AD108" s="7">
        <v>0.27272727272727271</v>
      </c>
      <c r="AE108" s="7">
        <v>9.0909090909090912E-2</v>
      </c>
      <c r="AF108" s="7">
        <v>0.18181818181818185</v>
      </c>
      <c r="AG108" s="7">
        <v>0.18181818181818185</v>
      </c>
      <c r="AH108" s="7">
        <v>0.35499999999999982</v>
      </c>
      <c r="AI108" s="7">
        <v>0.95945945945945899</v>
      </c>
      <c r="AJ108" s="7">
        <v>5.4054054054054029E-2</v>
      </c>
      <c r="AK108" s="7">
        <v>5.4054054054054029E-2</v>
      </c>
      <c r="AL108" s="7">
        <v>2.7027027027027015E-2</v>
      </c>
      <c r="AM108" s="7">
        <v>8.1081081081081058E-2</v>
      </c>
      <c r="AN108" s="7">
        <v>8.1081081081081058E-2</v>
      </c>
      <c r="AO108" s="7">
        <v>6.7567567567567557E-2</v>
      </c>
      <c r="AP108" s="7">
        <v>5.4054054054054029E-2</v>
      </c>
      <c r="AQ108" s="7">
        <v>1.3513513513513507E-2</v>
      </c>
      <c r="AR108" s="7">
        <v>4.0540540540540529E-2</v>
      </c>
      <c r="AS108" s="7">
        <v>1.3513513513513507E-2</v>
      </c>
      <c r="AT108" s="7">
        <v>8.1081081081081058E-2</v>
      </c>
      <c r="AU108" s="7">
        <v>5.4054054054054029E-2</v>
      </c>
      <c r="AV108" s="7">
        <v>2.7027027027027015E-2</v>
      </c>
      <c r="AW108" s="7">
        <v>5.4054054054054029E-2</v>
      </c>
      <c r="AX108" s="7">
        <v>5.4054054054054029E-2</v>
      </c>
      <c r="AY108" s="7">
        <v>2.7027027027027015E-2</v>
      </c>
      <c r="AZ108" s="7">
        <v>0</v>
      </c>
      <c r="BA108" s="7">
        <v>5.4054054054054029E-2</v>
      </c>
      <c r="BB108" s="7">
        <v>8.1081081081081058E-2</v>
      </c>
      <c r="BC108" s="7">
        <v>1.3513513513513507E-2</v>
      </c>
      <c r="BD108">
        <v>2.7027027027027015E-2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8" s="42">
        <f>+IF(AVANCE[[#This Row],[FECHA INICIO REAL]]="","",AVANCE[[#This Row],[FECHA INICIO REAL]]-AVANCE[[#This Row],[FECHA INICIO TEORICO]])</f>
        <v>14</v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8" s="42">
        <f>+AVANCE[[#This Row],[FECHA TERMINO  PLANIFICADO]]-AVANCE[[#This Row],[FECHA INICIO TEORICO]]</f>
        <v>34</v>
      </c>
      <c r="BK108" s="42">
        <f>+AVANCE[[#This Row],[FECHA TERMINO]]-AVANCE[[#This Row],[FECHA INICIO REAL]]</f>
        <v>-46196</v>
      </c>
    </row>
    <row r="109" spans="1:63" x14ac:dyDescent="0.25">
      <c r="A109" t="s">
        <v>920</v>
      </c>
      <c r="B109" t="s">
        <v>932</v>
      </c>
      <c r="C109">
        <v>2282600108</v>
      </c>
      <c r="D109" t="s">
        <v>830</v>
      </c>
      <c r="E109" s="4">
        <v>0.99999999999999989</v>
      </c>
      <c r="F109" s="1">
        <v>46182</v>
      </c>
      <c r="G109" s="1">
        <v>46196</v>
      </c>
      <c r="H109" s="1">
        <v>46230</v>
      </c>
      <c r="I109" s="1">
        <v>46206</v>
      </c>
      <c r="J109" t="s">
        <v>355</v>
      </c>
      <c r="K109" s="1">
        <v>46230</v>
      </c>
      <c r="L109" s="7">
        <v>0.43</v>
      </c>
      <c r="M109" s="7">
        <v>1</v>
      </c>
      <c r="N109" s="7">
        <v>0.27906976744186046</v>
      </c>
      <c r="O109" s="7">
        <v>0.18604651162790695</v>
      </c>
      <c r="P109" s="7">
        <v>0.2558139534883721</v>
      </c>
      <c r="Q109" s="7">
        <v>0.18604651162790695</v>
      </c>
      <c r="R109" s="7">
        <v>9.3023255813953487E-2</v>
      </c>
      <c r="S109" s="7">
        <v>0.09</v>
      </c>
      <c r="T109" s="7">
        <v>1</v>
      </c>
      <c r="U109" s="7">
        <v>0.22222222222222221</v>
      </c>
      <c r="V109" s="7">
        <v>0.22222222222222221</v>
      </c>
      <c r="W109" s="7">
        <v>0.1111111111111111</v>
      </c>
      <c r="X109" s="7">
        <v>0.1111111111111111</v>
      </c>
      <c r="Y109" s="7">
        <v>0.1111111111111111</v>
      </c>
      <c r="Z109" s="7">
        <v>0.22222222222222221</v>
      </c>
      <c r="AA109" s="7">
        <v>0.11</v>
      </c>
      <c r="AB109" s="7">
        <v>1</v>
      </c>
      <c r="AC109" s="7">
        <v>0.27272727272727271</v>
      </c>
      <c r="AD109" s="7">
        <v>0.27272727272727271</v>
      </c>
      <c r="AE109" s="7">
        <v>9.0909090909090912E-2</v>
      </c>
      <c r="AF109" s="7">
        <v>0.18181818181818185</v>
      </c>
      <c r="AG109" s="7">
        <v>0.18181818181818185</v>
      </c>
      <c r="AH109" s="7">
        <v>0.36999999999999983</v>
      </c>
      <c r="AI109" s="7">
        <v>0.99999999999999956</v>
      </c>
      <c r="AJ109" s="7">
        <v>5.4054054054054029E-2</v>
      </c>
      <c r="AK109" s="7">
        <v>5.4054054054054029E-2</v>
      </c>
      <c r="AL109" s="7">
        <v>2.7027027027027015E-2</v>
      </c>
      <c r="AM109" s="7">
        <v>8.1081081081081058E-2</v>
      </c>
      <c r="AN109" s="7">
        <v>8.1081081081081058E-2</v>
      </c>
      <c r="AO109" s="7">
        <v>6.7567567567567557E-2</v>
      </c>
      <c r="AP109" s="7">
        <v>5.4054054054054029E-2</v>
      </c>
      <c r="AQ109" s="7">
        <v>1.3513513513513507E-2</v>
      </c>
      <c r="AR109" s="7">
        <v>4.0540540540540529E-2</v>
      </c>
      <c r="AS109" s="7">
        <v>1.3513513513513507E-2</v>
      </c>
      <c r="AT109" s="7">
        <v>8.1081081081081058E-2</v>
      </c>
      <c r="AU109" s="7">
        <v>5.4054054054054029E-2</v>
      </c>
      <c r="AV109" s="7">
        <v>2.7027027027027015E-2</v>
      </c>
      <c r="AW109" s="7">
        <v>5.4054054054054029E-2</v>
      </c>
      <c r="AX109" s="7">
        <v>5.4054054054054029E-2</v>
      </c>
      <c r="AY109" s="7">
        <v>2.7027027027027015E-2</v>
      </c>
      <c r="AZ109" s="7">
        <v>4.0540540540540529E-2</v>
      </c>
      <c r="BA109" s="7">
        <v>5.4054054054054029E-2</v>
      </c>
      <c r="BB109" s="7">
        <v>8.1081081081081058E-2</v>
      </c>
      <c r="BC109" s="7">
        <v>1.3513513513513507E-2</v>
      </c>
      <c r="BD109">
        <v>2.7027027027027015E-2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9" s="42">
        <f>+IF(AVANCE[[#This Row],[FECHA INICIO REAL]]="","",AVANCE[[#This Row],[FECHA INICIO REAL]]-AVANCE[[#This Row],[FECHA INICIO TEORICO]])</f>
        <v>14</v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9" s="42">
        <f>+AVANCE[[#This Row],[FECHA TERMINO  PLANIFICADO]]-AVANCE[[#This Row],[FECHA INICIO TEORICO]]</f>
        <v>24</v>
      </c>
      <c r="BK109" s="42">
        <f>+AVANCE[[#This Row],[FECHA TERMINO]]-AVANCE[[#This Row],[FECHA INICIO REAL]]</f>
        <v>34</v>
      </c>
    </row>
    <row r="110" spans="1:63" x14ac:dyDescent="0.25">
      <c r="A110" t="s">
        <v>920</v>
      </c>
      <c r="B110" t="s">
        <v>933</v>
      </c>
      <c r="C110">
        <v>2282600109</v>
      </c>
      <c r="D110" t="s">
        <v>830</v>
      </c>
      <c r="E110" s="4">
        <v>0.99999999999999989</v>
      </c>
      <c r="F110" s="1">
        <v>46183</v>
      </c>
      <c r="G110" s="1">
        <v>46196</v>
      </c>
      <c r="H110" s="1">
        <v>46232</v>
      </c>
      <c r="I110" s="1">
        <v>46207</v>
      </c>
      <c r="J110" t="s">
        <v>355</v>
      </c>
      <c r="K110" s="1">
        <v>46232</v>
      </c>
      <c r="L110" s="7">
        <v>0.43</v>
      </c>
      <c r="M110" s="7">
        <v>1</v>
      </c>
      <c r="N110" s="7">
        <v>0.27906976744186046</v>
      </c>
      <c r="O110" s="7">
        <v>0.18604651162790695</v>
      </c>
      <c r="P110" s="7">
        <v>0.2558139534883721</v>
      </c>
      <c r="Q110" s="7">
        <v>0.18604651162790695</v>
      </c>
      <c r="R110" s="7">
        <v>9.3023255813953487E-2</v>
      </c>
      <c r="S110" s="7">
        <v>0.09</v>
      </c>
      <c r="T110" s="7">
        <v>1</v>
      </c>
      <c r="U110" s="7">
        <v>0.22222222222222221</v>
      </c>
      <c r="V110" s="7">
        <v>0.22222222222222221</v>
      </c>
      <c r="W110" s="7">
        <v>0.1111111111111111</v>
      </c>
      <c r="X110" s="7">
        <v>0.1111111111111111</v>
      </c>
      <c r="Y110" s="7">
        <v>0.1111111111111111</v>
      </c>
      <c r="Z110" s="7">
        <v>0.22222222222222221</v>
      </c>
      <c r="AA110" s="7">
        <v>0.11</v>
      </c>
      <c r="AB110" s="7">
        <v>1</v>
      </c>
      <c r="AC110" s="7">
        <v>0.27272727272727271</v>
      </c>
      <c r="AD110" s="7">
        <v>0.27272727272727271</v>
      </c>
      <c r="AE110" s="7">
        <v>9.0909090909090912E-2</v>
      </c>
      <c r="AF110" s="7">
        <v>0.18181818181818185</v>
      </c>
      <c r="AG110" s="7">
        <v>0.18181818181818185</v>
      </c>
      <c r="AH110" s="7">
        <v>0.36999999999999983</v>
      </c>
      <c r="AI110" s="7">
        <v>0.99999999999999956</v>
      </c>
      <c r="AJ110" s="7">
        <v>5.4054054054054029E-2</v>
      </c>
      <c r="AK110" s="7">
        <v>5.4054054054054029E-2</v>
      </c>
      <c r="AL110" s="7">
        <v>2.7027027027027015E-2</v>
      </c>
      <c r="AM110" s="7">
        <v>8.1081081081081058E-2</v>
      </c>
      <c r="AN110" s="7">
        <v>8.1081081081081058E-2</v>
      </c>
      <c r="AO110" s="7">
        <v>6.7567567567567557E-2</v>
      </c>
      <c r="AP110" s="7">
        <v>5.4054054054054029E-2</v>
      </c>
      <c r="AQ110" s="7">
        <v>1.3513513513513507E-2</v>
      </c>
      <c r="AR110" s="7">
        <v>4.0540540540540529E-2</v>
      </c>
      <c r="AS110" s="7">
        <v>1.3513513513513507E-2</v>
      </c>
      <c r="AT110" s="7">
        <v>8.1081081081081058E-2</v>
      </c>
      <c r="AU110" s="7">
        <v>5.4054054054054029E-2</v>
      </c>
      <c r="AV110" s="7">
        <v>2.7027027027027015E-2</v>
      </c>
      <c r="AW110" s="7">
        <v>5.4054054054054029E-2</v>
      </c>
      <c r="AX110" s="7">
        <v>5.4054054054054029E-2</v>
      </c>
      <c r="AY110" s="7">
        <v>2.7027027027027015E-2</v>
      </c>
      <c r="AZ110" s="7">
        <v>4.0540540540540529E-2</v>
      </c>
      <c r="BA110" s="7">
        <v>5.4054054054054029E-2</v>
      </c>
      <c r="BB110" s="7">
        <v>8.1081081081081058E-2</v>
      </c>
      <c r="BC110" s="7">
        <v>1.3513513513513507E-2</v>
      </c>
      <c r="BD110">
        <v>2.7027027027027015E-2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0" s="42">
        <f>+IF(AVANCE[[#This Row],[FECHA INICIO REAL]]="","",AVANCE[[#This Row],[FECHA INICIO REAL]]-AVANCE[[#This Row],[FECHA INICIO TEORICO]])</f>
        <v>13</v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10" s="42">
        <f>+AVANCE[[#This Row],[FECHA TERMINO  PLANIFICADO]]-AVANCE[[#This Row],[FECHA INICIO TEORICO]]</f>
        <v>24</v>
      </c>
      <c r="BK110" s="42">
        <f>+AVANCE[[#This Row],[FECHA TERMINO]]-AVANCE[[#This Row],[FECHA INICIO REAL]]</f>
        <v>36</v>
      </c>
    </row>
    <row r="111" spans="1:63" x14ac:dyDescent="0.25">
      <c r="A111" t="s">
        <v>920</v>
      </c>
      <c r="B111" t="s">
        <v>934</v>
      </c>
      <c r="C111">
        <v>2302600110</v>
      </c>
      <c r="D111" t="s">
        <v>831</v>
      </c>
      <c r="E111" s="4">
        <v>0.98499999999999988</v>
      </c>
      <c r="F111" s="1">
        <v>46183</v>
      </c>
      <c r="G111" s="1">
        <v>46197</v>
      </c>
      <c r="H111" s="1">
        <v>46231</v>
      </c>
      <c r="I111" s="1">
        <v>46217</v>
      </c>
      <c r="J111">
        <v>2</v>
      </c>
      <c r="K111" s="1"/>
      <c r="L111" s="7">
        <v>0.43</v>
      </c>
      <c r="M111" s="7">
        <v>1</v>
      </c>
      <c r="N111" s="7">
        <v>0.27906976744186046</v>
      </c>
      <c r="O111" s="7">
        <v>0.18604651162790695</v>
      </c>
      <c r="P111" s="7">
        <v>0.2558139534883721</v>
      </c>
      <c r="Q111" s="7">
        <v>0.18604651162790695</v>
      </c>
      <c r="R111" s="7">
        <v>9.3023255813953487E-2</v>
      </c>
      <c r="S111" s="7">
        <v>0.09</v>
      </c>
      <c r="T111" s="7">
        <v>1</v>
      </c>
      <c r="U111" s="7">
        <v>0.22222222222222221</v>
      </c>
      <c r="V111" s="7">
        <v>0.22222222222222221</v>
      </c>
      <c r="W111" s="7">
        <v>0.1111111111111111</v>
      </c>
      <c r="X111" s="7">
        <v>0.1111111111111111</v>
      </c>
      <c r="Y111" s="7">
        <v>0.1111111111111111</v>
      </c>
      <c r="Z111" s="7">
        <v>0.22222222222222221</v>
      </c>
      <c r="AA111" s="7">
        <v>0.11</v>
      </c>
      <c r="AB111" s="7">
        <v>1</v>
      </c>
      <c r="AC111" s="7">
        <v>0.27272727272727271</v>
      </c>
      <c r="AD111" s="7">
        <v>0.27272727272727271</v>
      </c>
      <c r="AE111" s="7">
        <v>9.0909090909090912E-2</v>
      </c>
      <c r="AF111" s="7">
        <v>0.18181818181818185</v>
      </c>
      <c r="AG111" s="7">
        <v>0.18181818181818185</v>
      </c>
      <c r="AH111" s="7">
        <v>0.35499999999999982</v>
      </c>
      <c r="AI111" s="7">
        <v>0.95945945945945899</v>
      </c>
      <c r="AJ111" s="7">
        <v>5.4054054054054029E-2</v>
      </c>
      <c r="AK111" s="7">
        <v>5.4054054054054029E-2</v>
      </c>
      <c r="AL111" s="7">
        <v>2.7027027027027015E-2</v>
      </c>
      <c r="AM111" s="7">
        <v>8.1081081081081058E-2</v>
      </c>
      <c r="AN111" s="7">
        <v>8.1081081081081058E-2</v>
      </c>
      <c r="AO111" s="7">
        <v>6.7567567567567557E-2</v>
      </c>
      <c r="AP111" s="7">
        <v>5.4054054054054029E-2</v>
      </c>
      <c r="AQ111" s="7">
        <v>1.3513513513513507E-2</v>
      </c>
      <c r="AR111" s="7">
        <v>4.0540540540540529E-2</v>
      </c>
      <c r="AS111" s="7">
        <v>1.3513513513513507E-2</v>
      </c>
      <c r="AT111" s="7">
        <v>8.1081081081081058E-2</v>
      </c>
      <c r="AU111" s="7">
        <v>5.4054054054054029E-2</v>
      </c>
      <c r="AV111" s="7">
        <v>2.7027027027027015E-2</v>
      </c>
      <c r="AW111" s="7">
        <v>5.4054054054054029E-2</v>
      </c>
      <c r="AX111" s="7">
        <v>5.4054054054054029E-2</v>
      </c>
      <c r="AY111" s="7">
        <v>2.7027027027027015E-2</v>
      </c>
      <c r="AZ111" s="7">
        <v>0</v>
      </c>
      <c r="BA111" s="7">
        <v>5.4054054054054029E-2</v>
      </c>
      <c r="BB111" s="7">
        <v>8.1081081081081058E-2</v>
      </c>
      <c r="BC111" s="7">
        <v>1.3513513513513507E-2</v>
      </c>
      <c r="BD111">
        <v>2.7027027027027015E-2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1" s="42">
        <f>+IF(AVANCE[[#This Row],[FECHA INICIO REAL]]="","",AVANCE[[#This Row],[FECHA INICIO REAL]]-AVANCE[[#This Row],[FECHA INICIO TEORICO]])</f>
        <v>14</v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1" s="42">
        <f>+AVANCE[[#This Row],[FECHA TERMINO  PLANIFICADO]]-AVANCE[[#This Row],[FECHA INICIO TEORICO]]</f>
        <v>34</v>
      </c>
      <c r="BK111" s="42">
        <f>+AVANCE[[#This Row],[FECHA TERMINO]]-AVANCE[[#This Row],[FECHA INICIO REAL]]</f>
        <v>-46197</v>
      </c>
    </row>
    <row r="112" spans="1:63" x14ac:dyDescent="0.25">
      <c r="A112" t="s">
        <v>920</v>
      </c>
      <c r="B112" t="s">
        <v>935</v>
      </c>
      <c r="C112">
        <v>2302600111</v>
      </c>
      <c r="D112" t="s">
        <v>831</v>
      </c>
      <c r="E112" s="4">
        <v>0.99999999999999989</v>
      </c>
      <c r="F112" s="1">
        <v>46184</v>
      </c>
      <c r="G112" s="1">
        <v>46190</v>
      </c>
      <c r="H112" s="1">
        <v>46232</v>
      </c>
      <c r="I112" s="1">
        <v>46218</v>
      </c>
      <c r="J112" t="s">
        <v>355</v>
      </c>
      <c r="K112" s="1">
        <v>46232</v>
      </c>
      <c r="L112" s="7">
        <v>0.43</v>
      </c>
      <c r="M112" s="7">
        <v>1</v>
      </c>
      <c r="N112" s="7">
        <v>0.27906976744186046</v>
      </c>
      <c r="O112" s="7">
        <v>0.18604651162790695</v>
      </c>
      <c r="P112" s="7">
        <v>0.2558139534883721</v>
      </c>
      <c r="Q112" s="7">
        <v>0.18604651162790695</v>
      </c>
      <c r="R112" s="7">
        <v>9.3023255813953487E-2</v>
      </c>
      <c r="S112" s="7">
        <v>0.09</v>
      </c>
      <c r="T112" s="7">
        <v>1</v>
      </c>
      <c r="U112" s="7">
        <v>0.22222222222222221</v>
      </c>
      <c r="V112" s="7">
        <v>0.22222222222222221</v>
      </c>
      <c r="W112" s="7">
        <v>0.1111111111111111</v>
      </c>
      <c r="X112" s="7">
        <v>0.1111111111111111</v>
      </c>
      <c r="Y112" s="7">
        <v>0.1111111111111111</v>
      </c>
      <c r="Z112" s="7">
        <v>0.22222222222222221</v>
      </c>
      <c r="AA112" s="7">
        <v>0.11</v>
      </c>
      <c r="AB112" s="7">
        <v>1</v>
      </c>
      <c r="AC112" s="7">
        <v>0.27272727272727271</v>
      </c>
      <c r="AD112" s="7">
        <v>0.27272727272727271</v>
      </c>
      <c r="AE112" s="7">
        <v>9.0909090909090912E-2</v>
      </c>
      <c r="AF112" s="7">
        <v>0.18181818181818185</v>
      </c>
      <c r="AG112" s="7">
        <v>0.18181818181818185</v>
      </c>
      <c r="AH112" s="7">
        <v>0.36999999999999983</v>
      </c>
      <c r="AI112" s="7">
        <v>0.99999999999999956</v>
      </c>
      <c r="AJ112" s="7">
        <v>5.4054054054054029E-2</v>
      </c>
      <c r="AK112" s="7">
        <v>5.4054054054054029E-2</v>
      </c>
      <c r="AL112" s="7">
        <v>2.7027027027027015E-2</v>
      </c>
      <c r="AM112" s="7">
        <v>8.1081081081081058E-2</v>
      </c>
      <c r="AN112" s="7">
        <v>8.1081081081081058E-2</v>
      </c>
      <c r="AO112" s="7">
        <v>6.7567567567567557E-2</v>
      </c>
      <c r="AP112" s="7">
        <v>5.4054054054054029E-2</v>
      </c>
      <c r="AQ112" s="7">
        <v>1.3513513513513507E-2</v>
      </c>
      <c r="AR112" s="7">
        <v>4.0540540540540529E-2</v>
      </c>
      <c r="AS112" s="7">
        <v>1.3513513513513507E-2</v>
      </c>
      <c r="AT112" s="7">
        <v>8.1081081081081058E-2</v>
      </c>
      <c r="AU112" s="7">
        <v>5.4054054054054029E-2</v>
      </c>
      <c r="AV112" s="7">
        <v>2.7027027027027015E-2</v>
      </c>
      <c r="AW112" s="7">
        <v>5.4054054054054029E-2</v>
      </c>
      <c r="AX112" s="7">
        <v>5.4054054054054029E-2</v>
      </c>
      <c r="AY112" s="7">
        <v>2.7027027027027015E-2</v>
      </c>
      <c r="AZ112" s="7">
        <v>4.0540540540540529E-2</v>
      </c>
      <c r="BA112" s="7">
        <v>5.4054054054054029E-2</v>
      </c>
      <c r="BB112" s="7">
        <v>8.1081081081081058E-2</v>
      </c>
      <c r="BC112" s="7">
        <v>1.3513513513513507E-2</v>
      </c>
      <c r="BD112">
        <v>2.7027027027027015E-2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12" s="42">
        <f>+AVANCE[[#This Row],[FECHA TERMINO  PLANIFICADO]]-AVANCE[[#This Row],[FECHA INICIO TEORICO]]</f>
        <v>34</v>
      </c>
      <c r="BK112" s="42">
        <f>+AVANCE[[#This Row],[FECHA TERMINO]]-AVANCE[[#This Row],[FECHA INICIO REAL]]</f>
        <v>42</v>
      </c>
    </row>
    <row r="113" spans="1:63" x14ac:dyDescent="0.25">
      <c r="A113" t="s">
        <v>920</v>
      </c>
      <c r="B113" t="s">
        <v>936</v>
      </c>
      <c r="C113">
        <v>2282600112</v>
      </c>
      <c r="D113" t="s">
        <v>830</v>
      </c>
      <c r="E113" s="4">
        <v>0.99999999999999989</v>
      </c>
      <c r="F113" s="1">
        <v>46184</v>
      </c>
      <c r="G113" s="1">
        <v>46192</v>
      </c>
      <c r="H113" s="1">
        <v>46232</v>
      </c>
      <c r="I113" s="1">
        <v>46208</v>
      </c>
      <c r="J113" t="s">
        <v>355</v>
      </c>
      <c r="K113" s="1">
        <v>46232</v>
      </c>
      <c r="L113" s="7">
        <v>0.43</v>
      </c>
      <c r="M113" s="7">
        <v>1</v>
      </c>
      <c r="N113" s="7">
        <v>0.27906976744186046</v>
      </c>
      <c r="O113" s="7">
        <v>0.18604651162790695</v>
      </c>
      <c r="P113" s="7">
        <v>0.2558139534883721</v>
      </c>
      <c r="Q113" s="7">
        <v>0.18604651162790695</v>
      </c>
      <c r="R113" s="7">
        <v>9.3023255813953487E-2</v>
      </c>
      <c r="S113" s="7">
        <v>0.09</v>
      </c>
      <c r="T113" s="7">
        <v>1</v>
      </c>
      <c r="U113" s="7">
        <v>0.22222222222222221</v>
      </c>
      <c r="V113" s="7">
        <v>0.22222222222222221</v>
      </c>
      <c r="W113" s="7">
        <v>0.1111111111111111</v>
      </c>
      <c r="X113" s="7">
        <v>0.1111111111111111</v>
      </c>
      <c r="Y113" s="7">
        <v>0.1111111111111111</v>
      </c>
      <c r="Z113" s="7">
        <v>0.22222222222222221</v>
      </c>
      <c r="AA113" s="7">
        <v>0.11</v>
      </c>
      <c r="AB113" s="7">
        <v>1</v>
      </c>
      <c r="AC113" s="7">
        <v>0.27272727272727271</v>
      </c>
      <c r="AD113" s="7">
        <v>0.27272727272727271</v>
      </c>
      <c r="AE113" s="7">
        <v>9.0909090909090912E-2</v>
      </c>
      <c r="AF113" s="7">
        <v>0.18181818181818185</v>
      </c>
      <c r="AG113" s="7">
        <v>0.18181818181818185</v>
      </c>
      <c r="AH113" s="7">
        <v>0.36999999999999983</v>
      </c>
      <c r="AI113" s="7">
        <v>0.99999999999999956</v>
      </c>
      <c r="AJ113" s="7">
        <v>5.4054054054054029E-2</v>
      </c>
      <c r="AK113" s="7">
        <v>5.4054054054054029E-2</v>
      </c>
      <c r="AL113" s="7">
        <v>2.7027027027027015E-2</v>
      </c>
      <c r="AM113" s="7">
        <v>8.1081081081081058E-2</v>
      </c>
      <c r="AN113" s="7">
        <v>8.1081081081081058E-2</v>
      </c>
      <c r="AO113" s="7">
        <v>6.7567567567567557E-2</v>
      </c>
      <c r="AP113" s="7">
        <v>5.4054054054054029E-2</v>
      </c>
      <c r="AQ113" s="7">
        <v>1.3513513513513507E-2</v>
      </c>
      <c r="AR113" s="7">
        <v>4.0540540540540529E-2</v>
      </c>
      <c r="AS113" s="7">
        <v>1.3513513513513507E-2</v>
      </c>
      <c r="AT113" s="7">
        <v>8.1081081081081058E-2</v>
      </c>
      <c r="AU113" s="7">
        <v>5.4054054054054029E-2</v>
      </c>
      <c r="AV113" s="7">
        <v>2.7027027027027015E-2</v>
      </c>
      <c r="AW113" s="7">
        <v>5.4054054054054029E-2</v>
      </c>
      <c r="AX113" s="7">
        <v>5.4054054054054029E-2</v>
      </c>
      <c r="AY113" s="7">
        <v>2.7027027027027015E-2</v>
      </c>
      <c r="AZ113" s="7">
        <v>4.0540540540540529E-2</v>
      </c>
      <c r="BA113" s="7">
        <v>5.4054054054054029E-2</v>
      </c>
      <c r="BB113" s="7">
        <v>8.1081081081081058E-2</v>
      </c>
      <c r="BC113" s="7">
        <v>1.3513513513513507E-2</v>
      </c>
      <c r="BD113">
        <v>2.7027027027027015E-2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3" s="42">
        <f>+IF(AVANCE[[#This Row],[FECHA INICIO REAL]]="","",AVANCE[[#This Row],[FECHA INICIO REAL]]-AVANCE[[#This Row],[FECHA INICIO TEORICO]])</f>
        <v>8</v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13" s="42">
        <f>+AVANCE[[#This Row],[FECHA TERMINO  PLANIFICADO]]-AVANCE[[#This Row],[FECHA INICIO TEORICO]]</f>
        <v>24</v>
      </c>
      <c r="BK113" s="42">
        <f>+AVANCE[[#This Row],[FECHA TERMINO]]-AVANCE[[#This Row],[FECHA INICIO REAL]]</f>
        <v>40</v>
      </c>
    </row>
    <row r="114" spans="1:63" x14ac:dyDescent="0.25">
      <c r="A114" t="s">
        <v>920</v>
      </c>
      <c r="B114" t="s">
        <v>937</v>
      </c>
      <c r="C114">
        <v>2282600113</v>
      </c>
      <c r="D114" t="s">
        <v>830</v>
      </c>
      <c r="E114" s="4">
        <v>0.95999999999999985</v>
      </c>
      <c r="F114" s="1">
        <v>46185</v>
      </c>
      <c r="G114" s="1">
        <v>46198</v>
      </c>
      <c r="H114" s="1">
        <v>46230</v>
      </c>
      <c r="I114" s="1">
        <v>46209</v>
      </c>
      <c r="J114">
        <v>3</v>
      </c>
      <c r="K114" s="1"/>
      <c r="L114" s="7">
        <v>0.43</v>
      </c>
      <c r="M114" s="7">
        <v>1</v>
      </c>
      <c r="N114" s="7">
        <v>0.27906976744186046</v>
      </c>
      <c r="O114" s="7">
        <v>0.18604651162790695</v>
      </c>
      <c r="P114" s="7">
        <v>0.2558139534883721</v>
      </c>
      <c r="Q114" s="7">
        <v>0.18604651162790695</v>
      </c>
      <c r="R114" s="7">
        <v>9.3023255813953487E-2</v>
      </c>
      <c r="S114" s="7">
        <v>0.09</v>
      </c>
      <c r="T114" s="7">
        <v>1</v>
      </c>
      <c r="U114" s="7">
        <v>0.22222222222222221</v>
      </c>
      <c r="V114" s="7">
        <v>0.22222222222222221</v>
      </c>
      <c r="W114" s="7">
        <v>0.1111111111111111</v>
      </c>
      <c r="X114" s="7">
        <v>0.1111111111111111</v>
      </c>
      <c r="Y114" s="7">
        <v>0.1111111111111111</v>
      </c>
      <c r="Z114" s="7">
        <v>0.22222222222222221</v>
      </c>
      <c r="AA114" s="7">
        <v>0.11</v>
      </c>
      <c r="AB114" s="7">
        <v>1</v>
      </c>
      <c r="AC114" s="7">
        <v>0.27272727272727271</v>
      </c>
      <c r="AD114" s="7">
        <v>0.27272727272727271</v>
      </c>
      <c r="AE114" s="7">
        <v>9.0909090909090912E-2</v>
      </c>
      <c r="AF114" s="7">
        <v>0.18181818181818185</v>
      </c>
      <c r="AG114" s="7">
        <v>0.18181818181818185</v>
      </c>
      <c r="AH114" s="7">
        <v>0.32999999999999985</v>
      </c>
      <c r="AI114" s="7">
        <v>0.89189189189189155</v>
      </c>
      <c r="AJ114" s="7">
        <v>5.4054054054054029E-2</v>
      </c>
      <c r="AK114" s="7">
        <v>5.4054054054054029E-2</v>
      </c>
      <c r="AL114" s="7">
        <v>2.7027027027027015E-2</v>
      </c>
      <c r="AM114" s="7">
        <v>8.1081081081081058E-2</v>
      </c>
      <c r="AN114" s="7">
        <v>8.1081081081081058E-2</v>
      </c>
      <c r="AO114" s="7">
        <v>0</v>
      </c>
      <c r="AP114" s="7">
        <v>5.4054054054054029E-2</v>
      </c>
      <c r="AQ114" s="7">
        <v>1.3513513513513507E-2</v>
      </c>
      <c r="AR114" s="7">
        <v>4.0540540540540529E-2</v>
      </c>
      <c r="AS114" s="7">
        <v>1.3513513513513507E-2</v>
      </c>
      <c r="AT114" s="7">
        <v>8.1081081081081058E-2</v>
      </c>
      <c r="AU114" s="7">
        <v>5.4054054054054029E-2</v>
      </c>
      <c r="AV114" s="7">
        <v>2.7027027027027015E-2</v>
      </c>
      <c r="AW114" s="7">
        <v>5.4054054054054029E-2</v>
      </c>
      <c r="AX114" s="7">
        <v>5.4054054054054029E-2</v>
      </c>
      <c r="AY114" s="7">
        <v>2.7027027027027015E-2</v>
      </c>
      <c r="AZ114" s="7">
        <v>0</v>
      </c>
      <c r="BA114" s="7">
        <v>5.4054054054054029E-2</v>
      </c>
      <c r="BB114" s="7">
        <v>8.1081081081081058E-2</v>
      </c>
      <c r="BC114" s="7">
        <v>1.3513513513513507E-2</v>
      </c>
      <c r="BD114">
        <v>2.7027027027027015E-2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4" s="42">
        <f>+IF(AVANCE[[#This Row],[FECHA INICIO REAL]]="","",AVANCE[[#This Row],[FECHA INICIO REAL]]-AVANCE[[#This Row],[FECHA INICIO TEORICO]])</f>
        <v>13</v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4" s="42">
        <f>+AVANCE[[#This Row],[FECHA TERMINO  PLANIFICADO]]-AVANCE[[#This Row],[FECHA INICIO TEORICO]]</f>
        <v>24</v>
      </c>
      <c r="BK114" s="42">
        <f>+AVANCE[[#This Row],[FECHA TERMINO]]-AVANCE[[#This Row],[FECHA INICIO REAL]]</f>
        <v>-46198</v>
      </c>
    </row>
    <row r="115" spans="1:63" x14ac:dyDescent="0.25">
      <c r="A115" t="s">
        <v>920</v>
      </c>
      <c r="B115" t="s">
        <v>938</v>
      </c>
      <c r="C115">
        <v>2302600114</v>
      </c>
      <c r="D115" t="s">
        <v>831</v>
      </c>
      <c r="E115" s="4">
        <v>0.91499999999999981</v>
      </c>
      <c r="F115" s="1">
        <v>46185</v>
      </c>
      <c r="G115" s="1">
        <v>46198</v>
      </c>
      <c r="H115" s="1">
        <v>46232</v>
      </c>
      <c r="I115" s="1">
        <v>46219</v>
      </c>
      <c r="J115">
        <v>1</v>
      </c>
      <c r="K115" s="1"/>
      <c r="L115" s="7">
        <v>0.43</v>
      </c>
      <c r="M115" s="7">
        <v>1</v>
      </c>
      <c r="N115" s="7">
        <v>0.27906976744186046</v>
      </c>
      <c r="O115" s="7">
        <v>0.18604651162790695</v>
      </c>
      <c r="P115" s="7">
        <v>0.2558139534883721</v>
      </c>
      <c r="Q115" s="7">
        <v>0.18604651162790695</v>
      </c>
      <c r="R115" s="7">
        <v>9.3023255813953487E-2</v>
      </c>
      <c r="S115" s="7">
        <v>0.05</v>
      </c>
      <c r="T115" s="7">
        <v>0.55555555555555558</v>
      </c>
      <c r="U115" s="7">
        <v>0.22222222222222221</v>
      </c>
      <c r="V115" s="7">
        <v>0.22222222222222221</v>
      </c>
      <c r="W115" s="7">
        <v>0</v>
      </c>
      <c r="X115" s="7">
        <v>0.1111111111111111</v>
      </c>
      <c r="Y115" s="7">
        <v>0</v>
      </c>
      <c r="Z115" s="7">
        <v>0</v>
      </c>
      <c r="AA115" s="7">
        <v>0.11</v>
      </c>
      <c r="AB115" s="7">
        <v>1</v>
      </c>
      <c r="AC115" s="7">
        <v>0.27272727272727271</v>
      </c>
      <c r="AD115" s="7">
        <v>0.27272727272727271</v>
      </c>
      <c r="AE115" s="7">
        <v>9.0909090909090912E-2</v>
      </c>
      <c r="AF115" s="7">
        <v>0.18181818181818185</v>
      </c>
      <c r="AG115" s="7">
        <v>0.18181818181818185</v>
      </c>
      <c r="AH115" s="7">
        <v>0.32499999999999984</v>
      </c>
      <c r="AI115" s="7">
        <v>0.87837837837837796</v>
      </c>
      <c r="AJ115" s="7">
        <v>5.4054054054054029E-2</v>
      </c>
      <c r="AK115" s="7">
        <v>5.4054054054054029E-2</v>
      </c>
      <c r="AL115" s="7">
        <v>2.7027027027027015E-2</v>
      </c>
      <c r="AM115" s="7">
        <v>8.1081081081081058E-2</v>
      </c>
      <c r="AN115" s="7">
        <v>8.1081081081081058E-2</v>
      </c>
      <c r="AO115" s="7">
        <v>6.7567567567567557E-2</v>
      </c>
      <c r="AP115" s="7">
        <v>5.4054054054054029E-2</v>
      </c>
      <c r="AQ115" s="7">
        <v>1.3513513513513507E-2</v>
      </c>
      <c r="AR115" s="7">
        <v>4.0540540540540529E-2</v>
      </c>
      <c r="AS115" s="7">
        <v>1.3513513513513507E-2</v>
      </c>
      <c r="AT115" s="7">
        <v>8.1081081081081058E-2</v>
      </c>
      <c r="AU115" s="7">
        <v>5.4054054054054029E-2</v>
      </c>
      <c r="AV115" s="7">
        <v>2.7027027027027015E-2</v>
      </c>
      <c r="AW115" s="7">
        <v>5.4054054054054029E-2</v>
      </c>
      <c r="AX115" s="7">
        <v>5.4054054054054029E-2</v>
      </c>
      <c r="AY115" s="7">
        <v>2.7027027027027015E-2</v>
      </c>
      <c r="AZ115" s="7">
        <v>0</v>
      </c>
      <c r="BA115" s="7">
        <v>5.4054054054054029E-2</v>
      </c>
      <c r="BB115" s="7">
        <v>0</v>
      </c>
      <c r="BC115" s="7">
        <v>1.3513513513513507E-2</v>
      </c>
      <c r="BD115">
        <v>2.7027027027027015E-2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5" s="42">
        <f>+IF(AVANCE[[#This Row],[FECHA INICIO REAL]]="","",AVANCE[[#This Row],[FECHA INICIO REAL]]-AVANCE[[#This Row],[FECHA INICIO TEORICO]])</f>
        <v>13</v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5" s="42">
        <f>+AVANCE[[#This Row],[FECHA TERMINO  PLANIFICADO]]-AVANCE[[#This Row],[FECHA INICIO TEORICO]]</f>
        <v>34</v>
      </c>
      <c r="BK115" s="42">
        <f>+AVANCE[[#This Row],[FECHA TERMINO]]-AVANCE[[#This Row],[FECHA INICIO REAL]]</f>
        <v>-46198</v>
      </c>
    </row>
    <row r="116" spans="1:63" x14ac:dyDescent="0.25">
      <c r="A116" t="s">
        <v>920</v>
      </c>
      <c r="B116" t="s">
        <v>939</v>
      </c>
      <c r="C116">
        <v>2302600115</v>
      </c>
      <c r="D116" t="s">
        <v>831</v>
      </c>
      <c r="E116" s="4">
        <v>0.98499999999999988</v>
      </c>
      <c r="F116" s="1">
        <v>46188</v>
      </c>
      <c r="G116" s="1">
        <v>46199</v>
      </c>
      <c r="H116" s="1">
        <v>46231</v>
      </c>
      <c r="I116" s="1">
        <v>46222</v>
      </c>
      <c r="J116">
        <v>2</v>
      </c>
      <c r="K116" s="1"/>
      <c r="L116" s="7">
        <v>0.43</v>
      </c>
      <c r="M116" s="7">
        <v>1</v>
      </c>
      <c r="N116" s="7">
        <v>0.27906976744186046</v>
      </c>
      <c r="O116" s="7">
        <v>0.18604651162790695</v>
      </c>
      <c r="P116" s="7">
        <v>0.2558139534883721</v>
      </c>
      <c r="Q116" s="7">
        <v>0.18604651162790695</v>
      </c>
      <c r="R116" s="7">
        <v>9.3023255813953487E-2</v>
      </c>
      <c r="S116" s="7">
        <v>0.09</v>
      </c>
      <c r="T116" s="7">
        <v>1</v>
      </c>
      <c r="U116" s="7">
        <v>0.22222222222222221</v>
      </c>
      <c r="V116" s="7">
        <v>0.22222222222222221</v>
      </c>
      <c r="W116" s="7">
        <v>0.1111111111111111</v>
      </c>
      <c r="X116" s="7">
        <v>0.1111111111111111</v>
      </c>
      <c r="Y116" s="7">
        <v>0.1111111111111111</v>
      </c>
      <c r="Z116" s="7">
        <v>0.22222222222222221</v>
      </c>
      <c r="AA116" s="7">
        <v>0.11</v>
      </c>
      <c r="AB116" s="7">
        <v>1</v>
      </c>
      <c r="AC116" s="7">
        <v>0.27272727272727271</v>
      </c>
      <c r="AD116" s="7">
        <v>0.27272727272727271</v>
      </c>
      <c r="AE116" s="7">
        <v>9.0909090909090912E-2</v>
      </c>
      <c r="AF116" s="7">
        <v>0.18181818181818185</v>
      </c>
      <c r="AG116" s="7">
        <v>0.18181818181818185</v>
      </c>
      <c r="AH116" s="7">
        <v>0.35499999999999982</v>
      </c>
      <c r="AI116" s="7">
        <v>0.95945945945945899</v>
      </c>
      <c r="AJ116" s="7">
        <v>5.4054054054054029E-2</v>
      </c>
      <c r="AK116" s="7">
        <v>5.4054054054054029E-2</v>
      </c>
      <c r="AL116" s="7">
        <v>2.7027027027027015E-2</v>
      </c>
      <c r="AM116" s="7">
        <v>8.1081081081081058E-2</v>
      </c>
      <c r="AN116" s="7">
        <v>8.1081081081081058E-2</v>
      </c>
      <c r="AO116" s="7">
        <v>6.7567567567567557E-2</v>
      </c>
      <c r="AP116" s="7">
        <v>5.4054054054054029E-2</v>
      </c>
      <c r="AQ116" s="7">
        <v>1.3513513513513507E-2</v>
      </c>
      <c r="AR116" s="7">
        <v>4.0540540540540529E-2</v>
      </c>
      <c r="AS116" s="7">
        <v>1.3513513513513507E-2</v>
      </c>
      <c r="AT116" s="7">
        <v>8.1081081081081058E-2</v>
      </c>
      <c r="AU116" s="7">
        <v>5.4054054054054029E-2</v>
      </c>
      <c r="AV116" s="7">
        <v>2.7027027027027015E-2</v>
      </c>
      <c r="AW116" s="7">
        <v>5.4054054054054029E-2</v>
      </c>
      <c r="AX116" s="7">
        <v>5.4054054054054029E-2</v>
      </c>
      <c r="AY116" s="7">
        <v>2.7027027027027015E-2</v>
      </c>
      <c r="AZ116" s="7">
        <v>0</v>
      </c>
      <c r="BA116" s="7">
        <v>5.4054054054054029E-2</v>
      </c>
      <c r="BB116" s="7">
        <v>8.1081081081081058E-2</v>
      </c>
      <c r="BC116" s="7">
        <v>1.3513513513513507E-2</v>
      </c>
      <c r="BD116">
        <v>2.7027027027027015E-2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6" s="42">
        <f>+IF(AVANCE[[#This Row],[FECHA INICIO REAL]]="","",AVANCE[[#This Row],[FECHA INICIO REAL]]-AVANCE[[#This Row],[FECHA INICIO TEORICO]])</f>
        <v>11</v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6" s="42">
        <f>+AVANCE[[#This Row],[FECHA TERMINO  PLANIFICADO]]-AVANCE[[#This Row],[FECHA INICIO TEORICO]]</f>
        <v>34</v>
      </c>
      <c r="BK116" s="42">
        <f>+AVANCE[[#This Row],[FECHA TERMINO]]-AVANCE[[#This Row],[FECHA INICIO REAL]]</f>
        <v>-46199</v>
      </c>
    </row>
    <row r="117" spans="1:63" x14ac:dyDescent="0.25">
      <c r="A117" t="s">
        <v>920</v>
      </c>
      <c r="B117" t="s">
        <v>940</v>
      </c>
      <c r="C117">
        <v>2282600116</v>
      </c>
      <c r="D117" t="s">
        <v>830</v>
      </c>
      <c r="E117" s="4">
        <v>0.94</v>
      </c>
      <c r="F117" s="1">
        <v>46188</v>
      </c>
      <c r="G117" s="1">
        <v>46199</v>
      </c>
      <c r="H117" s="1">
        <v>46232</v>
      </c>
      <c r="I117" s="1">
        <v>46212</v>
      </c>
      <c r="J117">
        <v>1</v>
      </c>
      <c r="K117" s="1"/>
      <c r="L117" s="7">
        <v>0.43</v>
      </c>
      <c r="M117" s="7">
        <v>1</v>
      </c>
      <c r="N117" s="7">
        <v>0.27906976744186046</v>
      </c>
      <c r="O117" s="7">
        <v>0.18604651162790695</v>
      </c>
      <c r="P117" s="7">
        <v>0.2558139534883721</v>
      </c>
      <c r="Q117" s="7">
        <v>0.18604651162790695</v>
      </c>
      <c r="R117" s="7">
        <v>9.3023255813953487E-2</v>
      </c>
      <c r="S117" s="7">
        <v>0.09</v>
      </c>
      <c r="T117" s="7">
        <v>1</v>
      </c>
      <c r="U117" s="7">
        <v>0.22222222222222221</v>
      </c>
      <c r="V117" s="7">
        <v>0.22222222222222221</v>
      </c>
      <c r="W117" s="7">
        <v>0.1111111111111111</v>
      </c>
      <c r="X117" s="7">
        <v>0.1111111111111111</v>
      </c>
      <c r="Y117" s="7">
        <v>0.1111111111111111</v>
      </c>
      <c r="Z117" s="7">
        <v>0.22222222222222221</v>
      </c>
      <c r="AA117" s="7">
        <v>0.11</v>
      </c>
      <c r="AB117" s="7">
        <v>1</v>
      </c>
      <c r="AC117" s="7">
        <v>0.27272727272727271</v>
      </c>
      <c r="AD117" s="7">
        <v>0.27272727272727271</v>
      </c>
      <c r="AE117" s="7">
        <v>9.0909090909090912E-2</v>
      </c>
      <c r="AF117" s="7">
        <v>0.18181818181818185</v>
      </c>
      <c r="AG117" s="7">
        <v>0.18181818181818185</v>
      </c>
      <c r="AH117" s="7">
        <v>0.30999999999999989</v>
      </c>
      <c r="AI117" s="7">
        <v>0.8378378378378375</v>
      </c>
      <c r="AJ117" s="7">
        <v>5.4054054054054029E-2</v>
      </c>
      <c r="AK117" s="7">
        <v>5.4054054054054029E-2</v>
      </c>
      <c r="AL117" s="7">
        <v>2.7027027027027015E-2</v>
      </c>
      <c r="AM117" s="7">
        <v>8.1081081081081058E-2</v>
      </c>
      <c r="AN117" s="7">
        <v>8.1081081081081058E-2</v>
      </c>
      <c r="AO117" s="7">
        <v>6.7567567567567557E-2</v>
      </c>
      <c r="AP117" s="7">
        <v>5.4054054054054029E-2</v>
      </c>
      <c r="AQ117" s="7">
        <v>1.3513513513513507E-2</v>
      </c>
      <c r="AR117" s="7">
        <v>0</v>
      </c>
      <c r="AS117" s="7">
        <v>1.3513513513513507E-2</v>
      </c>
      <c r="AT117" s="7">
        <v>8.1081081081081058E-2</v>
      </c>
      <c r="AU117" s="7">
        <v>5.4054054054054029E-2</v>
      </c>
      <c r="AV117" s="7">
        <v>0</v>
      </c>
      <c r="AW117" s="7">
        <v>5.4054054054054029E-2</v>
      </c>
      <c r="AX117" s="7">
        <v>5.4054054054054029E-2</v>
      </c>
      <c r="AY117" s="7">
        <v>2.7027027027027015E-2</v>
      </c>
      <c r="AZ117" s="7">
        <v>0</v>
      </c>
      <c r="BA117" s="7">
        <v>0</v>
      </c>
      <c r="BB117" s="7">
        <v>8.1081081081081058E-2</v>
      </c>
      <c r="BC117" s="7">
        <v>1.3513513513513507E-2</v>
      </c>
      <c r="BD117">
        <v>2.7027027027027015E-2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7" s="42">
        <f>+IF(AVANCE[[#This Row],[FECHA INICIO REAL]]="","",AVANCE[[#This Row],[FECHA INICIO REAL]]-AVANCE[[#This Row],[FECHA INICIO TEORICO]])</f>
        <v>11</v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7" s="42">
        <f>+AVANCE[[#This Row],[FECHA TERMINO  PLANIFICADO]]-AVANCE[[#This Row],[FECHA INICIO TEORICO]]</f>
        <v>24</v>
      </c>
      <c r="BK117" s="42">
        <f>+AVANCE[[#This Row],[FECHA TERMINO]]-AVANCE[[#This Row],[FECHA INICIO REAL]]</f>
        <v>-46199</v>
      </c>
    </row>
    <row r="118" spans="1:63" x14ac:dyDescent="0.25">
      <c r="A118" t="s">
        <v>920</v>
      </c>
      <c r="B118" t="s">
        <v>941</v>
      </c>
      <c r="C118">
        <v>2282600117</v>
      </c>
      <c r="D118" t="s">
        <v>830</v>
      </c>
      <c r="E118" s="4">
        <v>0.98499999999999988</v>
      </c>
      <c r="F118" s="1">
        <v>46189</v>
      </c>
      <c r="G118" s="1">
        <v>46199</v>
      </c>
      <c r="H118" s="1">
        <v>46230</v>
      </c>
      <c r="I118" s="1">
        <v>46213</v>
      </c>
      <c r="J118">
        <v>3</v>
      </c>
      <c r="K118" s="1"/>
      <c r="L118" s="7">
        <v>0.43</v>
      </c>
      <c r="M118" s="7">
        <v>1</v>
      </c>
      <c r="N118" s="7">
        <v>0.27906976744186046</v>
      </c>
      <c r="O118" s="7">
        <v>0.18604651162790695</v>
      </c>
      <c r="P118" s="7">
        <v>0.2558139534883721</v>
      </c>
      <c r="Q118" s="7">
        <v>0.18604651162790695</v>
      </c>
      <c r="R118" s="7">
        <v>9.3023255813953487E-2</v>
      </c>
      <c r="S118" s="7">
        <v>0.09</v>
      </c>
      <c r="T118" s="7">
        <v>1</v>
      </c>
      <c r="U118" s="7">
        <v>0.22222222222222221</v>
      </c>
      <c r="V118" s="7">
        <v>0.22222222222222221</v>
      </c>
      <c r="W118" s="7">
        <v>0.1111111111111111</v>
      </c>
      <c r="X118" s="7">
        <v>0.1111111111111111</v>
      </c>
      <c r="Y118" s="7">
        <v>0.1111111111111111</v>
      </c>
      <c r="Z118" s="7">
        <v>0.22222222222222221</v>
      </c>
      <c r="AA118" s="7">
        <v>0.11</v>
      </c>
      <c r="AB118" s="7">
        <v>1</v>
      </c>
      <c r="AC118" s="7">
        <v>0.27272727272727271</v>
      </c>
      <c r="AD118" s="7">
        <v>0.27272727272727271</v>
      </c>
      <c r="AE118" s="7">
        <v>9.0909090909090912E-2</v>
      </c>
      <c r="AF118" s="7">
        <v>0.18181818181818185</v>
      </c>
      <c r="AG118" s="7">
        <v>0.18181818181818185</v>
      </c>
      <c r="AH118" s="7">
        <v>0.35499999999999982</v>
      </c>
      <c r="AI118" s="7">
        <v>0.95945945945945899</v>
      </c>
      <c r="AJ118" s="7">
        <v>5.4054054054054029E-2</v>
      </c>
      <c r="AK118" s="7">
        <v>5.4054054054054029E-2</v>
      </c>
      <c r="AL118" s="7">
        <v>2.7027027027027015E-2</v>
      </c>
      <c r="AM118" s="7">
        <v>8.1081081081081058E-2</v>
      </c>
      <c r="AN118" s="7">
        <v>8.1081081081081058E-2</v>
      </c>
      <c r="AO118" s="7">
        <v>6.7567567567567557E-2</v>
      </c>
      <c r="AP118" s="7">
        <v>5.4054054054054029E-2</v>
      </c>
      <c r="AQ118" s="7">
        <v>1.3513513513513507E-2</v>
      </c>
      <c r="AR118" s="7">
        <v>4.0540540540540529E-2</v>
      </c>
      <c r="AS118" s="7">
        <v>1.3513513513513507E-2</v>
      </c>
      <c r="AT118" s="7">
        <v>8.1081081081081058E-2</v>
      </c>
      <c r="AU118" s="7">
        <v>5.4054054054054029E-2</v>
      </c>
      <c r="AV118" s="7">
        <v>2.7027027027027015E-2</v>
      </c>
      <c r="AW118" s="7">
        <v>5.4054054054054029E-2</v>
      </c>
      <c r="AX118" s="7">
        <v>5.4054054054054029E-2</v>
      </c>
      <c r="AY118" s="7">
        <v>2.7027027027027015E-2</v>
      </c>
      <c r="AZ118" s="7">
        <v>0</v>
      </c>
      <c r="BA118" s="7">
        <v>5.4054054054054029E-2</v>
      </c>
      <c r="BB118" s="7">
        <v>8.1081081081081058E-2</v>
      </c>
      <c r="BC118" s="7">
        <v>1.3513513513513507E-2</v>
      </c>
      <c r="BD118">
        <v>2.7027027027027015E-2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8" s="42">
        <f>+IF(AVANCE[[#This Row],[FECHA INICIO REAL]]="","",AVANCE[[#This Row],[FECHA INICIO REAL]]-AVANCE[[#This Row],[FECHA INICIO TEORICO]])</f>
        <v>10</v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8" s="42">
        <f>+AVANCE[[#This Row],[FECHA TERMINO  PLANIFICADO]]-AVANCE[[#This Row],[FECHA INICIO TEORICO]]</f>
        <v>24</v>
      </c>
      <c r="BK118" s="42">
        <f>+AVANCE[[#This Row],[FECHA TERMINO]]-AVANCE[[#This Row],[FECHA INICIO REAL]]</f>
        <v>-46199</v>
      </c>
    </row>
    <row r="119" spans="1:63" x14ac:dyDescent="0.25">
      <c r="A119" t="s">
        <v>920</v>
      </c>
      <c r="B119" t="s">
        <v>942</v>
      </c>
      <c r="C119">
        <v>2302600118</v>
      </c>
      <c r="D119" t="s">
        <v>831</v>
      </c>
      <c r="E119" s="4">
        <v>0.8999999999999998</v>
      </c>
      <c r="F119" s="1">
        <v>46189</v>
      </c>
      <c r="G119" s="1">
        <v>46199</v>
      </c>
      <c r="H119" s="1">
        <v>46232</v>
      </c>
      <c r="I119" s="1">
        <v>46223</v>
      </c>
      <c r="J119">
        <v>1</v>
      </c>
      <c r="K119" s="1"/>
      <c r="L119" s="7">
        <v>0.43</v>
      </c>
      <c r="M119" s="7">
        <v>1</v>
      </c>
      <c r="N119" s="7">
        <v>0.27906976744186046</v>
      </c>
      <c r="O119" s="7">
        <v>0.18604651162790695</v>
      </c>
      <c r="P119" s="7">
        <v>0.2558139534883721</v>
      </c>
      <c r="Q119" s="7">
        <v>0.18604651162790695</v>
      </c>
      <c r="R119" s="7">
        <v>9.3023255813953487E-2</v>
      </c>
      <c r="S119" s="7">
        <v>0.09</v>
      </c>
      <c r="T119" s="7">
        <v>1</v>
      </c>
      <c r="U119" s="7">
        <v>0.22222222222222221</v>
      </c>
      <c r="V119" s="7">
        <v>0.22222222222222221</v>
      </c>
      <c r="W119" s="7">
        <v>0.1111111111111111</v>
      </c>
      <c r="X119" s="7">
        <v>0.1111111111111111</v>
      </c>
      <c r="Y119" s="7">
        <v>0.1111111111111111</v>
      </c>
      <c r="Z119" s="7">
        <v>0.22222222222222221</v>
      </c>
      <c r="AA119" s="7">
        <v>0.11</v>
      </c>
      <c r="AB119" s="7">
        <v>1</v>
      </c>
      <c r="AC119" s="7">
        <v>0.27272727272727271</v>
      </c>
      <c r="AD119" s="7">
        <v>0.27272727272727271</v>
      </c>
      <c r="AE119" s="7">
        <v>9.0909090909090912E-2</v>
      </c>
      <c r="AF119" s="7">
        <v>0.18181818181818185</v>
      </c>
      <c r="AG119" s="7">
        <v>0.18181818181818185</v>
      </c>
      <c r="AH119" s="7">
        <v>0.26999999999999985</v>
      </c>
      <c r="AI119" s="7">
        <v>0.72972972972972949</v>
      </c>
      <c r="AJ119" s="7">
        <v>5.4054054054054029E-2</v>
      </c>
      <c r="AK119" s="7">
        <v>5.4054054054054029E-2</v>
      </c>
      <c r="AL119" s="7">
        <v>2.7027027027027015E-2</v>
      </c>
      <c r="AM119" s="7">
        <v>8.1081081081081058E-2</v>
      </c>
      <c r="AN119" s="7">
        <v>8.1081081081081058E-2</v>
      </c>
      <c r="AO119" s="7">
        <v>0</v>
      </c>
      <c r="AP119" s="7">
        <v>5.4054054054054029E-2</v>
      </c>
      <c r="AQ119" s="7">
        <v>1.3513513513513507E-2</v>
      </c>
      <c r="AR119" s="7">
        <v>4.0540540540540529E-2</v>
      </c>
      <c r="AS119" s="7">
        <v>1.3513513513513507E-2</v>
      </c>
      <c r="AT119" s="7">
        <v>0</v>
      </c>
      <c r="AU119" s="7">
        <v>5.4054054054054029E-2</v>
      </c>
      <c r="AV119" s="7">
        <v>2.7027027027027015E-2</v>
      </c>
      <c r="AW119" s="7">
        <v>5.4054054054054029E-2</v>
      </c>
      <c r="AX119" s="7">
        <v>5.4054054054054029E-2</v>
      </c>
      <c r="AY119" s="7">
        <v>2.7027027027027015E-2</v>
      </c>
      <c r="AZ119" s="7">
        <v>0</v>
      </c>
      <c r="BA119" s="7">
        <v>5.4054054054054029E-2</v>
      </c>
      <c r="BB119" s="7">
        <v>0</v>
      </c>
      <c r="BC119" s="7">
        <v>1.3513513513513507E-2</v>
      </c>
      <c r="BD119">
        <v>2.7027027027027015E-2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9" s="42">
        <f>+IF(AVANCE[[#This Row],[FECHA INICIO REAL]]="","",AVANCE[[#This Row],[FECHA INICIO REAL]]-AVANCE[[#This Row],[FECHA INICIO TEORICO]])</f>
        <v>10</v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9" s="42">
        <f>+AVANCE[[#This Row],[FECHA TERMINO  PLANIFICADO]]-AVANCE[[#This Row],[FECHA INICIO TEORICO]]</f>
        <v>34</v>
      </c>
      <c r="BK119" s="42">
        <f>+AVANCE[[#This Row],[FECHA TERMINO]]-AVANCE[[#This Row],[FECHA INICIO REAL]]</f>
        <v>-46199</v>
      </c>
    </row>
    <row r="120" spans="1:63" x14ac:dyDescent="0.25">
      <c r="A120" t="s">
        <v>920</v>
      </c>
      <c r="B120" t="s">
        <v>943</v>
      </c>
      <c r="C120">
        <v>2302600119</v>
      </c>
      <c r="D120" t="s">
        <v>831</v>
      </c>
      <c r="E120" s="4">
        <v>0.82999999999999985</v>
      </c>
      <c r="F120" s="1">
        <v>46190</v>
      </c>
      <c r="G120" s="1">
        <v>46199</v>
      </c>
      <c r="H120" s="1">
        <v>46232</v>
      </c>
      <c r="I120" s="1">
        <v>46224</v>
      </c>
      <c r="J120">
        <v>1</v>
      </c>
      <c r="K120" s="1"/>
      <c r="L120" s="7">
        <v>0.43</v>
      </c>
      <c r="M120" s="7">
        <v>1</v>
      </c>
      <c r="N120" s="7">
        <v>0.27906976744186046</v>
      </c>
      <c r="O120" s="7">
        <v>0.18604651162790695</v>
      </c>
      <c r="P120" s="7">
        <v>0.2558139534883721</v>
      </c>
      <c r="Q120" s="7">
        <v>0.18604651162790695</v>
      </c>
      <c r="R120" s="7">
        <v>9.3023255813953487E-2</v>
      </c>
      <c r="S120" s="7">
        <v>3.9999999999999994E-2</v>
      </c>
      <c r="T120" s="7">
        <v>0.44444444444444442</v>
      </c>
      <c r="U120" s="7">
        <v>0.22222222222222221</v>
      </c>
      <c r="V120" s="7">
        <v>0.22222222222222221</v>
      </c>
      <c r="W120" s="7">
        <v>0</v>
      </c>
      <c r="X120" s="7">
        <v>0</v>
      </c>
      <c r="Y120" s="7">
        <v>0</v>
      </c>
      <c r="Z120" s="7">
        <v>0</v>
      </c>
      <c r="AA120" s="7">
        <v>0.11</v>
      </c>
      <c r="AB120" s="7">
        <v>1</v>
      </c>
      <c r="AC120" s="7">
        <v>0.27272727272727271</v>
      </c>
      <c r="AD120" s="7">
        <v>0.27272727272727271</v>
      </c>
      <c r="AE120" s="7">
        <v>9.0909090909090912E-2</v>
      </c>
      <c r="AF120" s="7">
        <v>0.18181818181818185</v>
      </c>
      <c r="AG120" s="7">
        <v>0.18181818181818185</v>
      </c>
      <c r="AH120" s="7">
        <v>0.24999999999999992</v>
      </c>
      <c r="AI120" s="7">
        <v>0.67567567567567544</v>
      </c>
      <c r="AJ120" s="7">
        <v>5.4054054054054029E-2</v>
      </c>
      <c r="AK120" s="7">
        <v>5.4054054054054029E-2</v>
      </c>
      <c r="AL120" s="7">
        <v>2.7027027027027015E-2</v>
      </c>
      <c r="AM120" s="7">
        <v>8.1081081081081058E-2</v>
      </c>
      <c r="AN120" s="7">
        <v>8.1081081081081058E-2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8.1081081081081058E-2</v>
      </c>
      <c r="AU120" s="7">
        <v>5.4054054054054029E-2</v>
      </c>
      <c r="AV120" s="7">
        <v>2.7027027027027015E-2</v>
      </c>
      <c r="AW120" s="7">
        <v>5.4054054054054029E-2</v>
      </c>
      <c r="AX120" s="7">
        <v>5.4054054054054029E-2</v>
      </c>
      <c r="AY120" s="7">
        <v>2.7027027027027015E-2</v>
      </c>
      <c r="AZ120" s="7">
        <v>0</v>
      </c>
      <c r="BA120" s="7">
        <v>5.4054054054054029E-2</v>
      </c>
      <c r="BB120" s="7">
        <v>0</v>
      </c>
      <c r="BC120" s="7">
        <v>0</v>
      </c>
      <c r="BD120">
        <v>2.7027027027027015E-2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0" s="42">
        <f>+IF(AVANCE[[#This Row],[FECHA INICIO REAL]]="","",AVANCE[[#This Row],[FECHA INICIO REAL]]-AVANCE[[#This Row],[FECHA INICIO TEORICO]])</f>
        <v>9</v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0" s="42">
        <f>+AVANCE[[#This Row],[FECHA TERMINO  PLANIFICADO]]-AVANCE[[#This Row],[FECHA INICIO TEORICO]]</f>
        <v>34</v>
      </c>
      <c r="BK120" s="42">
        <f>+AVANCE[[#This Row],[FECHA TERMINO]]-AVANCE[[#This Row],[FECHA INICIO REAL]]</f>
        <v>-46199</v>
      </c>
    </row>
    <row r="121" spans="1:63" x14ac:dyDescent="0.25">
      <c r="A121" t="s">
        <v>920</v>
      </c>
      <c r="B121" t="s">
        <v>944</v>
      </c>
      <c r="C121">
        <v>2282600120</v>
      </c>
      <c r="D121" t="s">
        <v>830</v>
      </c>
      <c r="E121" s="4">
        <v>0.96999999999999986</v>
      </c>
      <c r="F121" s="1">
        <v>46190</v>
      </c>
      <c r="G121" s="1">
        <v>46198</v>
      </c>
      <c r="H121" s="1">
        <v>46232</v>
      </c>
      <c r="I121" s="1">
        <v>46214</v>
      </c>
      <c r="J121">
        <v>1</v>
      </c>
      <c r="K121" s="1"/>
      <c r="L121" s="7">
        <v>0.43</v>
      </c>
      <c r="M121" s="7">
        <v>1</v>
      </c>
      <c r="N121" s="7">
        <v>0.27906976744186046</v>
      </c>
      <c r="O121" s="7">
        <v>0.18604651162790695</v>
      </c>
      <c r="P121" s="7">
        <v>0.2558139534883721</v>
      </c>
      <c r="Q121" s="7">
        <v>0.18604651162790695</v>
      </c>
      <c r="R121" s="7">
        <v>9.3023255813953487E-2</v>
      </c>
      <c r="S121" s="7">
        <v>0.09</v>
      </c>
      <c r="T121" s="7">
        <v>1</v>
      </c>
      <c r="U121" s="7">
        <v>0.22222222222222221</v>
      </c>
      <c r="V121" s="7">
        <v>0.22222222222222221</v>
      </c>
      <c r="W121" s="7">
        <v>0.1111111111111111</v>
      </c>
      <c r="X121" s="7">
        <v>0.1111111111111111</v>
      </c>
      <c r="Y121" s="7">
        <v>0.1111111111111111</v>
      </c>
      <c r="Z121" s="7">
        <v>0.22222222222222221</v>
      </c>
      <c r="AA121" s="7">
        <v>0.11</v>
      </c>
      <c r="AB121" s="7">
        <v>1</v>
      </c>
      <c r="AC121" s="7">
        <v>0.27272727272727271</v>
      </c>
      <c r="AD121" s="7">
        <v>0.27272727272727271</v>
      </c>
      <c r="AE121" s="7">
        <v>9.0909090909090912E-2</v>
      </c>
      <c r="AF121" s="7">
        <v>0.18181818181818185</v>
      </c>
      <c r="AG121" s="7">
        <v>0.18181818181818185</v>
      </c>
      <c r="AH121" s="7">
        <v>0.33999999999999986</v>
      </c>
      <c r="AI121" s="7">
        <v>0.91891891891891853</v>
      </c>
      <c r="AJ121" s="7">
        <v>5.4054054054054029E-2</v>
      </c>
      <c r="AK121" s="7">
        <v>5.4054054054054029E-2</v>
      </c>
      <c r="AL121" s="7">
        <v>2.7027027027027015E-2</v>
      </c>
      <c r="AM121" s="7">
        <v>8.1081081081081058E-2</v>
      </c>
      <c r="AN121" s="7">
        <v>8.1081081081081058E-2</v>
      </c>
      <c r="AO121" s="7">
        <v>6.7567567567567557E-2</v>
      </c>
      <c r="AP121" s="7">
        <v>5.4054054054054029E-2</v>
      </c>
      <c r="AQ121" s="7">
        <v>1.3513513513513507E-2</v>
      </c>
      <c r="AR121" s="7">
        <v>0</v>
      </c>
      <c r="AS121" s="7">
        <v>1.3513513513513507E-2</v>
      </c>
      <c r="AT121" s="7">
        <v>8.1081081081081058E-2</v>
      </c>
      <c r="AU121" s="7">
        <v>5.4054054054054029E-2</v>
      </c>
      <c r="AV121" s="7">
        <v>2.7027027027027015E-2</v>
      </c>
      <c r="AW121" s="7">
        <v>5.4054054054054029E-2</v>
      </c>
      <c r="AX121" s="7">
        <v>5.4054054054054029E-2</v>
      </c>
      <c r="AY121" s="7">
        <v>2.7027027027027015E-2</v>
      </c>
      <c r="AZ121" s="7">
        <v>0</v>
      </c>
      <c r="BA121" s="7">
        <v>5.4054054054054029E-2</v>
      </c>
      <c r="BB121" s="7">
        <v>8.1081081081081058E-2</v>
      </c>
      <c r="BC121" s="7">
        <v>1.3513513513513507E-2</v>
      </c>
      <c r="BD121">
        <v>2.7027027027027015E-2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21" s="42">
        <f>+IF(AVANCE[[#This Row],[FECHA INICIO REAL]]="","",AVANCE[[#This Row],[FECHA INICIO REAL]]-AVANCE[[#This Row],[FECHA INICIO TEORICO]])</f>
        <v>8</v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1" s="42">
        <f>+AVANCE[[#This Row],[FECHA TERMINO  PLANIFICADO]]-AVANCE[[#This Row],[FECHA INICIO TEORICO]]</f>
        <v>24</v>
      </c>
      <c r="BK121" s="42">
        <f>+AVANCE[[#This Row],[FECHA TERMINO]]-AVANCE[[#This Row],[FECHA INICIO REAL]]</f>
        <v>-46198</v>
      </c>
    </row>
    <row r="122" spans="1:63" x14ac:dyDescent="0.25">
      <c r="A122" t="s">
        <v>920</v>
      </c>
      <c r="B122" t="s">
        <v>945</v>
      </c>
      <c r="C122">
        <v>2282600121</v>
      </c>
      <c r="D122" t="s">
        <v>830</v>
      </c>
      <c r="E122" s="4">
        <v>0.83499999999999985</v>
      </c>
      <c r="F122" s="1">
        <v>46191</v>
      </c>
      <c r="G122" s="1">
        <v>46206</v>
      </c>
      <c r="H122" s="1">
        <v>46232</v>
      </c>
      <c r="I122" s="1">
        <v>46215</v>
      </c>
      <c r="J122">
        <v>1</v>
      </c>
      <c r="K122" s="1"/>
      <c r="L122" s="7">
        <v>0.43</v>
      </c>
      <c r="M122" s="7">
        <v>1</v>
      </c>
      <c r="N122" s="7">
        <v>0.27906976744186046</v>
      </c>
      <c r="O122" s="7">
        <v>0.18604651162790695</v>
      </c>
      <c r="P122" s="7">
        <v>0.2558139534883721</v>
      </c>
      <c r="Q122" s="7">
        <v>0.18604651162790695</v>
      </c>
      <c r="R122" s="7">
        <v>9.3023255813953487E-2</v>
      </c>
      <c r="S122" s="7">
        <v>0.09</v>
      </c>
      <c r="T122" s="7">
        <v>1</v>
      </c>
      <c r="U122" s="7">
        <v>0.22222222222222221</v>
      </c>
      <c r="V122" s="7">
        <v>0.22222222222222221</v>
      </c>
      <c r="W122" s="7">
        <v>0.1111111111111111</v>
      </c>
      <c r="X122" s="7">
        <v>0.1111111111111111</v>
      </c>
      <c r="Y122" s="7">
        <v>0.1111111111111111</v>
      </c>
      <c r="Z122" s="7">
        <v>0.22222222222222221</v>
      </c>
      <c r="AA122" s="7">
        <v>6.9999999999999993E-2</v>
      </c>
      <c r="AB122" s="7">
        <v>0.63636363636363635</v>
      </c>
      <c r="AC122" s="7">
        <v>0.27272727272727271</v>
      </c>
      <c r="AD122" s="7">
        <v>0</v>
      </c>
      <c r="AE122" s="7">
        <v>0</v>
      </c>
      <c r="AF122" s="7">
        <v>0.18181818181818185</v>
      </c>
      <c r="AG122" s="7">
        <v>0.18181818181818185</v>
      </c>
      <c r="AH122" s="7">
        <v>0.24499999999999988</v>
      </c>
      <c r="AI122" s="7">
        <v>0.66216216216216184</v>
      </c>
      <c r="AJ122" s="7">
        <v>5.4054054054054029E-2</v>
      </c>
      <c r="AK122" s="7">
        <v>5.4054054054054029E-2</v>
      </c>
      <c r="AL122" s="7">
        <v>2.7027027027027015E-2</v>
      </c>
      <c r="AM122" s="7">
        <v>8.1081081081081058E-2</v>
      </c>
      <c r="AN122" s="7">
        <v>0</v>
      </c>
      <c r="AO122" s="7">
        <v>0</v>
      </c>
      <c r="AP122" s="7">
        <v>5.4054054054054029E-2</v>
      </c>
      <c r="AQ122" s="7">
        <v>0</v>
      </c>
      <c r="AR122" s="7">
        <v>0</v>
      </c>
      <c r="AS122" s="7">
        <v>0</v>
      </c>
      <c r="AT122" s="7">
        <v>8.1081081081081058E-2</v>
      </c>
      <c r="AU122" s="7">
        <v>5.4054054054054029E-2</v>
      </c>
      <c r="AV122" s="7">
        <v>0</v>
      </c>
      <c r="AW122" s="7">
        <v>5.4054054054054029E-2</v>
      </c>
      <c r="AX122" s="7">
        <v>5.4054054054054029E-2</v>
      </c>
      <c r="AY122" s="7">
        <v>2.7027027027027015E-2</v>
      </c>
      <c r="AZ122" s="7">
        <v>0</v>
      </c>
      <c r="BA122" s="7">
        <v>0</v>
      </c>
      <c r="BB122" s="7">
        <v>8.1081081081081058E-2</v>
      </c>
      <c r="BC122" s="7">
        <v>1.3513513513513507E-2</v>
      </c>
      <c r="BD122">
        <v>2.7027027027027015E-2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2" s="42">
        <f>+IF(AVANCE[[#This Row],[FECHA INICIO REAL]]="","",AVANCE[[#This Row],[FECHA INICIO REAL]]-AVANCE[[#This Row],[FECHA INICIO TEORICO]])</f>
        <v>15</v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2" s="42">
        <f>+AVANCE[[#This Row],[FECHA TERMINO  PLANIFICADO]]-AVANCE[[#This Row],[FECHA INICIO TEORICO]]</f>
        <v>24</v>
      </c>
      <c r="BK122" s="42">
        <f>+AVANCE[[#This Row],[FECHA TERMINO]]-AVANCE[[#This Row],[FECHA INICIO REAL]]</f>
        <v>-46206</v>
      </c>
    </row>
    <row r="123" spans="1:63" x14ac:dyDescent="0.25">
      <c r="A123" t="s">
        <v>920</v>
      </c>
      <c r="B123" t="s">
        <v>946</v>
      </c>
      <c r="C123">
        <v>2302600122</v>
      </c>
      <c r="D123" t="s">
        <v>831</v>
      </c>
      <c r="E123" s="4">
        <v>0.62</v>
      </c>
      <c r="F123" s="1">
        <v>46191</v>
      </c>
      <c r="G123" s="1">
        <v>46205</v>
      </c>
      <c r="H123" s="1">
        <v>46232</v>
      </c>
      <c r="I123" s="1">
        <v>46225</v>
      </c>
      <c r="J123">
        <v>1</v>
      </c>
      <c r="K123" s="1"/>
      <c r="L123" s="7">
        <v>0.43</v>
      </c>
      <c r="M123" s="7">
        <v>1</v>
      </c>
      <c r="N123" s="7">
        <v>0.27906976744186046</v>
      </c>
      <c r="O123" s="7">
        <v>0.18604651162790695</v>
      </c>
      <c r="P123" s="7">
        <v>0.2558139534883721</v>
      </c>
      <c r="Q123" s="7">
        <v>0.18604651162790695</v>
      </c>
      <c r="R123" s="7">
        <v>9.3023255813953487E-2</v>
      </c>
      <c r="S123" s="7">
        <v>0.05</v>
      </c>
      <c r="T123" s="7">
        <v>0.55555555555555558</v>
      </c>
      <c r="U123" s="7">
        <v>0.22222222222222221</v>
      </c>
      <c r="V123" s="7">
        <v>0.22222222222222221</v>
      </c>
      <c r="W123" s="7">
        <v>0</v>
      </c>
      <c r="X123" s="7">
        <v>0.1111111111111111</v>
      </c>
      <c r="Y123" s="7">
        <v>0</v>
      </c>
      <c r="Z123" s="7">
        <v>0</v>
      </c>
      <c r="AA123" s="7">
        <v>0.03</v>
      </c>
      <c r="AB123" s="7">
        <v>0.27272727272727271</v>
      </c>
      <c r="AC123" s="7">
        <v>0.27272727272727271</v>
      </c>
      <c r="AD123" s="7">
        <v>0</v>
      </c>
      <c r="AE123" s="7">
        <v>0</v>
      </c>
      <c r="AF123" s="7">
        <v>0</v>
      </c>
      <c r="AG123" s="7">
        <v>0</v>
      </c>
      <c r="AH123" s="7">
        <v>0.10999999999999996</v>
      </c>
      <c r="AI123" s="7">
        <v>0.2972972972972972</v>
      </c>
      <c r="AJ123" s="7">
        <v>0</v>
      </c>
      <c r="AK123" s="7">
        <v>5.4054054054054029E-2</v>
      </c>
      <c r="AL123" s="7">
        <v>0</v>
      </c>
      <c r="AM123" s="7">
        <v>8.1081081081081058E-2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5.4054054054054029E-2</v>
      </c>
      <c r="AY123" s="7">
        <v>2.7027027027027015E-2</v>
      </c>
      <c r="AZ123" s="7">
        <v>0</v>
      </c>
      <c r="BA123" s="7">
        <v>5.4054054054054029E-2</v>
      </c>
      <c r="BB123" s="7">
        <v>0</v>
      </c>
      <c r="BC123" s="7">
        <v>0</v>
      </c>
      <c r="BD123">
        <v>2.7027027027027015E-2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23" s="42">
        <f>+IF(AVANCE[[#This Row],[FECHA INICIO REAL]]="","",AVANCE[[#This Row],[FECHA INICIO REAL]]-AVANCE[[#This Row],[FECHA INICIO TEORICO]])</f>
        <v>14</v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3" s="42">
        <f>+AVANCE[[#This Row],[FECHA TERMINO  PLANIFICADO]]-AVANCE[[#This Row],[FECHA INICIO TEORICO]]</f>
        <v>34</v>
      </c>
      <c r="BK123" s="42">
        <f>+AVANCE[[#This Row],[FECHA TERMINO]]-AVANCE[[#This Row],[FECHA INICIO REAL]]</f>
        <v>-46205</v>
      </c>
    </row>
    <row r="124" spans="1:63" x14ac:dyDescent="0.25">
      <c r="A124" t="s">
        <v>920</v>
      </c>
      <c r="B124" t="s">
        <v>947</v>
      </c>
      <c r="C124">
        <v>2302600123</v>
      </c>
      <c r="D124" t="s">
        <v>831</v>
      </c>
      <c r="E124" s="4">
        <v>0.67999999999999994</v>
      </c>
      <c r="F124" s="1">
        <v>46192</v>
      </c>
      <c r="G124" s="1">
        <v>46206</v>
      </c>
      <c r="H124" s="1">
        <v>46232</v>
      </c>
      <c r="I124" s="1">
        <v>46226</v>
      </c>
      <c r="J124">
        <v>1</v>
      </c>
      <c r="K124" s="1"/>
      <c r="L124" s="7">
        <v>0.43</v>
      </c>
      <c r="M124" s="7">
        <v>1</v>
      </c>
      <c r="N124" s="7">
        <v>0.27906976744186046</v>
      </c>
      <c r="O124" s="7">
        <v>0.18604651162790695</v>
      </c>
      <c r="P124" s="7">
        <v>0.2558139534883721</v>
      </c>
      <c r="Q124" s="7">
        <v>0.18604651162790695</v>
      </c>
      <c r="R124" s="7">
        <v>9.3023255813953487E-2</v>
      </c>
      <c r="S124" s="7">
        <v>3.9999999999999994E-2</v>
      </c>
      <c r="T124" s="7">
        <v>0.44444444444444442</v>
      </c>
      <c r="U124" s="7">
        <v>0.22222222222222221</v>
      </c>
      <c r="V124" s="7">
        <v>0.22222222222222221</v>
      </c>
      <c r="W124" s="7">
        <v>0</v>
      </c>
      <c r="X124" s="7">
        <v>0</v>
      </c>
      <c r="Y124" s="7">
        <v>0</v>
      </c>
      <c r="Z124" s="7">
        <v>0</v>
      </c>
      <c r="AA124" s="7">
        <v>0.11</v>
      </c>
      <c r="AB124" s="7">
        <v>1</v>
      </c>
      <c r="AC124" s="7">
        <v>0.27272727272727271</v>
      </c>
      <c r="AD124" s="7">
        <v>0.27272727272727271</v>
      </c>
      <c r="AE124" s="7">
        <v>9.0909090909090912E-2</v>
      </c>
      <c r="AF124" s="7">
        <v>0.18181818181818185</v>
      </c>
      <c r="AG124" s="7">
        <v>0.18181818181818185</v>
      </c>
      <c r="AH124" s="7">
        <v>9.9999999999999964E-2</v>
      </c>
      <c r="AI124" s="7">
        <v>0.27027027027027017</v>
      </c>
      <c r="AJ124" s="7">
        <v>0</v>
      </c>
      <c r="AK124" s="7">
        <v>5.4054054054054029E-2</v>
      </c>
      <c r="AL124" s="7">
        <v>0</v>
      </c>
      <c r="AM124" s="7">
        <v>8.1081081081081058E-2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5.4054054054054029E-2</v>
      </c>
      <c r="AY124" s="7">
        <v>2.7027027027027015E-2</v>
      </c>
      <c r="AZ124" s="7">
        <v>0</v>
      </c>
      <c r="BA124" s="7">
        <v>5.4054054054054029E-2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24" s="42">
        <f>+IF(AVANCE[[#This Row],[FECHA INICIO REAL]]="","",AVANCE[[#This Row],[FECHA INICIO REAL]]-AVANCE[[#This Row],[FECHA INICIO TEORICO]])</f>
        <v>14</v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4" s="42">
        <f>+AVANCE[[#This Row],[FECHA TERMINO  PLANIFICADO]]-AVANCE[[#This Row],[FECHA INICIO TEORICO]]</f>
        <v>34</v>
      </c>
      <c r="BK124" s="42">
        <f>+AVANCE[[#This Row],[FECHA TERMINO]]-AVANCE[[#This Row],[FECHA INICIO REAL]]</f>
        <v>-46206</v>
      </c>
    </row>
    <row r="125" spans="1:63" x14ac:dyDescent="0.25">
      <c r="A125" t="s">
        <v>920</v>
      </c>
      <c r="B125" t="s">
        <v>948</v>
      </c>
      <c r="C125">
        <v>2282600124</v>
      </c>
      <c r="D125" t="s">
        <v>830</v>
      </c>
      <c r="E125" s="4">
        <v>0.94499999999999984</v>
      </c>
      <c r="F125" s="1">
        <v>46192</v>
      </c>
      <c r="G125" s="1">
        <v>46206</v>
      </c>
      <c r="H125" s="1">
        <v>46231</v>
      </c>
      <c r="I125" s="1">
        <v>46216</v>
      </c>
      <c r="J125">
        <v>2</v>
      </c>
      <c r="K125" s="1"/>
      <c r="L125" s="7">
        <v>0.43</v>
      </c>
      <c r="M125" s="7">
        <v>1</v>
      </c>
      <c r="N125" s="7">
        <v>0.27906976744186046</v>
      </c>
      <c r="O125" s="7">
        <v>0.18604651162790695</v>
      </c>
      <c r="P125" s="7">
        <v>0.2558139534883721</v>
      </c>
      <c r="Q125" s="7">
        <v>0.18604651162790695</v>
      </c>
      <c r="R125" s="7">
        <v>9.3023255813953487E-2</v>
      </c>
      <c r="S125" s="7">
        <v>0.09</v>
      </c>
      <c r="T125" s="7">
        <v>1</v>
      </c>
      <c r="U125" s="7">
        <v>0.22222222222222221</v>
      </c>
      <c r="V125" s="7">
        <v>0.22222222222222221</v>
      </c>
      <c r="W125" s="7">
        <v>0.1111111111111111</v>
      </c>
      <c r="X125" s="7">
        <v>0.1111111111111111</v>
      </c>
      <c r="Y125" s="7">
        <v>0.1111111111111111</v>
      </c>
      <c r="Z125" s="7">
        <v>0.22222222222222221</v>
      </c>
      <c r="AA125" s="7">
        <v>6.9999999999999993E-2</v>
      </c>
      <c r="AB125" s="7">
        <v>0.63636363636363635</v>
      </c>
      <c r="AC125" s="7">
        <v>0.27272727272727271</v>
      </c>
      <c r="AD125" s="7">
        <v>0</v>
      </c>
      <c r="AE125" s="7">
        <v>0</v>
      </c>
      <c r="AF125" s="7">
        <v>0.18181818181818185</v>
      </c>
      <c r="AG125" s="7">
        <v>0.18181818181818185</v>
      </c>
      <c r="AH125" s="7">
        <v>0.35499999999999982</v>
      </c>
      <c r="AI125" s="7">
        <v>0.95945945945945899</v>
      </c>
      <c r="AJ125" s="7">
        <v>5.4054054054054029E-2</v>
      </c>
      <c r="AK125" s="7">
        <v>5.4054054054054029E-2</v>
      </c>
      <c r="AL125" s="7">
        <v>2.7027027027027015E-2</v>
      </c>
      <c r="AM125" s="7">
        <v>8.1081081081081058E-2</v>
      </c>
      <c r="AN125" s="7">
        <v>8.1081081081081058E-2</v>
      </c>
      <c r="AO125" s="7">
        <v>6.7567567567567557E-2</v>
      </c>
      <c r="AP125" s="7">
        <v>5.4054054054054029E-2</v>
      </c>
      <c r="AQ125" s="7">
        <v>1.3513513513513507E-2</v>
      </c>
      <c r="AR125" s="7">
        <v>4.0540540540540529E-2</v>
      </c>
      <c r="AS125" s="7">
        <v>1.3513513513513507E-2</v>
      </c>
      <c r="AT125" s="7">
        <v>8.1081081081081058E-2</v>
      </c>
      <c r="AU125" s="7">
        <v>5.4054054054054029E-2</v>
      </c>
      <c r="AV125" s="7">
        <v>2.7027027027027015E-2</v>
      </c>
      <c r="AW125" s="7">
        <v>5.4054054054054029E-2</v>
      </c>
      <c r="AX125" s="7">
        <v>5.4054054054054029E-2</v>
      </c>
      <c r="AY125" s="7">
        <v>2.7027027027027015E-2</v>
      </c>
      <c r="AZ125" s="7">
        <v>0</v>
      </c>
      <c r="BA125" s="7">
        <v>5.4054054054054029E-2</v>
      </c>
      <c r="BB125" s="7">
        <v>8.1081081081081058E-2</v>
      </c>
      <c r="BC125" s="7">
        <v>1.3513513513513507E-2</v>
      </c>
      <c r="BD125">
        <v>2.7027027027027015E-2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25" s="42">
        <f>+IF(AVANCE[[#This Row],[FECHA INICIO REAL]]="","",AVANCE[[#This Row],[FECHA INICIO REAL]]-AVANCE[[#This Row],[FECHA INICIO TEORICO]])</f>
        <v>14</v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5" s="42">
        <f>+AVANCE[[#This Row],[FECHA TERMINO  PLANIFICADO]]-AVANCE[[#This Row],[FECHA INICIO TEORICO]]</f>
        <v>24</v>
      </c>
      <c r="BK125" s="42">
        <f>+AVANCE[[#This Row],[FECHA TERMINO]]-AVANCE[[#This Row],[FECHA INICIO REAL]]</f>
        <v>-46206</v>
      </c>
    </row>
    <row r="126" spans="1:63" x14ac:dyDescent="0.25">
      <c r="A126" t="s">
        <v>920</v>
      </c>
      <c r="B126" t="s">
        <v>949</v>
      </c>
      <c r="C126">
        <v>2282600125</v>
      </c>
      <c r="D126" t="s">
        <v>830</v>
      </c>
      <c r="E126" s="4">
        <v>0.8849999999999999</v>
      </c>
      <c r="F126" s="1">
        <v>46195</v>
      </c>
      <c r="G126" s="1">
        <v>46210</v>
      </c>
      <c r="H126" s="1">
        <v>46232</v>
      </c>
      <c r="I126" s="1">
        <v>46219</v>
      </c>
      <c r="J126">
        <v>1</v>
      </c>
      <c r="K126" s="1"/>
      <c r="L126" s="7">
        <v>0.43</v>
      </c>
      <c r="M126" s="7">
        <v>1</v>
      </c>
      <c r="N126" s="7">
        <v>0.27906976744186046</v>
      </c>
      <c r="O126" s="7">
        <v>0.18604651162790695</v>
      </c>
      <c r="P126" s="7">
        <v>0.2558139534883721</v>
      </c>
      <c r="Q126" s="7">
        <v>0.18604651162790695</v>
      </c>
      <c r="R126" s="7">
        <v>9.3023255813953487E-2</v>
      </c>
      <c r="S126" s="7">
        <v>0.09</v>
      </c>
      <c r="T126" s="7">
        <v>1</v>
      </c>
      <c r="U126" s="7">
        <v>0.22222222222222221</v>
      </c>
      <c r="V126" s="7">
        <v>0.22222222222222221</v>
      </c>
      <c r="W126" s="7">
        <v>0.1111111111111111</v>
      </c>
      <c r="X126" s="7">
        <v>0.1111111111111111</v>
      </c>
      <c r="Y126" s="7">
        <v>0.1111111111111111</v>
      </c>
      <c r="Z126" s="7">
        <v>0.22222222222222221</v>
      </c>
      <c r="AA126" s="7">
        <v>0.1</v>
      </c>
      <c r="AB126" s="7">
        <v>0.90909090909090917</v>
      </c>
      <c r="AC126" s="7">
        <v>0.27272727272727271</v>
      </c>
      <c r="AD126" s="7">
        <v>0.27272727272727271</v>
      </c>
      <c r="AE126" s="7">
        <v>0</v>
      </c>
      <c r="AF126" s="7">
        <v>0.18181818181818185</v>
      </c>
      <c r="AG126" s="7">
        <v>0.18181818181818185</v>
      </c>
      <c r="AH126" s="7">
        <v>0.2649999999999999</v>
      </c>
      <c r="AI126" s="7">
        <v>0.7162162162162159</v>
      </c>
      <c r="AJ126" s="7">
        <v>5.4054054054054029E-2</v>
      </c>
      <c r="AK126" s="7">
        <v>5.4054054054054029E-2</v>
      </c>
      <c r="AL126" s="7">
        <v>2.7027027027027015E-2</v>
      </c>
      <c r="AM126" s="7">
        <v>8.1081081081081058E-2</v>
      </c>
      <c r="AN126" s="7">
        <v>8.1081081081081058E-2</v>
      </c>
      <c r="AO126" s="7">
        <v>0</v>
      </c>
      <c r="AP126" s="7">
        <v>5.4054054054054029E-2</v>
      </c>
      <c r="AQ126" s="7">
        <v>0</v>
      </c>
      <c r="AR126" s="7">
        <v>0</v>
      </c>
      <c r="AS126" s="7">
        <v>0</v>
      </c>
      <c r="AT126" s="7">
        <v>0</v>
      </c>
      <c r="AU126" s="7">
        <v>5.4054054054054029E-2</v>
      </c>
      <c r="AV126" s="7">
        <v>0</v>
      </c>
      <c r="AW126" s="7">
        <v>5.4054054054054029E-2</v>
      </c>
      <c r="AX126" s="7">
        <v>5.4054054054054029E-2</v>
      </c>
      <c r="AY126" s="7">
        <v>2.7027027027027015E-2</v>
      </c>
      <c r="AZ126" s="7">
        <v>0</v>
      </c>
      <c r="BA126" s="7">
        <v>5.4054054054054029E-2</v>
      </c>
      <c r="BB126" s="7">
        <v>8.1081081081081058E-2</v>
      </c>
      <c r="BC126" s="7">
        <v>1.3513513513513507E-2</v>
      </c>
      <c r="BD126">
        <v>2.7027027027027015E-2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6" s="42">
        <f>+IF(AVANCE[[#This Row],[FECHA INICIO REAL]]="","",AVANCE[[#This Row],[FECHA INICIO REAL]]-AVANCE[[#This Row],[FECHA INICIO TEORICO]])</f>
        <v>15</v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6" s="42">
        <f>+AVANCE[[#This Row],[FECHA TERMINO  PLANIFICADO]]-AVANCE[[#This Row],[FECHA INICIO TEORICO]]</f>
        <v>24</v>
      </c>
      <c r="BK126" s="42">
        <f>+AVANCE[[#This Row],[FECHA TERMINO]]-AVANCE[[#This Row],[FECHA INICIO REAL]]</f>
        <v>-46210</v>
      </c>
    </row>
    <row r="127" spans="1:63" x14ac:dyDescent="0.25">
      <c r="A127" t="s">
        <v>920</v>
      </c>
      <c r="B127" t="s">
        <v>950</v>
      </c>
      <c r="C127">
        <v>2302600126</v>
      </c>
      <c r="D127" t="s">
        <v>831</v>
      </c>
      <c r="E127" s="4">
        <v>0.755</v>
      </c>
      <c r="F127" s="1">
        <v>46195</v>
      </c>
      <c r="G127" s="1">
        <v>46206</v>
      </c>
      <c r="H127" s="1">
        <v>46232</v>
      </c>
      <c r="I127" s="1">
        <v>46229</v>
      </c>
      <c r="J127">
        <v>1</v>
      </c>
      <c r="K127" s="1"/>
      <c r="L127" s="7">
        <v>0.43</v>
      </c>
      <c r="M127" s="7">
        <v>1</v>
      </c>
      <c r="N127" s="7">
        <v>0.27906976744186046</v>
      </c>
      <c r="O127" s="7">
        <v>0.18604651162790695</v>
      </c>
      <c r="P127" s="7">
        <v>0.2558139534883721</v>
      </c>
      <c r="Q127" s="7">
        <v>0.18604651162790695</v>
      </c>
      <c r="R127" s="7">
        <v>9.3023255813953487E-2</v>
      </c>
      <c r="S127" s="7">
        <v>0.05</v>
      </c>
      <c r="T127" s="7">
        <v>0.55555555555555558</v>
      </c>
      <c r="U127" s="7">
        <v>0.22222222222222221</v>
      </c>
      <c r="V127" s="7">
        <v>0.22222222222222221</v>
      </c>
      <c r="W127" s="7">
        <v>0</v>
      </c>
      <c r="X127" s="7">
        <v>0.1111111111111111</v>
      </c>
      <c r="Y127" s="7">
        <v>0</v>
      </c>
      <c r="Z127" s="7">
        <v>0</v>
      </c>
      <c r="AA127" s="7">
        <v>0.06</v>
      </c>
      <c r="AB127" s="7">
        <v>0.54545454545454541</v>
      </c>
      <c r="AC127" s="7">
        <v>0.27272727272727271</v>
      </c>
      <c r="AD127" s="7">
        <v>0.27272727272727271</v>
      </c>
      <c r="AE127" s="7">
        <v>0</v>
      </c>
      <c r="AF127" s="7">
        <v>0</v>
      </c>
      <c r="AG127" s="7">
        <v>0</v>
      </c>
      <c r="AH127" s="7">
        <v>0.21499999999999991</v>
      </c>
      <c r="AI127" s="7">
        <v>0.58108108108108092</v>
      </c>
      <c r="AJ127" s="7">
        <v>5.4054054054054029E-2</v>
      </c>
      <c r="AK127" s="7">
        <v>5.4054054054054029E-2</v>
      </c>
      <c r="AL127" s="7">
        <v>0</v>
      </c>
      <c r="AM127" s="7">
        <v>8.1081081081081058E-2</v>
      </c>
      <c r="AN127" s="7">
        <v>8.1081081081081058E-2</v>
      </c>
      <c r="AO127" s="7">
        <v>0</v>
      </c>
      <c r="AP127" s="7">
        <v>5.4054054054054029E-2</v>
      </c>
      <c r="AQ127" s="7">
        <v>0</v>
      </c>
      <c r="AR127" s="7">
        <v>0</v>
      </c>
      <c r="AS127" s="7">
        <v>1.3513513513513507E-2</v>
      </c>
      <c r="AT127" s="7">
        <v>0</v>
      </c>
      <c r="AU127" s="7">
        <v>5.4054054054054029E-2</v>
      </c>
      <c r="AV127" s="7">
        <v>2.7027027027027015E-2</v>
      </c>
      <c r="AW127" s="7">
        <v>0</v>
      </c>
      <c r="AX127" s="7">
        <v>5.4054054054054029E-2</v>
      </c>
      <c r="AY127" s="7">
        <v>2.7027027027027015E-2</v>
      </c>
      <c r="AZ127" s="7">
        <v>0</v>
      </c>
      <c r="BA127" s="7">
        <v>5.4054054054054029E-2</v>
      </c>
      <c r="BB127" s="7">
        <v>0</v>
      </c>
      <c r="BC127" s="7">
        <v>0</v>
      </c>
      <c r="BD127">
        <v>2.7027027027027015E-2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27" s="42">
        <f>+IF(AVANCE[[#This Row],[FECHA INICIO REAL]]="","",AVANCE[[#This Row],[FECHA INICIO REAL]]-AVANCE[[#This Row],[FECHA INICIO TEORICO]])</f>
        <v>11</v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7" s="42">
        <f>+AVANCE[[#This Row],[FECHA TERMINO  PLANIFICADO]]-AVANCE[[#This Row],[FECHA INICIO TEORICO]]</f>
        <v>34</v>
      </c>
      <c r="BK127" s="42">
        <f>+AVANCE[[#This Row],[FECHA TERMINO]]-AVANCE[[#This Row],[FECHA INICIO REAL]]</f>
        <v>-46206</v>
      </c>
    </row>
    <row r="128" spans="1:63" x14ac:dyDescent="0.25">
      <c r="A128" t="s">
        <v>920</v>
      </c>
      <c r="B128" t="s">
        <v>951</v>
      </c>
      <c r="C128">
        <v>2302600127</v>
      </c>
      <c r="D128" t="s">
        <v>831</v>
      </c>
      <c r="E128" s="4">
        <v>0.6</v>
      </c>
      <c r="F128" s="1">
        <v>46196</v>
      </c>
      <c r="G128" s="1">
        <v>46205</v>
      </c>
      <c r="H128" s="1">
        <v>46231</v>
      </c>
      <c r="I128" s="1">
        <v>46230</v>
      </c>
      <c r="J128">
        <v>2</v>
      </c>
      <c r="K128" s="1"/>
      <c r="L128" s="7">
        <v>0.43</v>
      </c>
      <c r="M128" s="7">
        <v>1</v>
      </c>
      <c r="N128" s="7">
        <v>0.27906976744186046</v>
      </c>
      <c r="O128" s="7">
        <v>0.18604651162790695</v>
      </c>
      <c r="P128" s="7">
        <v>0.2558139534883721</v>
      </c>
      <c r="Q128" s="7">
        <v>0.18604651162790695</v>
      </c>
      <c r="R128" s="7">
        <v>9.3023255813953487E-2</v>
      </c>
      <c r="S128" s="7">
        <v>3.9999999999999994E-2</v>
      </c>
      <c r="T128" s="7">
        <v>0.44444444444444442</v>
      </c>
      <c r="U128" s="7">
        <v>0.22222222222222221</v>
      </c>
      <c r="V128" s="7">
        <v>0.22222222222222221</v>
      </c>
      <c r="W128" s="7">
        <v>0</v>
      </c>
      <c r="X128" s="7">
        <v>0</v>
      </c>
      <c r="Y128" s="7">
        <v>0</v>
      </c>
      <c r="Z128" s="7">
        <v>0</v>
      </c>
      <c r="AA128" s="7">
        <v>0.03</v>
      </c>
      <c r="AB128" s="7">
        <v>0.27272727272727271</v>
      </c>
      <c r="AC128" s="7">
        <v>0.27272727272727271</v>
      </c>
      <c r="AD128" s="7">
        <v>0</v>
      </c>
      <c r="AE128" s="7">
        <v>0</v>
      </c>
      <c r="AF128" s="7">
        <v>0</v>
      </c>
      <c r="AG128" s="7">
        <v>0</v>
      </c>
      <c r="AH128" s="7">
        <v>9.9999999999999964E-2</v>
      </c>
      <c r="AI128" s="7">
        <v>0.27027027027027017</v>
      </c>
      <c r="AJ128" s="7">
        <v>0</v>
      </c>
      <c r="AK128" s="7">
        <v>5.4054054054054029E-2</v>
      </c>
      <c r="AL128" s="7">
        <v>0</v>
      </c>
      <c r="AM128" s="7">
        <v>8.1081081081081058E-2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5.4054054054054029E-2</v>
      </c>
      <c r="AY128" s="7">
        <v>2.7027027027027015E-2</v>
      </c>
      <c r="AZ128" s="7">
        <v>0</v>
      </c>
      <c r="BA128" s="7">
        <v>5.4054054054054029E-2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28" s="42">
        <f>+IF(AVANCE[[#This Row],[FECHA INICIO REAL]]="","",AVANCE[[#This Row],[FECHA INICIO REAL]]-AVANCE[[#This Row],[FECHA INICIO TEORICO]])</f>
        <v>9</v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8" s="42">
        <f>+AVANCE[[#This Row],[FECHA TERMINO  PLANIFICADO]]-AVANCE[[#This Row],[FECHA INICIO TEORICO]]</f>
        <v>34</v>
      </c>
      <c r="BK128" s="42">
        <f>+AVANCE[[#This Row],[FECHA TERMINO]]-AVANCE[[#This Row],[FECHA INICIO REAL]]</f>
        <v>-46205</v>
      </c>
    </row>
    <row r="129" spans="1:63" x14ac:dyDescent="0.25">
      <c r="A129" t="s">
        <v>920</v>
      </c>
      <c r="B129" t="s">
        <v>952</v>
      </c>
      <c r="C129">
        <v>2282600128</v>
      </c>
      <c r="D129" t="s">
        <v>830</v>
      </c>
      <c r="E129" s="4">
        <v>0.88499999999999979</v>
      </c>
      <c r="F129" s="1">
        <v>46196</v>
      </c>
      <c r="G129" s="1">
        <v>46205</v>
      </c>
      <c r="H129" s="1">
        <v>46231</v>
      </c>
      <c r="I129" s="1">
        <v>46220</v>
      </c>
      <c r="J129">
        <v>2</v>
      </c>
      <c r="K129" s="1"/>
      <c r="L129" s="7">
        <v>0.43</v>
      </c>
      <c r="M129" s="7">
        <v>1</v>
      </c>
      <c r="N129" s="7">
        <v>0.27906976744186046</v>
      </c>
      <c r="O129" s="7">
        <v>0.18604651162790695</v>
      </c>
      <c r="P129" s="7">
        <v>0.2558139534883721</v>
      </c>
      <c r="Q129" s="7">
        <v>0.18604651162790695</v>
      </c>
      <c r="R129" s="7">
        <v>9.3023255813953487E-2</v>
      </c>
      <c r="S129" s="7">
        <v>0.09</v>
      </c>
      <c r="T129" s="7">
        <v>1</v>
      </c>
      <c r="U129" s="7">
        <v>0.22222222222222221</v>
      </c>
      <c r="V129" s="7">
        <v>0.22222222222222221</v>
      </c>
      <c r="W129" s="7">
        <v>0.1111111111111111</v>
      </c>
      <c r="X129" s="7">
        <v>0.1111111111111111</v>
      </c>
      <c r="Y129" s="7">
        <v>0.1111111111111111</v>
      </c>
      <c r="Z129" s="7">
        <v>0.22222222222222221</v>
      </c>
      <c r="AA129" s="7">
        <v>6.9999999999999993E-2</v>
      </c>
      <c r="AB129" s="7">
        <v>0.63636363636363635</v>
      </c>
      <c r="AC129" s="7">
        <v>0.27272727272727271</v>
      </c>
      <c r="AD129" s="7">
        <v>0</v>
      </c>
      <c r="AE129" s="7">
        <v>0</v>
      </c>
      <c r="AF129" s="7">
        <v>0.18181818181818185</v>
      </c>
      <c r="AG129" s="7">
        <v>0.18181818181818185</v>
      </c>
      <c r="AH129" s="7">
        <v>0.29499999999999987</v>
      </c>
      <c r="AI129" s="7">
        <v>0.79729729729729693</v>
      </c>
      <c r="AJ129" s="7">
        <v>5.4054054054054029E-2</v>
      </c>
      <c r="AK129" s="7">
        <v>5.4054054054054029E-2</v>
      </c>
      <c r="AL129" s="7">
        <v>2.7027027027027015E-2</v>
      </c>
      <c r="AM129" s="7">
        <v>8.1081081081081058E-2</v>
      </c>
      <c r="AN129" s="7">
        <v>8.1081081081081058E-2</v>
      </c>
      <c r="AO129" s="7">
        <v>0</v>
      </c>
      <c r="AP129" s="7">
        <v>5.4054054054054029E-2</v>
      </c>
      <c r="AQ129" s="7">
        <v>0</v>
      </c>
      <c r="AR129" s="7">
        <v>4.0540540540540529E-2</v>
      </c>
      <c r="AS129" s="7">
        <v>1.3513513513513507E-2</v>
      </c>
      <c r="AT129" s="7">
        <v>0</v>
      </c>
      <c r="AU129" s="7">
        <v>5.4054054054054029E-2</v>
      </c>
      <c r="AV129" s="7">
        <v>2.7027027027027015E-2</v>
      </c>
      <c r="AW129" s="7">
        <v>5.4054054054054029E-2</v>
      </c>
      <c r="AX129" s="7">
        <v>5.4054054054054029E-2</v>
      </c>
      <c r="AY129" s="7">
        <v>2.7027027027027015E-2</v>
      </c>
      <c r="AZ129" s="7">
        <v>0</v>
      </c>
      <c r="BA129" s="7">
        <v>5.4054054054054029E-2</v>
      </c>
      <c r="BB129" s="7">
        <v>8.1081081081081058E-2</v>
      </c>
      <c r="BC129" s="7">
        <v>1.3513513513513507E-2</v>
      </c>
      <c r="BD129">
        <v>2.7027027027027015E-2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9" s="42">
        <f>+IF(AVANCE[[#This Row],[FECHA INICIO REAL]]="","",AVANCE[[#This Row],[FECHA INICIO REAL]]-AVANCE[[#This Row],[FECHA INICIO TEORICO]])</f>
        <v>9</v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9" s="42">
        <f>+AVANCE[[#This Row],[FECHA TERMINO  PLANIFICADO]]-AVANCE[[#This Row],[FECHA INICIO TEORICO]]</f>
        <v>24</v>
      </c>
      <c r="BK129" s="42">
        <f>+AVANCE[[#This Row],[FECHA TERMINO]]-AVANCE[[#This Row],[FECHA INICIO REAL]]</f>
        <v>-46205</v>
      </c>
    </row>
    <row r="130" spans="1:63" x14ac:dyDescent="0.25">
      <c r="A130" t="s">
        <v>953</v>
      </c>
      <c r="B130" t="s">
        <v>954</v>
      </c>
      <c r="C130">
        <v>2282600129</v>
      </c>
      <c r="D130" t="s">
        <v>830</v>
      </c>
      <c r="E130" s="4">
        <v>0.83499999999999985</v>
      </c>
      <c r="F130" s="1">
        <v>46197</v>
      </c>
      <c r="G130" s="1">
        <v>46212</v>
      </c>
      <c r="H130" s="1">
        <v>46231</v>
      </c>
      <c r="I130" s="1">
        <v>46219</v>
      </c>
      <c r="J130">
        <v>2</v>
      </c>
      <c r="K130" s="1"/>
      <c r="L130" s="7">
        <v>0.43</v>
      </c>
      <c r="M130" s="7">
        <v>1</v>
      </c>
      <c r="N130" s="7">
        <v>0.27906976744186046</v>
      </c>
      <c r="O130" s="7">
        <v>0.18604651162790695</v>
      </c>
      <c r="P130" s="7">
        <v>0.2558139534883721</v>
      </c>
      <c r="Q130" s="7">
        <v>0.18604651162790695</v>
      </c>
      <c r="R130" s="7">
        <v>9.3023255813953487E-2</v>
      </c>
      <c r="S130" s="7">
        <v>0.09</v>
      </c>
      <c r="T130" s="7">
        <v>1</v>
      </c>
      <c r="U130" s="7">
        <v>0.22222222222222221</v>
      </c>
      <c r="V130" s="7">
        <v>0.22222222222222221</v>
      </c>
      <c r="W130" s="7">
        <v>0.1111111111111111</v>
      </c>
      <c r="X130" s="7">
        <v>0.1111111111111111</v>
      </c>
      <c r="Y130" s="7">
        <v>0.1111111111111111</v>
      </c>
      <c r="Z130" s="7">
        <v>0.22222222222222221</v>
      </c>
      <c r="AA130" s="7">
        <v>6.9999999999999993E-2</v>
      </c>
      <c r="AB130" s="7">
        <v>0.63636363636363635</v>
      </c>
      <c r="AC130" s="7">
        <v>0.27272727272727271</v>
      </c>
      <c r="AD130" s="7">
        <v>0</v>
      </c>
      <c r="AE130" s="7">
        <v>0</v>
      </c>
      <c r="AF130" s="7">
        <v>0.18181818181818185</v>
      </c>
      <c r="AG130" s="7">
        <v>0.18181818181818185</v>
      </c>
      <c r="AH130" s="7">
        <v>0.24499999999999991</v>
      </c>
      <c r="AI130" s="7">
        <v>0.66216216216216195</v>
      </c>
      <c r="AJ130" s="7">
        <v>5.4054054054054029E-2</v>
      </c>
      <c r="AK130" s="7">
        <v>5.4054054054054029E-2</v>
      </c>
      <c r="AL130" s="7">
        <v>2.7027027027027015E-2</v>
      </c>
      <c r="AM130" s="7">
        <v>8.1081081081081058E-2</v>
      </c>
      <c r="AN130" s="7">
        <v>0</v>
      </c>
      <c r="AO130" s="7">
        <v>0</v>
      </c>
      <c r="AP130" s="7">
        <v>5.4054054054054029E-2</v>
      </c>
      <c r="AQ130" s="7">
        <v>0</v>
      </c>
      <c r="AR130" s="7">
        <v>0</v>
      </c>
      <c r="AS130" s="7">
        <v>0</v>
      </c>
      <c r="AT130" s="7">
        <v>0</v>
      </c>
      <c r="AU130" s="7">
        <v>5.4054054054054029E-2</v>
      </c>
      <c r="AV130" s="7">
        <v>2.7027027027027015E-2</v>
      </c>
      <c r="AW130" s="7">
        <v>5.4054054054054029E-2</v>
      </c>
      <c r="AX130" s="7">
        <v>5.4054054054054029E-2</v>
      </c>
      <c r="AY130" s="7">
        <v>2.7027027027027015E-2</v>
      </c>
      <c r="AZ130" s="7">
        <v>0</v>
      </c>
      <c r="BA130" s="7">
        <v>5.4054054054054029E-2</v>
      </c>
      <c r="BB130" s="7">
        <v>8.1081081081081058E-2</v>
      </c>
      <c r="BC130" s="7">
        <v>1.3513513513513507E-2</v>
      </c>
      <c r="BD130">
        <v>2.7027027027027015E-2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30" s="42">
        <f>+IF(AVANCE[[#This Row],[FECHA INICIO REAL]]="","",AVANCE[[#This Row],[FECHA INICIO REAL]]-AVANCE[[#This Row],[FECHA INICIO TEORICO]])</f>
        <v>15</v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0" s="42">
        <f>+AVANCE[[#This Row],[FECHA TERMINO  PLANIFICADO]]-AVANCE[[#This Row],[FECHA INICIO TEORICO]]</f>
        <v>22</v>
      </c>
      <c r="BK130" s="42">
        <f>+AVANCE[[#This Row],[FECHA TERMINO]]-AVANCE[[#This Row],[FECHA INICIO REAL]]</f>
        <v>-46212</v>
      </c>
    </row>
    <row r="131" spans="1:63" x14ac:dyDescent="0.25">
      <c r="A131" t="s">
        <v>953</v>
      </c>
      <c r="B131" t="s">
        <v>955</v>
      </c>
      <c r="C131">
        <v>2302600130</v>
      </c>
      <c r="D131" t="s">
        <v>831</v>
      </c>
      <c r="E131" s="4">
        <v>0.6399999999999999</v>
      </c>
      <c r="F131" s="1">
        <v>46197</v>
      </c>
      <c r="G131" s="1">
        <v>46211</v>
      </c>
      <c r="H131" s="1">
        <v>46232</v>
      </c>
      <c r="I131" s="1">
        <v>46229</v>
      </c>
      <c r="J131">
        <v>1</v>
      </c>
      <c r="K131" s="1"/>
      <c r="L131" s="7">
        <v>0.43</v>
      </c>
      <c r="M131" s="7">
        <v>1</v>
      </c>
      <c r="N131" s="7">
        <v>0.27906976744186046</v>
      </c>
      <c r="O131" s="7">
        <v>0.18604651162790695</v>
      </c>
      <c r="P131" s="7">
        <v>0.2558139534883721</v>
      </c>
      <c r="Q131" s="7">
        <v>0.18604651162790695</v>
      </c>
      <c r="R131" s="7">
        <v>9.3023255813953487E-2</v>
      </c>
      <c r="S131" s="7">
        <v>3.9999999999999994E-2</v>
      </c>
      <c r="T131" s="7">
        <v>0.44444444444444442</v>
      </c>
      <c r="U131" s="7">
        <v>0.22222222222222221</v>
      </c>
      <c r="V131" s="7">
        <v>0.22222222222222221</v>
      </c>
      <c r="W131" s="7">
        <v>0</v>
      </c>
      <c r="X131" s="7">
        <v>0</v>
      </c>
      <c r="Y131" s="7">
        <v>0</v>
      </c>
      <c r="Z131" s="7">
        <v>0</v>
      </c>
      <c r="AA131" s="7">
        <v>0.03</v>
      </c>
      <c r="AB131" s="7">
        <v>0.27272727272727271</v>
      </c>
      <c r="AC131" s="7">
        <v>0.27272727272727271</v>
      </c>
      <c r="AD131" s="7">
        <v>0</v>
      </c>
      <c r="AE131" s="7">
        <v>0</v>
      </c>
      <c r="AF131" s="7">
        <v>0</v>
      </c>
      <c r="AG131" s="7">
        <v>0</v>
      </c>
      <c r="AH131" s="7">
        <v>0.13999999999999996</v>
      </c>
      <c r="AI131" s="7">
        <v>0.37837837837837834</v>
      </c>
      <c r="AJ131" s="7">
        <v>0</v>
      </c>
      <c r="AK131" s="7">
        <v>5.4054054054054029E-2</v>
      </c>
      <c r="AL131" s="7">
        <v>0</v>
      </c>
      <c r="AM131" s="7">
        <v>8.1081081081081058E-2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5.4054054054054029E-2</v>
      </c>
      <c r="AV131" s="7">
        <v>2.7027027027027015E-2</v>
      </c>
      <c r="AW131" s="7">
        <v>0</v>
      </c>
      <c r="AX131" s="7">
        <v>5.4054054054054029E-2</v>
      </c>
      <c r="AY131" s="7">
        <v>2.7027027027027015E-2</v>
      </c>
      <c r="AZ131" s="7">
        <v>0</v>
      </c>
      <c r="BA131" s="7">
        <v>5.4054054054054029E-2</v>
      </c>
      <c r="BB131" s="7">
        <v>0</v>
      </c>
      <c r="BC131" s="7">
        <v>0</v>
      </c>
      <c r="BD131">
        <v>2.7027027027027015E-2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31" s="42">
        <f>+IF(AVANCE[[#This Row],[FECHA INICIO REAL]]="","",AVANCE[[#This Row],[FECHA INICIO REAL]]-AVANCE[[#This Row],[FECHA INICIO TEORICO]])</f>
        <v>14</v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1" s="42">
        <f>+AVANCE[[#This Row],[FECHA TERMINO  PLANIFICADO]]-AVANCE[[#This Row],[FECHA INICIO TEORICO]]</f>
        <v>32</v>
      </c>
      <c r="BK131" s="42">
        <f>+AVANCE[[#This Row],[FECHA TERMINO]]-AVANCE[[#This Row],[FECHA INICIO REAL]]</f>
        <v>-46211</v>
      </c>
    </row>
    <row r="132" spans="1:63" x14ac:dyDescent="0.25">
      <c r="A132" t="s">
        <v>953</v>
      </c>
      <c r="B132" t="s">
        <v>956</v>
      </c>
      <c r="C132">
        <v>2302600131</v>
      </c>
      <c r="D132" t="s">
        <v>831</v>
      </c>
      <c r="E132" s="4">
        <v>0.63</v>
      </c>
      <c r="F132" s="1">
        <v>46198</v>
      </c>
      <c r="G132" s="1">
        <v>46212</v>
      </c>
      <c r="H132" s="1">
        <v>46231</v>
      </c>
      <c r="I132" s="1">
        <v>46230</v>
      </c>
      <c r="J132">
        <v>2</v>
      </c>
      <c r="K132" s="1"/>
      <c r="L132" s="7">
        <v>0.43</v>
      </c>
      <c r="M132" s="7">
        <v>1</v>
      </c>
      <c r="N132" s="7">
        <v>0.27906976744186046</v>
      </c>
      <c r="O132" s="7">
        <v>0.18604651162790695</v>
      </c>
      <c r="P132" s="7">
        <v>0.2558139534883721</v>
      </c>
      <c r="Q132" s="7">
        <v>0.18604651162790695</v>
      </c>
      <c r="R132" s="7">
        <v>9.3023255813953487E-2</v>
      </c>
      <c r="S132" s="7">
        <v>3.9999999999999994E-2</v>
      </c>
      <c r="T132" s="7">
        <v>0.44444444444444442</v>
      </c>
      <c r="U132" s="7">
        <v>0.22222222222222221</v>
      </c>
      <c r="V132" s="7">
        <v>0.22222222222222221</v>
      </c>
      <c r="W132" s="7">
        <v>0</v>
      </c>
      <c r="X132" s="7">
        <v>0</v>
      </c>
      <c r="Y132" s="7">
        <v>0</v>
      </c>
      <c r="Z132" s="7">
        <v>0</v>
      </c>
      <c r="AA132" s="7">
        <v>0.06</v>
      </c>
      <c r="AB132" s="7">
        <v>0.54545454545454541</v>
      </c>
      <c r="AC132" s="7">
        <v>0.27272727272727271</v>
      </c>
      <c r="AD132" s="7">
        <v>0.27272727272727271</v>
      </c>
      <c r="AE132" s="7">
        <v>0</v>
      </c>
      <c r="AF132" s="7">
        <v>0</v>
      </c>
      <c r="AG132" s="7">
        <v>0</v>
      </c>
      <c r="AH132" s="7">
        <v>9.9999999999999964E-2</v>
      </c>
      <c r="AI132" s="7">
        <v>0.27027027027027017</v>
      </c>
      <c r="AJ132" s="7">
        <v>0</v>
      </c>
      <c r="AK132" s="7">
        <v>5.4054054054054029E-2</v>
      </c>
      <c r="AL132" s="7">
        <v>0</v>
      </c>
      <c r="AM132" s="7">
        <v>8.1081081081081058E-2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5.4054054054054029E-2</v>
      </c>
      <c r="AY132" s="7">
        <v>2.7027027027027015E-2</v>
      </c>
      <c r="AZ132" s="7">
        <v>0</v>
      </c>
      <c r="BA132" s="7">
        <v>5.4054054054054029E-2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32" s="42">
        <f>+IF(AVANCE[[#This Row],[FECHA INICIO REAL]]="","",AVANCE[[#This Row],[FECHA INICIO REAL]]-AVANCE[[#This Row],[FECHA INICIO TEORICO]])</f>
        <v>14</v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2" s="42">
        <f>+AVANCE[[#This Row],[FECHA TERMINO  PLANIFICADO]]-AVANCE[[#This Row],[FECHA INICIO TEORICO]]</f>
        <v>32</v>
      </c>
      <c r="BK132" s="42">
        <f>+AVANCE[[#This Row],[FECHA TERMINO]]-AVANCE[[#This Row],[FECHA INICIO REAL]]</f>
        <v>-46212</v>
      </c>
    </row>
    <row r="133" spans="1:63" x14ac:dyDescent="0.25">
      <c r="A133" t="s">
        <v>953</v>
      </c>
      <c r="B133" t="s">
        <v>957</v>
      </c>
      <c r="C133">
        <v>2282600132</v>
      </c>
      <c r="D133" t="s">
        <v>830</v>
      </c>
      <c r="E133" s="4">
        <v>0.82499999999999984</v>
      </c>
      <c r="F133" s="1">
        <v>46198</v>
      </c>
      <c r="G133" s="1">
        <v>46216</v>
      </c>
      <c r="H133" s="1">
        <v>46231</v>
      </c>
      <c r="I133" s="1">
        <v>46220</v>
      </c>
      <c r="J133">
        <v>2</v>
      </c>
      <c r="K133" s="1"/>
      <c r="L133" s="7">
        <v>0.43</v>
      </c>
      <c r="M133" s="7">
        <v>1</v>
      </c>
      <c r="N133" s="7">
        <v>0.27906976744186046</v>
      </c>
      <c r="O133" s="7">
        <v>0.18604651162790695</v>
      </c>
      <c r="P133" s="7">
        <v>0.2558139534883721</v>
      </c>
      <c r="Q133" s="7">
        <v>0.18604651162790695</v>
      </c>
      <c r="R133" s="7">
        <v>9.3023255813953487E-2</v>
      </c>
      <c r="S133" s="7">
        <v>0.09</v>
      </c>
      <c r="T133" s="7">
        <v>1</v>
      </c>
      <c r="U133" s="7">
        <v>0.22222222222222221</v>
      </c>
      <c r="V133" s="7">
        <v>0.22222222222222221</v>
      </c>
      <c r="W133" s="7">
        <v>0.1111111111111111</v>
      </c>
      <c r="X133" s="7">
        <v>0.1111111111111111</v>
      </c>
      <c r="Y133" s="7">
        <v>0.1111111111111111</v>
      </c>
      <c r="Z133" s="7">
        <v>0.22222222222222221</v>
      </c>
      <c r="AA133" s="7">
        <v>6.9999999999999993E-2</v>
      </c>
      <c r="AB133" s="7">
        <v>0.63636363636363635</v>
      </c>
      <c r="AC133" s="7">
        <v>0.27272727272727271</v>
      </c>
      <c r="AD133" s="7">
        <v>0</v>
      </c>
      <c r="AE133" s="7">
        <v>0</v>
      </c>
      <c r="AF133" s="7">
        <v>0.18181818181818185</v>
      </c>
      <c r="AG133" s="7">
        <v>0.18181818181818185</v>
      </c>
      <c r="AH133" s="7">
        <v>0.2349999999999999</v>
      </c>
      <c r="AI133" s="7">
        <v>0.63513513513513487</v>
      </c>
      <c r="AJ133" s="7">
        <v>5.4054054054054029E-2</v>
      </c>
      <c r="AK133" s="7">
        <v>5.4054054054054029E-2</v>
      </c>
      <c r="AL133" s="7">
        <v>2.7027027027027015E-2</v>
      </c>
      <c r="AM133" s="7">
        <v>8.1081081081081058E-2</v>
      </c>
      <c r="AN133" s="7">
        <v>0</v>
      </c>
      <c r="AO133" s="7">
        <v>0</v>
      </c>
      <c r="AP133" s="7">
        <v>5.4054054054054029E-2</v>
      </c>
      <c r="AQ133" s="7">
        <v>0</v>
      </c>
      <c r="AR133" s="7">
        <v>0</v>
      </c>
      <c r="AS133" s="7">
        <v>0</v>
      </c>
      <c r="AT133" s="7">
        <v>0</v>
      </c>
      <c r="AU133" s="7">
        <v>5.4054054054054029E-2</v>
      </c>
      <c r="AV133" s="7">
        <v>0</v>
      </c>
      <c r="AW133" s="7">
        <v>5.4054054054054029E-2</v>
      </c>
      <c r="AX133" s="7">
        <v>5.4054054054054029E-2</v>
      </c>
      <c r="AY133" s="7">
        <v>2.7027027027027015E-2</v>
      </c>
      <c r="AZ133" s="7">
        <v>0</v>
      </c>
      <c r="BA133" s="7">
        <v>5.4054054054054029E-2</v>
      </c>
      <c r="BB133" s="7">
        <v>8.1081081081081058E-2</v>
      </c>
      <c r="BC133" s="7">
        <v>1.3513513513513507E-2</v>
      </c>
      <c r="BD133">
        <v>2.7027027027027015E-2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33" s="42">
        <f>+IF(AVANCE[[#This Row],[FECHA INICIO REAL]]="","",AVANCE[[#This Row],[FECHA INICIO REAL]]-AVANCE[[#This Row],[FECHA INICIO TEORICO]])</f>
        <v>18</v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3" s="42">
        <f>+AVANCE[[#This Row],[FECHA TERMINO  PLANIFICADO]]-AVANCE[[#This Row],[FECHA INICIO TEORICO]]</f>
        <v>22</v>
      </c>
      <c r="BK133" s="42">
        <f>+AVANCE[[#This Row],[FECHA TERMINO]]-AVANCE[[#This Row],[FECHA INICIO REAL]]</f>
        <v>-46216</v>
      </c>
    </row>
    <row r="134" spans="1:63" x14ac:dyDescent="0.25">
      <c r="A134" t="s">
        <v>953</v>
      </c>
      <c r="B134" t="s">
        <v>958</v>
      </c>
      <c r="C134">
        <v>2282600133</v>
      </c>
      <c r="D134" t="s">
        <v>830</v>
      </c>
      <c r="E134" s="4">
        <v>0.8949999999999998</v>
      </c>
      <c r="F134" s="1">
        <v>46198</v>
      </c>
      <c r="G134" s="1">
        <v>46216</v>
      </c>
      <c r="H134" s="1">
        <v>46232</v>
      </c>
      <c r="I134" s="1">
        <v>46220</v>
      </c>
      <c r="J134">
        <v>1</v>
      </c>
      <c r="K134" s="1"/>
      <c r="L134" s="7">
        <v>0.43</v>
      </c>
      <c r="M134" s="7">
        <v>1</v>
      </c>
      <c r="N134" s="7">
        <v>0.27906976744186046</v>
      </c>
      <c r="O134" s="7">
        <v>0.18604651162790695</v>
      </c>
      <c r="P134" s="7">
        <v>0.2558139534883721</v>
      </c>
      <c r="Q134" s="7">
        <v>0.18604651162790695</v>
      </c>
      <c r="R134" s="7">
        <v>9.3023255813953487E-2</v>
      </c>
      <c r="S134" s="7">
        <v>0.09</v>
      </c>
      <c r="T134" s="7">
        <v>1</v>
      </c>
      <c r="U134" s="7">
        <v>0.22222222222222221</v>
      </c>
      <c r="V134" s="7">
        <v>0.22222222222222221</v>
      </c>
      <c r="W134" s="7">
        <v>0.1111111111111111</v>
      </c>
      <c r="X134" s="7">
        <v>0.1111111111111111</v>
      </c>
      <c r="Y134" s="7">
        <v>0.1111111111111111</v>
      </c>
      <c r="Z134" s="7">
        <v>0.22222222222222221</v>
      </c>
      <c r="AA134" s="7">
        <v>6.9999999999999993E-2</v>
      </c>
      <c r="AB134" s="7">
        <v>0.63636363636363635</v>
      </c>
      <c r="AC134" s="7">
        <v>0.27272727272727271</v>
      </c>
      <c r="AD134" s="7">
        <v>0</v>
      </c>
      <c r="AE134" s="7">
        <v>0</v>
      </c>
      <c r="AF134" s="7">
        <v>0.18181818181818185</v>
      </c>
      <c r="AG134" s="7">
        <v>0.18181818181818185</v>
      </c>
      <c r="AH134" s="7">
        <v>0.30499999999999988</v>
      </c>
      <c r="AI134" s="7">
        <v>0.82432432432432401</v>
      </c>
      <c r="AJ134" s="7">
        <v>5.4054054054054029E-2</v>
      </c>
      <c r="AK134" s="7">
        <v>5.4054054054054029E-2</v>
      </c>
      <c r="AL134" s="7">
        <v>2.7027027027027015E-2</v>
      </c>
      <c r="AM134" s="7">
        <v>8.1081081081081058E-2</v>
      </c>
      <c r="AN134" s="7">
        <v>8.1081081081081058E-2</v>
      </c>
      <c r="AO134" s="7">
        <v>6.7567567567567557E-2</v>
      </c>
      <c r="AP134" s="7">
        <v>5.4054054054054029E-2</v>
      </c>
      <c r="AQ134" s="7">
        <v>0</v>
      </c>
      <c r="AR134" s="7">
        <v>0</v>
      </c>
      <c r="AS134" s="7">
        <v>1.3513513513513507E-2</v>
      </c>
      <c r="AT134" s="7">
        <v>8.1081081081081058E-2</v>
      </c>
      <c r="AU134" s="7">
        <v>5.4054054054054029E-2</v>
      </c>
      <c r="AV134" s="7">
        <v>0</v>
      </c>
      <c r="AW134" s="7">
        <v>5.4054054054054029E-2</v>
      </c>
      <c r="AX134" s="7">
        <v>5.4054054054054029E-2</v>
      </c>
      <c r="AY134" s="7">
        <v>2.7027027027027015E-2</v>
      </c>
      <c r="AZ134" s="7">
        <v>0</v>
      </c>
      <c r="BA134" s="7">
        <v>0</v>
      </c>
      <c r="BB134" s="7">
        <v>8.1081081081081058E-2</v>
      </c>
      <c r="BC134" s="7">
        <v>1.3513513513513507E-2</v>
      </c>
      <c r="BD134">
        <v>2.7027027027027015E-2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34" s="42">
        <f>+IF(AVANCE[[#This Row],[FECHA INICIO REAL]]="","",AVANCE[[#This Row],[FECHA INICIO REAL]]-AVANCE[[#This Row],[FECHA INICIO TEORICO]])</f>
        <v>18</v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4" s="42">
        <f>+AVANCE[[#This Row],[FECHA TERMINO  PLANIFICADO]]-AVANCE[[#This Row],[FECHA INICIO TEORICO]]</f>
        <v>22</v>
      </c>
      <c r="BK134" s="42">
        <f>+AVANCE[[#This Row],[FECHA TERMINO]]-AVANCE[[#This Row],[FECHA INICIO REAL]]</f>
        <v>-46216</v>
      </c>
    </row>
    <row r="135" spans="1:63" x14ac:dyDescent="0.25">
      <c r="A135" t="s">
        <v>953</v>
      </c>
      <c r="B135" t="s">
        <v>959</v>
      </c>
      <c r="C135">
        <v>2302600134</v>
      </c>
      <c r="D135" t="s">
        <v>831</v>
      </c>
      <c r="E135" s="4">
        <v>0.69499999999999995</v>
      </c>
      <c r="F135" s="1">
        <v>46199</v>
      </c>
      <c r="G135" s="1">
        <v>46216</v>
      </c>
      <c r="H135" s="1">
        <v>46232</v>
      </c>
      <c r="I135" s="1">
        <v>46231</v>
      </c>
      <c r="J135">
        <v>1</v>
      </c>
      <c r="K135" s="1"/>
      <c r="L135" s="7">
        <v>0.43</v>
      </c>
      <c r="M135" s="7">
        <v>1</v>
      </c>
      <c r="N135" s="7">
        <v>0.27906976744186046</v>
      </c>
      <c r="O135" s="7">
        <v>0.18604651162790695</v>
      </c>
      <c r="P135" s="7">
        <v>0.2558139534883721</v>
      </c>
      <c r="Q135" s="7">
        <v>0.18604651162790695</v>
      </c>
      <c r="R135" s="7">
        <v>9.3023255813953487E-2</v>
      </c>
      <c r="S135" s="7">
        <v>0.05</v>
      </c>
      <c r="T135" s="7">
        <v>0.55555555555555558</v>
      </c>
      <c r="U135" s="7">
        <v>0.22222222222222221</v>
      </c>
      <c r="V135" s="7">
        <v>0.22222222222222221</v>
      </c>
      <c r="W135" s="7">
        <v>0</v>
      </c>
      <c r="X135" s="7">
        <v>0.1111111111111111</v>
      </c>
      <c r="Y135" s="7">
        <v>0</v>
      </c>
      <c r="Z135" s="7">
        <v>0</v>
      </c>
      <c r="AA135" s="7">
        <v>0.03</v>
      </c>
      <c r="AB135" s="7">
        <v>0.27272727272727271</v>
      </c>
      <c r="AC135" s="7">
        <v>0.27272727272727271</v>
      </c>
      <c r="AD135" s="7">
        <v>0</v>
      </c>
      <c r="AE135" s="7">
        <v>0</v>
      </c>
      <c r="AF135" s="7">
        <v>0</v>
      </c>
      <c r="AG135" s="7">
        <v>0</v>
      </c>
      <c r="AH135" s="7">
        <v>0.18499999999999997</v>
      </c>
      <c r="AI135" s="7">
        <v>0.49999999999999994</v>
      </c>
      <c r="AJ135" s="7">
        <v>5.4054054054054029E-2</v>
      </c>
      <c r="AK135" s="7">
        <v>5.4054054054054029E-2</v>
      </c>
      <c r="AL135" s="7">
        <v>0</v>
      </c>
      <c r="AM135" s="7">
        <v>8.1081081081081058E-2</v>
      </c>
      <c r="AN135" s="7">
        <v>8.1081081081081058E-2</v>
      </c>
      <c r="AO135" s="7">
        <v>6.7567567567567557E-2</v>
      </c>
      <c r="AP135" s="7">
        <v>5.4054054054054029E-2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2.7027027027027015E-2</v>
      </c>
      <c r="AZ135" s="7">
        <v>0</v>
      </c>
      <c r="BA135" s="7">
        <v>5.4054054054054029E-2</v>
      </c>
      <c r="BB135" s="7">
        <v>0</v>
      </c>
      <c r="BC135" s="7">
        <v>0</v>
      </c>
      <c r="BD135">
        <v>2.7027027027027015E-2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35" s="42">
        <f>+IF(AVANCE[[#This Row],[FECHA INICIO REAL]]="","",AVANCE[[#This Row],[FECHA INICIO REAL]]-AVANCE[[#This Row],[FECHA INICIO TEORICO]])</f>
        <v>17</v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5" s="42">
        <f>+AVANCE[[#This Row],[FECHA TERMINO  PLANIFICADO]]-AVANCE[[#This Row],[FECHA INICIO TEORICO]]</f>
        <v>32</v>
      </c>
      <c r="BK135" s="42">
        <f>+AVANCE[[#This Row],[FECHA TERMINO]]-AVANCE[[#This Row],[FECHA INICIO REAL]]</f>
        <v>-46216</v>
      </c>
    </row>
    <row r="136" spans="1:63" x14ac:dyDescent="0.25">
      <c r="A136" t="s">
        <v>953</v>
      </c>
      <c r="B136" t="s">
        <v>960</v>
      </c>
      <c r="C136">
        <v>2302600135</v>
      </c>
      <c r="D136" t="s">
        <v>831</v>
      </c>
      <c r="E136" s="4">
        <v>0.75499999999999989</v>
      </c>
      <c r="F136" s="1">
        <v>46199</v>
      </c>
      <c r="G136" s="1">
        <v>46212</v>
      </c>
      <c r="H136" s="1">
        <v>46232</v>
      </c>
      <c r="I136" s="1">
        <v>46231</v>
      </c>
      <c r="J136">
        <v>1</v>
      </c>
      <c r="K136" s="1"/>
      <c r="L136" s="7">
        <v>0.43</v>
      </c>
      <c r="M136" s="7">
        <v>1</v>
      </c>
      <c r="N136" s="7">
        <v>0.27906976744186046</v>
      </c>
      <c r="O136" s="7">
        <v>0.18604651162790695</v>
      </c>
      <c r="P136" s="7">
        <v>0.2558139534883721</v>
      </c>
      <c r="Q136" s="7">
        <v>0.18604651162790695</v>
      </c>
      <c r="R136" s="7">
        <v>9.3023255813953487E-2</v>
      </c>
      <c r="S136" s="7">
        <v>0.05</v>
      </c>
      <c r="T136" s="7">
        <v>0.55555555555555558</v>
      </c>
      <c r="U136" s="7">
        <v>0.22222222222222221</v>
      </c>
      <c r="V136" s="7">
        <v>0.22222222222222221</v>
      </c>
      <c r="W136" s="7">
        <v>0</v>
      </c>
      <c r="X136" s="7">
        <v>0.1111111111111111</v>
      </c>
      <c r="Y136" s="7">
        <v>0</v>
      </c>
      <c r="Z136" s="7">
        <v>0</v>
      </c>
      <c r="AA136" s="7">
        <v>0.03</v>
      </c>
      <c r="AB136" s="7">
        <v>0.27272727272727271</v>
      </c>
      <c r="AC136" s="7">
        <v>0.27272727272727271</v>
      </c>
      <c r="AD136" s="7">
        <v>0</v>
      </c>
      <c r="AE136" s="7">
        <v>0</v>
      </c>
      <c r="AF136" s="7">
        <v>0</v>
      </c>
      <c r="AG136" s="7">
        <v>0</v>
      </c>
      <c r="AH136" s="7">
        <v>0.24499999999999988</v>
      </c>
      <c r="AI136" s="7">
        <v>0.66216216216216184</v>
      </c>
      <c r="AJ136" s="7">
        <v>5.4054054054054029E-2</v>
      </c>
      <c r="AK136" s="7">
        <v>5.4054054054054029E-2</v>
      </c>
      <c r="AL136" s="7">
        <v>0</v>
      </c>
      <c r="AM136" s="7">
        <v>8.1081081081081058E-2</v>
      </c>
      <c r="AN136" s="7">
        <v>8.1081081081081058E-2</v>
      </c>
      <c r="AO136" s="7">
        <v>0</v>
      </c>
      <c r="AP136" s="7">
        <v>5.4054054054054029E-2</v>
      </c>
      <c r="AQ136" s="7">
        <v>0</v>
      </c>
      <c r="AR136" s="7">
        <v>0</v>
      </c>
      <c r="AS136" s="7">
        <v>1.3513513513513507E-2</v>
      </c>
      <c r="AT136" s="7">
        <v>8.1081081081081058E-2</v>
      </c>
      <c r="AU136" s="7">
        <v>5.4054054054054029E-2</v>
      </c>
      <c r="AV136" s="7">
        <v>2.7027027027027015E-2</v>
      </c>
      <c r="AW136" s="7">
        <v>0</v>
      </c>
      <c r="AX136" s="7">
        <v>5.4054054054054029E-2</v>
      </c>
      <c r="AY136" s="7">
        <v>2.7027027027027015E-2</v>
      </c>
      <c r="AZ136" s="7">
        <v>0</v>
      </c>
      <c r="BA136" s="7">
        <v>5.4054054054054029E-2</v>
      </c>
      <c r="BB136" s="7">
        <v>0</v>
      </c>
      <c r="BC136" s="7">
        <v>0</v>
      </c>
      <c r="BD136">
        <v>2.7027027027027015E-2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36" s="42">
        <f>+IF(AVANCE[[#This Row],[FECHA INICIO REAL]]="","",AVANCE[[#This Row],[FECHA INICIO REAL]]-AVANCE[[#This Row],[FECHA INICIO TEORICO]])</f>
        <v>13</v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6" s="42">
        <f>+AVANCE[[#This Row],[FECHA TERMINO  PLANIFICADO]]-AVANCE[[#This Row],[FECHA INICIO TEORICO]]</f>
        <v>32</v>
      </c>
      <c r="BK136" s="42">
        <f>+AVANCE[[#This Row],[FECHA TERMINO]]-AVANCE[[#This Row],[FECHA INICIO REAL]]</f>
        <v>-46212</v>
      </c>
    </row>
    <row r="137" spans="1:63" x14ac:dyDescent="0.25">
      <c r="A137" t="s">
        <v>953</v>
      </c>
      <c r="B137" t="s">
        <v>961</v>
      </c>
      <c r="C137">
        <v>2282600136</v>
      </c>
      <c r="D137" t="s">
        <v>830</v>
      </c>
      <c r="E137" s="4">
        <v>0.83499999999999985</v>
      </c>
      <c r="F137" s="1">
        <v>46202</v>
      </c>
      <c r="G137" s="1">
        <v>46212</v>
      </c>
      <c r="H137" s="1">
        <v>46232</v>
      </c>
      <c r="I137" s="1">
        <v>46224</v>
      </c>
      <c r="J137">
        <v>1</v>
      </c>
      <c r="K137" s="1"/>
      <c r="L137" s="7">
        <v>0.43</v>
      </c>
      <c r="M137" s="7">
        <v>1</v>
      </c>
      <c r="N137" s="7">
        <v>0.27906976744186046</v>
      </c>
      <c r="O137" s="7">
        <v>0.18604651162790695</v>
      </c>
      <c r="P137" s="7">
        <v>0.2558139534883721</v>
      </c>
      <c r="Q137" s="7">
        <v>0.18604651162790695</v>
      </c>
      <c r="R137" s="7">
        <v>9.3023255813953487E-2</v>
      </c>
      <c r="S137" s="7">
        <v>0.09</v>
      </c>
      <c r="T137" s="7">
        <v>1</v>
      </c>
      <c r="U137" s="7">
        <v>0.22222222222222221</v>
      </c>
      <c r="V137" s="7">
        <v>0.22222222222222221</v>
      </c>
      <c r="W137" s="7">
        <v>0.1111111111111111</v>
      </c>
      <c r="X137" s="7">
        <v>0.1111111111111111</v>
      </c>
      <c r="Y137" s="7">
        <v>0.1111111111111111</v>
      </c>
      <c r="Z137" s="7">
        <v>0.22222222222222221</v>
      </c>
      <c r="AA137" s="7">
        <v>6.9999999999999993E-2</v>
      </c>
      <c r="AB137" s="7">
        <v>0.63636363636363635</v>
      </c>
      <c r="AC137" s="7">
        <v>0.27272727272727271</v>
      </c>
      <c r="AD137" s="7">
        <v>0</v>
      </c>
      <c r="AE137" s="7">
        <v>0</v>
      </c>
      <c r="AF137" s="7">
        <v>0.18181818181818185</v>
      </c>
      <c r="AG137" s="7">
        <v>0.18181818181818185</v>
      </c>
      <c r="AH137" s="7">
        <v>0.24499999999999991</v>
      </c>
      <c r="AI137" s="7">
        <v>0.66216216216216195</v>
      </c>
      <c r="AJ137" s="7">
        <v>5.4054054054054029E-2</v>
      </c>
      <c r="AK137" s="7">
        <v>5.4054054054054029E-2</v>
      </c>
      <c r="AL137" s="7">
        <v>2.7027027027027015E-2</v>
      </c>
      <c r="AM137" s="7">
        <v>8.1081081081081058E-2</v>
      </c>
      <c r="AN137" s="7">
        <v>0</v>
      </c>
      <c r="AO137" s="7">
        <v>0</v>
      </c>
      <c r="AP137" s="7">
        <v>5.4054054054054029E-2</v>
      </c>
      <c r="AQ137" s="7">
        <v>0</v>
      </c>
      <c r="AR137" s="7">
        <v>0</v>
      </c>
      <c r="AS137" s="7">
        <v>0</v>
      </c>
      <c r="AT137" s="7">
        <v>0</v>
      </c>
      <c r="AU137" s="7">
        <v>5.4054054054054029E-2</v>
      </c>
      <c r="AV137" s="7">
        <v>2.7027027027027015E-2</v>
      </c>
      <c r="AW137" s="7">
        <v>5.4054054054054029E-2</v>
      </c>
      <c r="AX137" s="7">
        <v>5.4054054054054029E-2</v>
      </c>
      <c r="AY137" s="7">
        <v>2.7027027027027015E-2</v>
      </c>
      <c r="AZ137" s="7">
        <v>0</v>
      </c>
      <c r="BA137" s="7">
        <v>5.4054054054054029E-2</v>
      </c>
      <c r="BB137" s="7">
        <v>8.1081081081081058E-2</v>
      </c>
      <c r="BC137" s="7">
        <v>1.3513513513513507E-2</v>
      </c>
      <c r="BD137">
        <v>2.7027027027027015E-2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37" s="42">
        <f>+IF(AVANCE[[#This Row],[FECHA INICIO REAL]]="","",AVANCE[[#This Row],[FECHA INICIO REAL]]-AVANCE[[#This Row],[FECHA INICIO TEORICO]])</f>
        <v>10</v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7" s="42">
        <f>+AVANCE[[#This Row],[FECHA TERMINO  PLANIFICADO]]-AVANCE[[#This Row],[FECHA INICIO TEORICO]]</f>
        <v>22</v>
      </c>
      <c r="BK137" s="42">
        <f>+AVANCE[[#This Row],[FECHA TERMINO]]-AVANCE[[#This Row],[FECHA INICIO REAL]]</f>
        <v>-46212</v>
      </c>
    </row>
    <row r="138" spans="1:63" x14ac:dyDescent="0.25">
      <c r="A138" t="s">
        <v>953</v>
      </c>
      <c r="B138" t="s">
        <v>962</v>
      </c>
      <c r="C138">
        <v>2282600137</v>
      </c>
      <c r="D138" t="s">
        <v>830</v>
      </c>
      <c r="E138" s="4">
        <v>0.84499999999999997</v>
      </c>
      <c r="F138" s="1">
        <v>46202</v>
      </c>
      <c r="G138" s="1">
        <v>46218</v>
      </c>
      <c r="H138" s="1">
        <v>46231</v>
      </c>
      <c r="I138" s="1">
        <v>46224</v>
      </c>
      <c r="J138">
        <v>2</v>
      </c>
      <c r="K138" s="1"/>
      <c r="L138" s="7">
        <v>0.43</v>
      </c>
      <c r="M138" s="7">
        <v>1</v>
      </c>
      <c r="N138" s="7">
        <v>0.27906976744186046</v>
      </c>
      <c r="O138" s="7">
        <v>0.18604651162790695</v>
      </c>
      <c r="P138" s="7">
        <v>0.2558139534883721</v>
      </c>
      <c r="Q138" s="7">
        <v>0.18604651162790695</v>
      </c>
      <c r="R138" s="7">
        <v>9.3023255813953487E-2</v>
      </c>
      <c r="S138" s="7">
        <v>0.09</v>
      </c>
      <c r="T138" s="7">
        <v>1</v>
      </c>
      <c r="U138" s="7">
        <v>0.22222222222222221</v>
      </c>
      <c r="V138" s="7">
        <v>0.22222222222222221</v>
      </c>
      <c r="W138" s="7">
        <v>0.1111111111111111</v>
      </c>
      <c r="X138" s="7">
        <v>0.1111111111111111</v>
      </c>
      <c r="Y138" s="7">
        <v>0.1111111111111111</v>
      </c>
      <c r="Z138" s="7">
        <v>0.22222222222222221</v>
      </c>
      <c r="AA138" s="7">
        <v>0.11</v>
      </c>
      <c r="AB138" s="7">
        <v>1</v>
      </c>
      <c r="AC138" s="7">
        <v>0.27272727272727271</v>
      </c>
      <c r="AD138" s="7">
        <v>0.27272727272727271</v>
      </c>
      <c r="AE138" s="7">
        <v>9.0909090909090912E-2</v>
      </c>
      <c r="AF138" s="7">
        <v>0.18181818181818185</v>
      </c>
      <c r="AG138" s="7">
        <v>0.18181818181818185</v>
      </c>
      <c r="AH138" s="7">
        <v>0.21499999999999991</v>
      </c>
      <c r="AI138" s="7">
        <v>0.58108108108108092</v>
      </c>
      <c r="AJ138" s="7">
        <v>5.4054054054054029E-2</v>
      </c>
      <c r="AK138" s="7">
        <v>5.4054054054054029E-2</v>
      </c>
      <c r="AL138" s="7">
        <v>2.7027027027027015E-2</v>
      </c>
      <c r="AM138" s="7">
        <v>8.1081081081081058E-2</v>
      </c>
      <c r="AN138" s="7">
        <v>0</v>
      </c>
      <c r="AO138" s="7">
        <v>0</v>
      </c>
      <c r="AP138" s="7">
        <v>5.4054054054054029E-2</v>
      </c>
      <c r="AQ138" s="7">
        <v>0</v>
      </c>
      <c r="AR138" s="7">
        <v>0</v>
      </c>
      <c r="AS138" s="7">
        <v>0</v>
      </c>
      <c r="AT138" s="7">
        <v>0</v>
      </c>
      <c r="AU138" s="7">
        <v>5.4054054054054029E-2</v>
      </c>
      <c r="AV138" s="7">
        <v>0</v>
      </c>
      <c r="AW138" s="7">
        <v>5.4054054054054029E-2</v>
      </c>
      <c r="AX138" s="7">
        <v>5.4054054054054029E-2</v>
      </c>
      <c r="AY138" s="7">
        <v>2.7027027027027015E-2</v>
      </c>
      <c r="AZ138" s="7">
        <v>0</v>
      </c>
      <c r="BA138" s="7">
        <v>0</v>
      </c>
      <c r="BB138" s="7">
        <v>8.1081081081081058E-2</v>
      </c>
      <c r="BC138" s="7">
        <v>1.3513513513513507E-2</v>
      </c>
      <c r="BD138">
        <v>2.7027027027027015E-2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38" s="42">
        <f>+IF(AVANCE[[#This Row],[FECHA INICIO REAL]]="","",AVANCE[[#This Row],[FECHA INICIO REAL]]-AVANCE[[#This Row],[FECHA INICIO TEORICO]])</f>
        <v>16</v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8" s="42">
        <f>+AVANCE[[#This Row],[FECHA TERMINO  PLANIFICADO]]-AVANCE[[#This Row],[FECHA INICIO TEORICO]]</f>
        <v>22</v>
      </c>
      <c r="BK138" s="42">
        <f>+AVANCE[[#This Row],[FECHA TERMINO]]-AVANCE[[#This Row],[FECHA INICIO REAL]]</f>
        <v>-46218</v>
      </c>
    </row>
    <row r="139" spans="1:63" x14ac:dyDescent="0.25">
      <c r="A139" t="s">
        <v>953</v>
      </c>
      <c r="B139" t="s">
        <v>963</v>
      </c>
      <c r="C139">
        <v>2302600138</v>
      </c>
      <c r="D139" t="s">
        <v>831</v>
      </c>
      <c r="E139" s="4">
        <v>0.57999999999999996</v>
      </c>
      <c r="F139" s="1">
        <v>46202</v>
      </c>
      <c r="G139" s="1">
        <v>46217</v>
      </c>
      <c r="H139" s="1">
        <v>46231</v>
      </c>
      <c r="I139" s="1">
        <v>46234</v>
      </c>
      <c r="J139">
        <v>2</v>
      </c>
      <c r="K139" s="1"/>
      <c r="L139" s="7">
        <v>0.43</v>
      </c>
      <c r="M139" s="7">
        <v>1</v>
      </c>
      <c r="N139" s="7">
        <v>0.27906976744186046</v>
      </c>
      <c r="O139" s="7">
        <v>0.18604651162790695</v>
      </c>
      <c r="P139" s="7">
        <v>0.2558139534883721</v>
      </c>
      <c r="Q139" s="7">
        <v>0.18604651162790695</v>
      </c>
      <c r="R139" s="7">
        <v>9.3023255813953487E-2</v>
      </c>
      <c r="S139" s="7">
        <v>3.9999999999999994E-2</v>
      </c>
      <c r="T139" s="7">
        <v>0.44444444444444442</v>
      </c>
      <c r="U139" s="7">
        <v>0.22222222222222221</v>
      </c>
      <c r="V139" s="7">
        <v>0.22222222222222221</v>
      </c>
      <c r="W139" s="7">
        <v>0</v>
      </c>
      <c r="X139" s="7">
        <v>0</v>
      </c>
      <c r="Y139" s="7">
        <v>0</v>
      </c>
      <c r="Z139" s="7">
        <v>0</v>
      </c>
      <c r="AA139" s="7">
        <v>0.03</v>
      </c>
      <c r="AB139" s="7">
        <v>0.27272727272727271</v>
      </c>
      <c r="AC139" s="7">
        <v>0.27272727272727271</v>
      </c>
      <c r="AD139" s="7">
        <v>0</v>
      </c>
      <c r="AE139" s="7">
        <v>0</v>
      </c>
      <c r="AF139" s="7">
        <v>0</v>
      </c>
      <c r="AG139" s="7">
        <v>0</v>
      </c>
      <c r="AH139" s="7">
        <v>7.9999999999999974E-2</v>
      </c>
      <c r="AI139" s="7">
        <v>0.21621621621621617</v>
      </c>
      <c r="AJ139" s="7">
        <v>0</v>
      </c>
      <c r="AK139" s="7">
        <v>5.4054054054054029E-2</v>
      </c>
      <c r="AL139" s="7">
        <v>0</v>
      </c>
      <c r="AM139" s="7">
        <v>8.1081081081081058E-2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2.7027027027027015E-2</v>
      </c>
      <c r="AZ139" s="7">
        <v>0</v>
      </c>
      <c r="BA139" s="7">
        <v>5.4054054054054029E-2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39" s="42">
        <f>+IF(AVANCE[[#This Row],[FECHA INICIO REAL]]="","",AVANCE[[#This Row],[FECHA INICIO REAL]]-AVANCE[[#This Row],[FECHA INICIO TEORICO]])</f>
        <v>15</v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9" s="42">
        <f>+AVANCE[[#This Row],[FECHA TERMINO  PLANIFICADO]]-AVANCE[[#This Row],[FECHA INICIO TEORICO]]</f>
        <v>32</v>
      </c>
      <c r="BK139" s="42">
        <f>+AVANCE[[#This Row],[FECHA TERMINO]]-AVANCE[[#This Row],[FECHA INICIO REAL]]</f>
        <v>-46217</v>
      </c>
    </row>
    <row r="140" spans="1:63" x14ac:dyDescent="0.25">
      <c r="A140" t="s">
        <v>953</v>
      </c>
      <c r="B140" t="s">
        <v>964</v>
      </c>
      <c r="C140">
        <v>2302600139</v>
      </c>
      <c r="D140" t="s">
        <v>831</v>
      </c>
      <c r="E140" s="4">
        <v>0.57999999999999996</v>
      </c>
      <c r="F140" s="1">
        <v>46203</v>
      </c>
      <c r="G140" s="1">
        <v>46218</v>
      </c>
      <c r="H140" s="1">
        <v>46227</v>
      </c>
      <c r="I140" s="1">
        <v>46235</v>
      </c>
      <c r="J140">
        <v>6</v>
      </c>
      <c r="K140" s="1"/>
      <c r="L140" s="7">
        <v>0.43</v>
      </c>
      <c r="M140" s="7">
        <v>1</v>
      </c>
      <c r="N140" s="7">
        <v>0.27906976744186046</v>
      </c>
      <c r="O140" s="7">
        <v>0.18604651162790695</v>
      </c>
      <c r="P140" s="7">
        <v>0.2558139534883721</v>
      </c>
      <c r="Q140" s="7">
        <v>0.18604651162790695</v>
      </c>
      <c r="R140" s="7">
        <v>9.3023255813953487E-2</v>
      </c>
      <c r="S140" s="7">
        <v>3.9999999999999994E-2</v>
      </c>
      <c r="T140" s="7">
        <v>0.44444444444444442</v>
      </c>
      <c r="U140" s="7">
        <v>0.22222222222222221</v>
      </c>
      <c r="V140" s="7">
        <v>0.22222222222222221</v>
      </c>
      <c r="W140" s="7">
        <v>0</v>
      </c>
      <c r="X140" s="7">
        <v>0</v>
      </c>
      <c r="Y140" s="7">
        <v>0</v>
      </c>
      <c r="Z140" s="7">
        <v>0</v>
      </c>
      <c r="AA140" s="7">
        <v>0.03</v>
      </c>
      <c r="AB140" s="7">
        <v>0.27272727272727271</v>
      </c>
      <c r="AC140" s="7">
        <v>0.27272727272727271</v>
      </c>
      <c r="AD140" s="7">
        <v>0</v>
      </c>
      <c r="AE140" s="7">
        <v>0</v>
      </c>
      <c r="AF140" s="7">
        <v>0</v>
      </c>
      <c r="AG140" s="7">
        <v>0</v>
      </c>
      <c r="AH140" s="7">
        <v>7.9999999999999974E-2</v>
      </c>
      <c r="AI140" s="7">
        <v>0.21621621621621617</v>
      </c>
      <c r="AJ140" s="7">
        <v>0</v>
      </c>
      <c r="AK140" s="7">
        <v>5.4054054054054029E-2</v>
      </c>
      <c r="AL140" s="7">
        <v>0</v>
      </c>
      <c r="AM140" s="7">
        <v>8.1081081081081058E-2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2.7027027027027015E-2</v>
      </c>
      <c r="AZ140" s="7">
        <v>0</v>
      </c>
      <c r="BA140" s="7">
        <v>5.4054054054054029E-2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40" s="42">
        <f>+IF(AVANCE[[#This Row],[FECHA INICIO REAL]]="","",AVANCE[[#This Row],[FECHA INICIO REAL]]-AVANCE[[#This Row],[FECHA INICIO TEORICO]])</f>
        <v>15</v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0" s="42">
        <f>+AVANCE[[#This Row],[FECHA TERMINO  PLANIFICADO]]-AVANCE[[#This Row],[FECHA INICIO TEORICO]]</f>
        <v>32</v>
      </c>
      <c r="BK140" s="42">
        <f>+AVANCE[[#This Row],[FECHA TERMINO]]-AVANCE[[#This Row],[FECHA INICIO REAL]]</f>
        <v>-46218</v>
      </c>
    </row>
    <row r="141" spans="1:63" x14ac:dyDescent="0.25">
      <c r="A141" t="s">
        <v>953</v>
      </c>
      <c r="B141" t="s">
        <v>965</v>
      </c>
      <c r="C141">
        <v>2282600140</v>
      </c>
      <c r="D141" t="s">
        <v>830</v>
      </c>
      <c r="E141" s="4">
        <v>0.80500000000000005</v>
      </c>
      <c r="F141" s="1">
        <v>46203</v>
      </c>
      <c r="G141" s="1">
        <v>46220</v>
      </c>
      <c r="H141" s="1">
        <v>46232</v>
      </c>
      <c r="I141" s="1">
        <v>46225</v>
      </c>
      <c r="J141">
        <v>1</v>
      </c>
      <c r="K141" s="1"/>
      <c r="L141" s="7">
        <v>0.43</v>
      </c>
      <c r="M141" s="7">
        <v>1</v>
      </c>
      <c r="N141" s="7">
        <v>0.27906976744186046</v>
      </c>
      <c r="O141" s="7">
        <v>0.18604651162790695</v>
      </c>
      <c r="P141" s="7">
        <v>0.2558139534883721</v>
      </c>
      <c r="Q141" s="7">
        <v>0.18604651162790695</v>
      </c>
      <c r="R141" s="7">
        <v>9.3023255813953487E-2</v>
      </c>
      <c r="S141" s="7">
        <v>0.09</v>
      </c>
      <c r="T141" s="7">
        <v>1</v>
      </c>
      <c r="U141" s="7">
        <v>0.22222222222222221</v>
      </c>
      <c r="V141" s="7">
        <v>0.22222222222222221</v>
      </c>
      <c r="W141" s="7">
        <v>0.1111111111111111</v>
      </c>
      <c r="X141" s="7">
        <v>0.1111111111111111</v>
      </c>
      <c r="Y141" s="7">
        <v>0.1111111111111111</v>
      </c>
      <c r="Z141" s="7">
        <v>0.22222222222222221</v>
      </c>
      <c r="AA141" s="7">
        <v>6.9999999999999993E-2</v>
      </c>
      <c r="AB141" s="7">
        <v>0.63636363636363635</v>
      </c>
      <c r="AC141" s="7">
        <v>0.27272727272727271</v>
      </c>
      <c r="AD141" s="7">
        <v>0</v>
      </c>
      <c r="AE141" s="7">
        <v>0</v>
      </c>
      <c r="AF141" s="7">
        <v>0.18181818181818185</v>
      </c>
      <c r="AG141" s="7">
        <v>0.18181818181818185</v>
      </c>
      <c r="AH141" s="7">
        <v>0.21499999999999991</v>
      </c>
      <c r="AI141" s="7">
        <v>0.58108108108108092</v>
      </c>
      <c r="AJ141" s="7">
        <v>5.4054054054054029E-2</v>
      </c>
      <c r="AK141" s="7">
        <v>5.4054054054054029E-2</v>
      </c>
      <c r="AL141" s="7">
        <v>2.7027027027027015E-2</v>
      </c>
      <c r="AM141" s="7">
        <v>8.1081081081081058E-2</v>
      </c>
      <c r="AN141" s="7">
        <v>0</v>
      </c>
      <c r="AO141" s="7">
        <v>0</v>
      </c>
      <c r="AP141" s="7">
        <v>5.4054054054054029E-2</v>
      </c>
      <c r="AQ141" s="7">
        <v>0</v>
      </c>
      <c r="AR141" s="7">
        <v>0</v>
      </c>
      <c r="AS141" s="7">
        <v>0</v>
      </c>
      <c r="AT141" s="7">
        <v>0</v>
      </c>
      <c r="AU141" s="7">
        <v>5.4054054054054029E-2</v>
      </c>
      <c r="AV141" s="7">
        <v>0</v>
      </c>
      <c r="AW141" s="7">
        <v>5.4054054054054029E-2</v>
      </c>
      <c r="AX141" s="7">
        <v>5.4054054054054029E-2</v>
      </c>
      <c r="AY141" s="7">
        <v>2.7027027027027015E-2</v>
      </c>
      <c r="AZ141" s="7">
        <v>0</v>
      </c>
      <c r="BA141" s="7">
        <v>0</v>
      </c>
      <c r="BB141" s="7">
        <v>8.1081081081081058E-2</v>
      </c>
      <c r="BC141" s="7">
        <v>1.3513513513513507E-2</v>
      </c>
      <c r="BD141">
        <v>2.7027027027027015E-2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41" s="42">
        <f>+IF(AVANCE[[#This Row],[FECHA INICIO REAL]]="","",AVANCE[[#This Row],[FECHA INICIO REAL]]-AVANCE[[#This Row],[FECHA INICIO TEORICO]])</f>
        <v>17</v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1" s="42">
        <f>+AVANCE[[#This Row],[FECHA TERMINO  PLANIFICADO]]-AVANCE[[#This Row],[FECHA INICIO TEORICO]]</f>
        <v>22</v>
      </c>
      <c r="BK141" s="42">
        <f>+AVANCE[[#This Row],[FECHA TERMINO]]-AVANCE[[#This Row],[FECHA INICIO REAL]]</f>
        <v>-46220</v>
      </c>
    </row>
    <row r="142" spans="1:63" x14ac:dyDescent="0.25">
      <c r="A142" t="s">
        <v>953</v>
      </c>
      <c r="B142" t="s">
        <v>966</v>
      </c>
      <c r="C142">
        <v>2282600141</v>
      </c>
      <c r="D142" t="s">
        <v>830</v>
      </c>
      <c r="E142" s="4">
        <v>0.7649999999999999</v>
      </c>
      <c r="F142" s="1">
        <v>46204</v>
      </c>
      <c r="G142" s="1">
        <v>46220</v>
      </c>
      <c r="H142" s="1">
        <v>46230</v>
      </c>
      <c r="I142" s="1">
        <v>46226</v>
      </c>
      <c r="J142">
        <v>3</v>
      </c>
      <c r="K142" s="1"/>
      <c r="L142" s="7">
        <v>0.43</v>
      </c>
      <c r="M142" s="7">
        <v>1</v>
      </c>
      <c r="N142" s="7">
        <v>0.27906976744186046</v>
      </c>
      <c r="O142" s="7">
        <v>0.18604651162790695</v>
      </c>
      <c r="P142" s="7">
        <v>0.2558139534883721</v>
      </c>
      <c r="Q142" s="7">
        <v>0.18604651162790695</v>
      </c>
      <c r="R142" s="7">
        <v>9.3023255813953487E-2</v>
      </c>
      <c r="S142" s="7">
        <v>0.09</v>
      </c>
      <c r="T142" s="7">
        <v>1</v>
      </c>
      <c r="U142" s="7">
        <v>0.22222222222222221</v>
      </c>
      <c r="V142" s="7">
        <v>0.22222222222222221</v>
      </c>
      <c r="W142" s="7">
        <v>0.1111111111111111</v>
      </c>
      <c r="X142" s="7">
        <v>0.1111111111111111</v>
      </c>
      <c r="Y142" s="7">
        <v>0.1111111111111111</v>
      </c>
      <c r="Z142" s="7">
        <v>0.22222222222222221</v>
      </c>
      <c r="AA142" s="7">
        <v>6.9999999999999993E-2</v>
      </c>
      <c r="AB142" s="7">
        <v>0.63636363636363635</v>
      </c>
      <c r="AC142" s="7">
        <v>0.27272727272727271</v>
      </c>
      <c r="AD142" s="7">
        <v>0</v>
      </c>
      <c r="AE142" s="7">
        <v>0</v>
      </c>
      <c r="AF142" s="7">
        <v>0.18181818181818185</v>
      </c>
      <c r="AG142" s="7">
        <v>0.18181818181818185</v>
      </c>
      <c r="AH142" s="7">
        <v>0.17499999999999996</v>
      </c>
      <c r="AI142" s="7">
        <v>0.47297297297297286</v>
      </c>
      <c r="AJ142" s="7">
        <v>0</v>
      </c>
      <c r="AK142" s="7">
        <v>5.4054054054054029E-2</v>
      </c>
      <c r="AL142" s="7">
        <v>2.7027027027027015E-2</v>
      </c>
      <c r="AM142" s="7">
        <v>8.1081081081081058E-2</v>
      </c>
      <c r="AN142" s="7">
        <v>0</v>
      </c>
      <c r="AO142" s="7">
        <v>0</v>
      </c>
      <c r="AP142" s="7">
        <v>5.4054054054054029E-2</v>
      </c>
      <c r="AQ142" s="7">
        <v>0</v>
      </c>
      <c r="AR142" s="7">
        <v>0</v>
      </c>
      <c r="AS142" s="7">
        <v>0</v>
      </c>
      <c r="AT142" s="7">
        <v>0</v>
      </c>
      <c r="AU142" s="7">
        <v>5.4054054054054029E-2</v>
      </c>
      <c r="AV142" s="7">
        <v>0</v>
      </c>
      <c r="AW142" s="7">
        <v>0</v>
      </c>
      <c r="AX142" s="7">
        <v>5.4054054054054029E-2</v>
      </c>
      <c r="AY142" s="7">
        <v>2.7027027027027015E-2</v>
      </c>
      <c r="AZ142" s="7">
        <v>0</v>
      </c>
      <c r="BA142" s="7">
        <v>0</v>
      </c>
      <c r="BB142" s="7">
        <v>8.1081081081081058E-2</v>
      </c>
      <c r="BC142" s="7">
        <v>1.3513513513513507E-2</v>
      </c>
      <c r="BD142">
        <v>2.7027027027027015E-2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42" s="42">
        <f>+IF(AVANCE[[#This Row],[FECHA INICIO REAL]]="","",AVANCE[[#This Row],[FECHA INICIO REAL]]-AVANCE[[#This Row],[FECHA INICIO TEORICO]])</f>
        <v>16</v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2" s="42">
        <f>+AVANCE[[#This Row],[FECHA TERMINO  PLANIFICADO]]-AVANCE[[#This Row],[FECHA INICIO TEORICO]]</f>
        <v>22</v>
      </c>
      <c r="BK142" s="42">
        <f>+AVANCE[[#This Row],[FECHA TERMINO]]-AVANCE[[#This Row],[FECHA INICIO REAL]]</f>
        <v>-46220</v>
      </c>
    </row>
    <row r="143" spans="1:63" x14ac:dyDescent="0.25">
      <c r="A143" t="s">
        <v>953</v>
      </c>
      <c r="B143" t="s">
        <v>967</v>
      </c>
      <c r="C143">
        <v>2302600142</v>
      </c>
      <c r="D143" t="s">
        <v>831</v>
      </c>
      <c r="E143" s="4">
        <v>0.6</v>
      </c>
      <c r="F143" s="1">
        <v>46204</v>
      </c>
      <c r="G143" s="1">
        <v>46218</v>
      </c>
      <c r="H143" s="1">
        <v>46231</v>
      </c>
      <c r="I143" s="1">
        <v>46236</v>
      </c>
      <c r="J143">
        <v>2</v>
      </c>
      <c r="K143" s="1"/>
      <c r="L143" s="7">
        <v>0.43</v>
      </c>
      <c r="M143" s="7">
        <v>1</v>
      </c>
      <c r="N143" s="7">
        <v>0.27906976744186046</v>
      </c>
      <c r="O143" s="7">
        <v>0.18604651162790695</v>
      </c>
      <c r="P143" s="7">
        <v>0.2558139534883721</v>
      </c>
      <c r="Q143" s="7">
        <v>0.18604651162790695</v>
      </c>
      <c r="R143" s="7">
        <v>9.3023255813953487E-2</v>
      </c>
      <c r="S143" s="7">
        <v>3.9999999999999994E-2</v>
      </c>
      <c r="T143" s="7">
        <v>0.44444444444444442</v>
      </c>
      <c r="U143" s="7">
        <v>0.22222222222222221</v>
      </c>
      <c r="V143" s="7">
        <v>0.22222222222222221</v>
      </c>
      <c r="W143" s="7">
        <v>0</v>
      </c>
      <c r="X143" s="7">
        <v>0</v>
      </c>
      <c r="Y143" s="7">
        <v>0</v>
      </c>
      <c r="Z143" s="7">
        <v>0</v>
      </c>
      <c r="AA143" s="7">
        <v>0.03</v>
      </c>
      <c r="AB143" s="7">
        <v>0.27272727272727271</v>
      </c>
      <c r="AC143" s="7">
        <v>0.27272727272727271</v>
      </c>
      <c r="AD143" s="7">
        <v>0</v>
      </c>
      <c r="AE143" s="7">
        <v>0</v>
      </c>
      <c r="AF143" s="7">
        <v>0</v>
      </c>
      <c r="AG143" s="7">
        <v>0</v>
      </c>
      <c r="AH143" s="7">
        <v>9.9999999999999964E-2</v>
      </c>
      <c r="AI143" s="7">
        <v>0.27027027027027017</v>
      </c>
      <c r="AJ143" s="7">
        <v>0</v>
      </c>
      <c r="AK143" s="7">
        <v>5.4054054054054029E-2</v>
      </c>
      <c r="AL143" s="7">
        <v>0</v>
      </c>
      <c r="AM143" s="7">
        <v>8.1081081081081058E-2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5.4054054054054029E-2</v>
      </c>
      <c r="AY143" s="7">
        <v>2.7027027027027015E-2</v>
      </c>
      <c r="AZ143" s="7">
        <v>0</v>
      </c>
      <c r="BA143" s="7">
        <v>5.4054054054054029E-2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43" s="42">
        <f>+IF(AVANCE[[#This Row],[FECHA INICIO REAL]]="","",AVANCE[[#This Row],[FECHA INICIO REAL]]-AVANCE[[#This Row],[FECHA INICIO TEORICO]])</f>
        <v>14</v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3" s="42">
        <f>+AVANCE[[#This Row],[FECHA TERMINO  PLANIFICADO]]-AVANCE[[#This Row],[FECHA INICIO TEORICO]]</f>
        <v>32</v>
      </c>
      <c r="BK143" s="42">
        <f>+AVANCE[[#This Row],[FECHA TERMINO]]-AVANCE[[#This Row],[FECHA INICIO REAL]]</f>
        <v>-46218</v>
      </c>
    </row>
    <row r="144" spans="1:63" x14ac:dyDescent="0.25">
      <c r="A144" t="s">
        <v>953</v>
      </c>
      <c r="B144" t="s">
        <v>968</v>
      </c>
      <c r="C144">
        <v>2302600143</v>
      </c>
      <c r="D144" t="s">
        <v>831</v>
      </c>
      <c r="E144" s="4">
        <v>0.6</v>
      </c>
      <c r="F144" s="1">
        <v>46204</v>
      </c>
      <c r="G144" s="1">
        <v>46217</v>
      </c>
      <c r="H144" s="1">
        <v>46230</v>
      </c>
      <c r="I144" s="1">
        <v>46236</v>
      </c>
      <c r="J144">
        <v>3</v>
      </c>
      <c r="K144" s="1"/>
      <c r="L144" s="7">
        <v>0.43</v>
      </c>
      <c r="M144" s="7">
        <v>1</v>
      </c>
      <c r="N144" s="7">
        <v>0.27906976744186046</v>
      </c>
      <c r="O144" s="7">
        <v>0.18604651162790695</v>
      </c>
      <c r="P144" s="7">
        <v>0.2558139534883721</v>
      </c>
      <c r="Q144" s="7">
        <v>0.18604651162790695</v>
      </c>
      <c r="R144" s="7">
        <v>9.3023255813953487E-2</v>
      </c>
      <c r="S144" s="7">
        <v>3.9999999999999994E-2</v>
      </c>
      <c r="T144" s="7">
        <v>0.44444444444444442</v>
      </c>
      <c r="U144" s="7">
        <v>0.22222222222222221</v>
      </c>
      <c r="V144" s="7">
        <v>0.22222222222222221</v>
      </c>
      <c r="W144" s="7">
        <v>0</v>
      </c>
      <c r="X144" s="7">
        <v>0</v>
      </c>
      <c r="Y144" s="7">
        <v>0</v>
      </c>
      <c r="Z144" s="7">
        <v>0</v>
      </c>
      <c r="AA144" s="7">
        <v>0.03</v>
      </c>
      <c r="AB144" s="7">
        <v>0.27272727272727271</v>
      </c>
      <c r="AC144" s="7">
        <v>0.27272727272727271</v>
      </c>
      <c r="AD144" s="7">
        <v>0</v>
      </c>
      <c r="AE144" s="7">
        <v>0</v>
      </c>
      <c r="AF144" s="7">
        <v>0</v>
      </c>
      <c r="AG144" s="7">
        <v>0</v>
      </c>
      <c r="AH144" s="7">
        <v>9.9999999999999964E-2</v>
      </c>
      <c r="AI144" s="7">
        <v>0.27027027027027017</v>
      </c>
      <c r="AJ144" s="7">
        <v>0</v>
      </c>
      <c r="AK144" s="7">
        <v>5.4054054054054029E-2</v>
      </c>
      <c r="AL144" s="7">
        <v>0</v>
      </c>
      <c r="AM144" s="7">
        <v>8.1081081081081058E-2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5.4054054054054029E-2</v>
      </c>
      <c r="AY144" s="7">
        <v>2.7027027027027015E-2</v>
      </c>
      <c r="AZ144" s="7">
        <v>0</v>
      </c>
      <c r="BA144" s="7">
        <v>5.4054054054054029E-2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44" s="42">
        <f>+IF(AVANCE[[#This Row],[FECHA INICIO REAL]]="","",AVANCE[[#This Row],[FECHA INICIO REAL]]-AVANCE[[#This Row],[FECHA INICIO TEORICO]])</f>
        <v>13</v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4" s="42">
        <f>+AVANCE[[#This Row],[FECHA TERMINO  PLANIFICADO]]-AVANCE[[#This Row],[FECHA INICIO TEORICO]]</f>
        <v>32</v>
      </c>
      <c r="BK144" s="42">
        <f>+AVANCE[[#This Row],[FECHA TERMINO]]-AVANCE[[#This Row],[FECHA INICIO REAL]]</f>
        <v>-46217</v>
      </c>
    </row>
    <row r="145" spans="1:63" x14ac:dyDescent="0.25">
      <c r="A145" t="s">
        <v>953</v>
      </c>
      <c r="B145" t="s">
        <v>969</v>
      </c>
      <c r="C145">
        <v>2282600144</v>
      </c>
      <c r="D145" t="s">
        <v>830</v>
      </c>
      <c r="E145" s="4">
        <v>0.83499999999999985</v>
      </c>
      <c r="F145" s="1">
        <v>46205</v>
      </c>
      <c r="G145" s="1">
        <v>46217</v>
      </c>
      <c r="H145" s="1">
        <v>46231</v>
      </c>
      <c r="I145" s="1">
        <v>46227</v>
      </c>
      <c r="J145">
        <v>2</v>
      </c>
      <c r="K145" s="1"/>
      <c r="L145" s="7">
        <v>0.43</v>
      </c>
      <c r="M145" s="7">
        <v>1</v>
      </c>
      <c r="N145" s="7">
        <v>0.27906976744186046</v>
      </c>
      <c r="O145" s="7">
        <v>0.18604651162790695</v>
      </c>
      <c r="P145" s="7">
        <v>0.2558139534883721</v>
      </c>
      <c r="Q145" s="7">
        <v>0.18604651162790695</v>
      </c>
      <c r="R145" s="7">
        <v>9.3023255813953487E-2</v>
      </c>
      <c r="S145" s="7">
        <v>0.09</v>
      </c>
      <c r="T145" s="7">
        <v>1</v>
      </c>
      <c r="U145" s="7">
        <v>0.22222222222222221</v>
      </c>
      <c r="V145" s="7">
        <v>0.22222222222222221</v>
      </c>
      <c r="W145" s="7">
        <v>0.1111111111111111</v>
      </c>
      <c r="X145" s="7">
        <v>0.1111111111111111</v>
      </c>
      <c r="Y145" s="7">
        <v>0.1111111111111111</v>
      </c>
      <c r="Z145" s="7">
        <v>0.22222222222222221</v>
      </c>
      <c r="AA145" s="7">
        <v>6.9999999999999993E-2</v>
      </c>
      <c r="AB145" s="7">
        <v>0.63636363636363635</v>
      </c>
      <c r="AC145" s="7">
        <v>0.27272727272727271</v>
      </c>
      <c r="AD145" s="7">
        <v>0</v>
      </c>
      <c r="AE145" s="7">
        <v>0</v>
      </c>
      <c r="AF145" s="7">
        <v>0.18181818181818185</v>
      </c>
      <c r="AG145" s="7">
        <v>0.18181818181818185</v>
      </c>
      <c r="AH145" s="7">
        <v>0.24499999999999988</v>
      </c>
      <c r="AI145" s="7">
        <v>0.66216216216216184</v>
      </c>
      <c r="AJ145" s="7">
        <v>5.4054054054054029E-2</v>
      </c>
      <c r="AK145" s="7">
        <v>5.4054054054054029E-2</v>
      </c>
      <c r="AL145" s="7">
        <v>2.7027027027027015E-2</v>
      </c>
      <c r="AM145" s="7">
        <v>8.1081081081081058E-2</v>
      </c>
      <c r="AN145" s="7">
        <v>8.1081081081081058E-2</v>
      </c>
      <c r="AO145" s="7">
        <v>0</v>
      </c>
      <c r="AP145" s="7">
        <v>5.4054054054054029E-2</v>
      </c>
      <c r="AQ145" s="7">
        <v>0</v>
      </c>
      <c r="AR145" s="7">
        <v>0</v>
      </c>
      <c r="AS145" s="7">
        <v>0</v>
      </c>
      <c r="AT145" s="7">
        <v>0</v>
      </c>
      <c r="AU145" s="7">
        <v>5.4054054054054029E-2</v>
      </c>
      <c r="AV145" s="7">
        <v>0</v>
      </c>
      <c r="AW145" s="7">
        <v>5.4054054054054029E-2</v>
      </c>
      <c r="AX145" s="7">
        <v>5.4054054054054029E-2</v>
      </c>
      <c r="AY145" s="7">
        <v>2.7027027027027015E-2</v>
      </c>
      <c r="AZ145" s="7">
        <v>0</v>
      </c>
      <c r="BA145" s="7">
        <v>0</v>
      </c>
      <c r="BB145" s="7">
        <v>8.1081081081081058E-2</v>
      </c>
      <c r="BC145" s="7">
        <v>1.3513513513513507E-2</v>
      </c>
      <c r="BD145">
        <v>2.7027027027027015E-2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45" s="42">
        <f>+IF(AVANCE[[#This Row],[FECHA INICIO REAL]]="","",AVANCE[[#This Row],[FECHA INICIO REAL]]-AVANCE[[#This Row],[FECHA INICIO TEORICO]])</f>
        <v>12</v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5" s="42">
        <f>+AVANCE[[#This Row],[FECHA TERMINO  PLANIFICADO]]-AVANCE[[#This Row],[FECHA INICIO TEORICO]]</f>
        <v>22</v>
      </c>
      <c r="BK145" s="42">
        <f>+AVANCE[[#This Row],[FECHA TERMINO]]-AVANCE[[#This Row],[FECHA INICIO REAL]]</f>
        <v>-46217</v>
      </c>
    </row>
    <row r="146" spans="1:63" x14ac:dyDescent="0.25">
      <c r="A146" t="s">
        <v>953</v>
      </c>
      <c r="B146" t="s">
        <v>970</v>
      </c>
      <c r="C146">
        <v>2282600145</v>
      </c>
      <c r="D146" t="s">
        <v>830</v>
      </c>
      <c r="E146" s="4">
        <v>0.79500000000000004</v>
      </c>
      <c r="F146" s="1">
        <v>46205</v>
      </c>
      <c r="G146" s="1">
        <v>46226</v>
      </c>
      <c r="H146" s="1">
        <v>46232</v>
      </c>
      <c r="I146" s="1">
        <v>46227</v>
      </c>
      <c r="J146">
        <v>1</v>
      </c>
      <c r="K146" s="1"/>
      <c r="L146" s="7">
        <v>0.43</v>
      </c>
      <c r="M146" s="7">
        <v>1</v>
      </c>
      <c r="N146" s="7">
        <v>0.27906976744186046</v>
      </c>
      <c r="O146" s="7">
        <v>0.18604651162790695</v>
      </c>
      <c r="P146" s="7">
        <v>0.2558139534883721</v>
      </c>
      <c r="Q146" s="7">
        <v>0.18604651162790695</v>
      </c>
      <c r="R146" s="7">
        <v>9.3023255813953487E-2</v>
      </c>
      <c r="S146" s="7">
        <v>0.09</v>
      </c>
      <c r="T146" s="7">
        <v>1</v>
      </c>
      <c r="U146" s="7">
        <v>0.22222222222222221</v>
      </c>
      <c r="V146" s="7">
        <v>0.22222222222222221</v>
      </c>
      <c r="W146" s="7">
        <v>0.1111111111111111</v>
      </c>
      <c r="X146" s="7">
        <v>0.1111111111111111</v>
      </c>
      <c r="Y146" s="7">
        <v>0.1111111111111111</v>
      </c>
      <c r="Z146" s="7">
        <v>0.22222222222222221</v>
      </c>
      <c r="AA146" s="7">
        <v>6.9999999999999993E-2</v>
      </c>
      <c r="AB146" s="7">
        <v>0.63636363636363635</v>
      </c>
      <c r="AC146" s="7">
        <v>0.27272727272727271</v>
      </c>
      <c r="AD146" s="7">
        <v>0</v>
      </c>
      <c r="AE146" s="7">
        <v>0</v>
      </c>
      <c r="AF146" s="7">
        <v>0.18181818181818185</v>
      </c>
      <c r="AG146" s="7">
        <v>0.18181818181818185</v>
      </c>
      <c r="AH146" s="7">
        <v>0.2049999999999999</v>
      </c>
      <c r="AI146" s="7">
        <v>0.55405405405405384</v>
      </c>
      <c r="AJ146" s="7">
        <v>5.4054054054054029E-2</v>
      </c>
      <c r="AK146" s="7">
        <v>5.4054054054054029E-2</v>
      </c>
      <c r="AL146" s="7">
        <v>2.7027027027027015E-2</v>
      </c>
      <c r="AM146" s="7">
        <v>8.1081081081081058E-2</v>
      </c>
      <c r="AN146" s="7">
        <v>0</v>
      </c>
      <c r="AO146" s="7">
        <v>0</v>
      </c>
      <c r="AP146" s="7">
        <v>5.4054054054054029E-2</v>
      </c>
      <c r="AQ146" s="7">
        <v>0</v>
      </c>
      <c r="AR146" s="7">
        <v>0</v>
      </c>
      <c r="AS146" s="7">
        <v>0</v>
      </c>
      <c r="AT146" s="7">
        <v>0</v>
      </c>
      <c r="AU146" s="7">
        <v>5.4054054054054029E-2</v>
      </c>
      <c r="AV146" s="7">
        <v>0</v>
      </c>
      <c r="AW146" s="7">
        <v>5.4054054054054029E-2</v>
      </c>
      <c r="AX146" s="7">
        <v>5.4054054054054029E-2</v>
      </c>
      <c r="AY146" s="7">
        <v>0</v>
      </c>
      <c r="AZ146" s="7">
        <v>0</v>
      </c>
      <c r="BA146" s="7">
        <v>0</v>
      </c>
      <c r="BB146" s="7">
        <v>8.1081081081081058E-2</v>
      </c>
      <c r="BC146" s="7">
        <v>1.3513513513513507E-2</v>
      </c>
      <c r="BD146">
        <v>2.7027027027027015E-2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46" s="42">
        <f>+IF(AVANCE[[#This Row],[FECHA INICIO REAL]]="","",AVANCE[[#This Row],[FECHA INICIO REAL]]-AVANCE[[#This Row],[FECHA INICIO TEORICO]])</f>
        <v>21</v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6" s="42">
        <f>+AVANCE[[#This Row],[FECHA TERMINO  PLANIFICADO]]-AVANCE[[#This Row],[FECHA INICIO TEORICO]]</f>
        <v>22</v>
      </c>
      <c r="BK146" s="42">
        <f>+AVANCE[[#This Row],[FECHA TERMINO]]-AVANCE[[#This Row],[FECHA INICIO REAL]]</f>
        <v>-46226</v>
      </c>
    </row>
    <row r="147" spans="1:63" x14ac:dyDescent="0.25">
      <c r="A147" t="s">
        <v>953</v>
      </c>
      <c r="B147" t="s">
        <v>971</v>
      </c>
      <c r="C147">
        <v>2302600146</v>
      </c>
      <c r="D147" t="s">
        <v>831</v>
      </c>
      <c r="E147" s="4">
        <v>0.57999999999999996</v>
      </c>
      <c r="F147" s="1">
        <v>46206</v>
      </c>
      <c r="G147" s="1">
        <v>46225</v>
      </c>
      <c r="H147" s="1">
        <v>46232</v>
      </c>
      <c r="I147" s="1">
        <v>46238</v>
      </c>
      <c r="J147">
        <v>1</v>
      </c>
      <c r="K147" s="1"/>
      <c r="L147" s="7">
        <v>0.43</v>
      </c>
      <c r="M147" s="7">
        <v>1</v>
      </c>
      <c r="N147" s="7">
        <v>0.27906976744186046</v>
      </c>
      <c r="O147" s="7">
        <v>0.18604651162790695</v>
      </c>
      <c r="P147" s="7">
        <v>0.2558139534883721</v>
      </c>
      <c r="Q147" s="7">
        <v>0.18604651162790695</v>
      </c>
      <c r="R147" s="7">
        <v>9.3023255813953487E-2</v>
      </c>
      <c r="S147" s="7">
        <v>3.9999999999999994E-2</v>
      </c>
      <c r="T147" s="7">
        <v>0.44444444444444442</v>
      </c>
      <c r="U147" s="7">
        <v>0.22222222222222221</v>
      </c>
      <c r="V147" s="7">
        <v>0.22222222222222221</v>
      </c>
      <c r="W147" s="7">
        <v>0</v>
      </c>
      <c r="X147" s="7">
        <v>0</v>
      </c>
      <c r="Y147" s="7">
        <v>0</v>
      </c>
      <c r="Z147" s="7">
        <v>0</v>
      </c>
      <c r="AA147" s="7">
        <v>0.03</v>
      </c>
      <c r="AB147" s="7">
        <v>0.27272727272727271</v>
      </c>
      <c r="AC147" s="7">
        <v>0.27272727272727271</v>
      </c>
      <c r="AD147" s="7">
        <v>0</v>
      </c>
      <c r="AE147" s="7">
        <v>0</v>
      </c>
      <c r="AF147" s="7">
        <v>0</v>
      </c>
      <c r="AG147" s="7">
        <v>0</v>
      </c>
      <c r="AH147" s="7">
        <v>7.9999999999999974E-2</v>
      </c>
      <c r="AI147" s="7">
        <v>0.21621621621621617</v>
      </c>
      <c r="AJ147" s="7">
        <v>0</v>
      </c>
      <c r="AK147" s="7">
        <v>5.4054054054054029E-2</v>
      </c>
      <c r="AL147" s="7">
        <v>0</v>
      </c>
      <c r="AM147" s="7">
        <v>8.1081081081081058E-2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2.7027027027027015E-2</v>
      </c>
      <c r="AZ147" s="7">
        <v>0</v>
      </c>
      <c r="BA147" s="7">
        <v>5.4054054054054029E-2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47" s="42">
        <f>+IF(AVANCE[[#This Row],[FECHA INICIO REAL]]="","",AVANCE[[#This Row],[FECHA INICIO REAL]]-AVANCE[[#This Row],[FECHA INICIO TEORICO]])</f>
        <v>19</v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7" s="42">
        <f>+AVANCE[[#This Row],[FECHA TERMINO  PLANIFICADO]]-AVANCE[[#This Row],[FECHA INICIO TEORICO]]</f>
        <v>32</v>
      </c>
      <c r="BK147" s="42">
        <f>+AVANCE[[#This Row],[FECHA TERMINO]]-AVANCE[[#This Row],[FECHA INICIO REAL]]</f>
        <v>-46225</v>
      </c>
    </row>
    <row r="148" spans="1:63" x14ac:dyDescent="0.25">
      <c r="A148" t="s">
        <v>953</v>
      </c>
      <c r="B148" t="s">
        <v>972</v>
      </c>
      <c r="C148">
        <v>2302600147</v>
      </c>
      <c r="D148" t="s">
        <v>831</v>
      </c>
      <c r="E148" s="4">
        <v>0.57999999999999996</v>
      </c>
      <c r="F148" s="1">
        <v>46206</v>
      </c>
      <c r="G148" s="1">
        <v>46225</v>
      </c>
      <c r="H148" s="1">
        <v>46231</v>
      </c>
      <c r="I148" s="1">
        <v>46238</v>
      </c>
      <c r="J148">
        <v>2</v>
      </c>
      <c r="K148" s="1"/>
      <c r="L148" s="7">
        <v>0.43</v>
      </c>
      <c r="M148" s="7">
        <v>1</v>
      </c>
      <c r="N148" s="7">
        <v>0.27906976744186046</v>
      </c>
      <c r="O148" s="7">
        <v>0.18604651162790695</v>
      </c>
      <c r="P148" s="7">
        <v>0.2558139534883721</v>
      </c>
      <c r="Q148" s="7">
        <v>0.18604651162790695</v>
      </c>
      <c r="R148" s="7">
        <v>9.3023255813953487E-2</v>
      </c>
      <c r="S148" s="7">
        <v>3.9999999999999994E-2</v>
      </c>
      <c r="T148" s="7">
        <v>0.44444444444444442</v>
      </c>
      <c r="U148" s="7">
        <v>0.22222222222222221</v>
      </c>
      <c r="V148" s="7">
        <v>0.22222222222222221</v>
      </c>
      <c r="W148" s="7">
        <v>0</v>
      </c>
      <c r="X148" s="7">
        <v>0</v>
      </c>
      <c r="Y148" s="7">
        <v>0</v>
      </c>
      <c r="Z148" s="7">
        <v>0</v>
      </c>
      <c r="AA148" s="7">
        <v>0.03</v>
      </c>
      <c r="AB148" s="7">
        <v>0.27272727272727271</v>
      </c>
      <c r="AC148" s="7">
        <v>0.27272727272727271</v>
      </c>
      <c r="AD148" s="7">
        <v>0</v>
      </c>
      <c r="AE148" s="7">
        <v>0</v>
      </c>
      <c r="AF148" s="7">
        <v>0</v>
      </c>
      <c r="AG148" s="7">
        <v>0</v>
      </c>
      <c r="AH148" s="7">
        <v>7.9999999999999974E-2</v>
      </c>
      <c r="AI148" s="7">
        <v>0.21621621621621617</v>
      </c>
      <c r="AJ148" s="7">
        <v>0</v>
      </c>
      <c r="AK148" s="7">
        <v>5.4054054054054029E-2</v>
      </c>
      <c r="AL148" s="7">
        <v>0</v>
      </c>
      <c r="AM148" s="7">
        <v>8.1081081081081058E-2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2.7027027027027015E-2</v>
      </c>
      <c r="AZ148" s="7">
        <v>0</v>
      </c>
      <c r="BA148" s="7">
        <v>5.4054054054054029E-2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48" s="42">
        <f>+IF(AVANCE[[#This Row],[FECHA INICIO REAL]]="","",AVANCE[[#This Row],[FECHA INICIO REAL]]-AVANCE[[#This Row],[FECHA INICIO TEORICO]])</f>
        <v>19</v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8" s="42">
        <f>+AVANCE[[#This Row],[FECHA TERMINO  PLANIFICADO]]-AVANCE[[#This Row],[FECHA INICIO TEORICO]]</f>
        <v>32</v>
      </c>
      <c r="BK148" s="42">
        <f>+AVANCE[[#This Row],[FECHA TERMINO]]-AVANCE[[#This Row],[FECHA INICIO REAL]]</f>
        <v>-46225</v>
      </c>
    </row>
    <row r="149" spans="1:63" x14ac:dyDescent="0.25">
      <c r="A149" t="s">
        <v>953</v>
      </c>
      <c r="B149" t="s">
        <v>973</v>
      </c>
      <c r="C149">
        <v>2282600148</v>
      </c>
      <c r="D149" t="s">
        <v>830</v>
      </c>
      <c r="E149" s="4">
        <v>0.74499999999999988</v>
      </c>
      <c r="F149" s="1">
        <v>46206</v>
      </c>
      <c r="G149" s="1">
        <v>46224</v>
      </c>
      <c r="H149" s="1">
        <v>46230</v>
      </c>
      <c r="I149" s="1">
        <v>46228</v>
      </c>
      <c r="J149">
        <v>3</v>
      </c>
      <c r="K149" s="1"/>
      <c r="L149" s="7">
        <v>0.43</v>
      </c>
      <c r="M149" s="7">
        <v>1</v>
      </c>
      <c r="N149" s="7">
        <v>0.27906976744186046</v>
      </c>
      <c r="O149" s="7">
        <v>0.18604651162790695</v>
      </c>
      <c r="P149" s="7">
        <v>0.2558139534883721</v>
      </c>
      <c r="Q149" s="7">
        <v>0.18604651162790695</v>
      </c>
      <c r="R149" s="7">
        <v>9.3023255813953487E-2</v>
      </c>
      <c r="S149" s="7">
        <v>0.09</v>
      </c>
      <c r="T149" s="7">
        <v>1</v>
      </c>
      <c r="U149" s="7">
        <v>0.22222222222222221</v>
      </c>
      <c r="V149" s="7">
        <v>0.22222222222222221</v>
      </c>
      <c r="W149" s="7">
        <v>0.1111111111111111</v>
      </c>
      <c r="X149" s="7">
        <v>0.1111111111111111</v>
      </c>
      <c r="Y149" s="7">
        <v>0.1111111111111111</v>
      </c>
      <c r="Z149" s="7">
        <v>0.22222222222222221</v>
      </c>
      <c r="AA149" s="7">
        <v>6.9999999999999993E-2</v>
      </c>
      <c r="AB149" s="7">
        <v>0.63636363636363635</v>
      </c>
      <c r="AC149" s="7">
        <v>0.27272727272727271</v>
      </c>
      <c r="AD149" s="7">
        <v>0</v>
      </c>
      <c r="AE149" s="7">
        <v>0</v>
      </c>
      <c r="AF149" s="7">
        <v>0.18181818181818185</v>
      </c>
      <c r="AG149" s="7">
        <v>0.18181818181818185</v>
      </c>
      <c r="AH149" s="7">
        <v>0.15499999999999994</v>
      </c>
      <c r="AI149" s="7">
        <v>0.4189189189189188</v>
      </c>
      <c r="AJ149" s="7">
        <v>5.4054054054054029E-2</v>
      </c>
      <c r="AK149" s="7">
        <v>5.4054054054054029E-2</v>
      </c>
      <c r="AL149" s="7">
        <v>2.7027027027027015E-2</v>
      </c>
      <c r="AM149" s="7">
        <v>0</v>
      </c>
      <c r="AN149" s="7">
        <v>0</v>
      </c>
      <c r="AO149" s="7">
        <v>0</v>
      </c>
      <c r="AP149" s="7">
        <v>5.4054054054054029E-2</v>
      </c>
      <c r="AQ149" s="7">
        <v>0</v>
      </c>
      <c r="AR149" s="7">
        <v>0</v>
      </c>
      <c r="AS149" s="7">
        <v>0</v>
      </c>
      <c r="AT149" s="7">
        <v>0</v>
      </c>
      <c r="AU149" s="7">
        <v>5.4054054054054029E-2</v>
      </c>
      <c r="AV149" s="7">
        <v>0</v>
      </c>
      <c r="AW149" s="7">
        <v>0</v>
      </c>
      <c r="AX149" s="7">
        <v>5.4054054054054029E-2</v>
      </c>
      <c r="AY149" s="7">
        <v>0</v>
      </c>
      <c r="AZ149" s="7">
        <v>0</v>
      </c>
      <c r="BA149" s="7">
        <v>0</v>
      </c>
      <c r="BB149" s="7">
        <v>8.1081081081081058E-2</v>
      </c>
      <c r="BC149" s="7">
        <v>1.3513513513513507E-2</v>
      </c>
      <c r="BD149">
        <v>2.7027027027027015E-2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49" s="42">
        <f>+IF(AVANCE[[#This Row],[FECHA INICIO REAL]]="","",AVANCE[[#This Row],[FECHA INICIO REAL]]-AVANCE[[#This Row],[FECHA INICIO TEORICO]])</f>
        <v>18</v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9" s="42">
        <f>+AVANCE[[#This Row],[FECHA TERMINO  PLANIFICADO]]-AVANCE[[#This Row],[FECHA INICIO TEORICO]]</f>
        <v>22</v>
      </c>
      <c r="BK149" s="42">
        <f>+AVANCE[[#This Row],[FECHA TERMINO]]-AVANCE[[#This Row],[FECHA INICIO REAL]]</f>
        <v>-46224</v>
      </c>
    </row>
    <row r="150" spans="1:63" x14ac:dyDescent="0.25">
      <c r="A150" t="s">
        <v>953</v>
      </c>
      <c r="B150" t="s">
        <v>974</v>
      </c>
      <c r="C150">
        <v>2282600149</v>
      </c>
      <c r="D150" t="s">
        <v>830</v>
      </c>
      <c r="E150" s="4">
        <v>0.78500000000000003</v>
      </c>
      <c r="F150" s="1">
        <v>46209</v>
      </c>
      <c r="G150" s="1">
        <v>46224</v>
      </c>
      <c r="H150" s="1">
        <v>46230</v>
      </c>
      <c r="I150" s="1">
        <v>46231</v>
      </c>
      <c r="J150">
        <v>3</v>
      </c>
      <c r="K150" s="1"/>
      <c r="L150" s="7">
        <v>0.43</v>
      </c>
      <c r="M150" s="7">
        <v>1</v>
      </c>
      <c r="N150" s="7">
        <v>0.27906976744186046</v>
      </c>
      <c r="O150" s="7">
        <v>0.18604651162790695</v>
      </c>
      <c r="P150" s="7">
        <v>0.2558139534883721</v>
      </c>
      <c r="Q150" s="7">
        <v>0.18604651162790695</v>
      </c>
      <c r="R150" s="7">
        <v>9.3023255813953487E-2</v>
      </c>
      <c r="S150" s="7">
        <v>0.09</v>
      </c>
      <c r="T150" s="7">
        <v>1</v>
      </c>
      <c r="U150" s="7">
        <v>0.22222222222222221</v>
      </c>
      <c r="V150" s="7">
        <v>0.22222222222222221</v>
      </c>
      <c r="W150" s="7">
        <v>0.1111111111111111</v>
      </c>
      <c r="X150" s="7">
        <v>0.1111111111111111</v>
      </c>
      <c r="Y150" s="7">
        <v>0.1111111111111111</v>
      </c>
      <c r="Z150" s="7">
        <v>0.22222222222222221</v>
      </c>
      <c r="AA150" s="7">
        <v>6.9999999999999993E-2</v>
      </c>
      <c r="AB150" s="7">
        <v>0.63636363636363635</v>
      </c>
      <c r="AC150" s="7">
        <v>0.27272727272727271</v>
      </c>
      <c r="AD150" s="7">
        <v>0</v>
      </c>
      <c r="AE150" s="7">
        <v>0</v>
      </c>
      <c r="AF150" s="7">
        <v>0.18181818181818185</v>
      </c>
      <c r="AG150" s="7">
        <v>0.18181818181818185</v>
      </c>
      <c r="AH150" s="7">
        <v>0.19499999999999992</v>
      </c>
      <c r="AI150" s="7">
        <v>0.52702702702702686</v>
      </c>
      <c r="AJ150" s="7">
        <v>5.4054054054054029E-2</v>
      </c>
      <c r="AK150" s="7">
        <v>5.4054054054054029E-2</v>
      </c>
      <c r="AL150" s="7">
        <v>2.7027027027027015E-2</v>
      </c>
      <c r="AM150" s="7">
        <v>8.1081081081081058E-2</v>
      </c>
      <c r="AN150" s="7">
        <v>0</v>
      </c>
      <c r="AO150" s="7">
        <v>0</v>
      </c>
      <c r="AP150" s="7">
        <v>5.4054054054054029E-2</v>
      </c>
      <c r="AQ150" s="7">
        <v>0</v>
      </c>
      <c r="AR150" s="7">
        <v>0</v>
      </c>
      <c r="AS150" s="7">
        <v>0</v>
      </c>
      <c r="AT150" s="7">
        <v>0</v>
      </c>
      <c r="AU150" s="7">
        <v>5.4054054054054029E-2</v>
      </c>
      <c r="AV150" s="7">
        <v>0</v>
      </c>
      <c r="AW150" s="7">
        <v>0</v>
      </c>
      <c r="AX150" s="7">
        <v>5.4054054054054029E-2</v>
      </c>
      <c r="AY150" s="7">
        <v>2.7027027027027015E-2</v>
      </c>
      <c r="AZ150" s="7">
        <v>0</v>
      </c>
      <c r="BA150" s="7">
        <v>0</v>
      </c>
      <c r="BB150" s="7">
        <v>8.1081081081081058E-2</v>
      </c>
      <c r="BC150" s="7">
        <v>1.3513513513513507E-2</v>
      </c>
      <c r="BD150">
        <v>2.7027027027027015E-2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50" s="42">
        <f>+IF(AVANCE[[#This Row],[FECHA INICIO REAL]]="","",AVANCE[[#This Row],[FECHA INICIO REAL]]-AVANCE[[#This Row],[FECHA INICIO TEORICO]])</f>
        <v>15</v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0" s="42">
        <f>+AVANCE[[#This Row],[FECHA TERMINO  PLANIFICADO]]-AVANCE[[#This Row],[FECHA INICIO TEORICO]]</f>
        <v>22</v>
      </c>
      <c r="BK150" s="42">
        <f>+AVANCE[[#This Row],[FECHA TERMINO]]-AVANCE[[#This Row],[FECHA INICIO REAL]]</f>
        <v>-46224</v>
      </c>
    </row>
    <row r="151" spans="1:63" x14ac:dyDescent="0.25">
      <c r="A151" t="s">
        <v>953</v>
      </c>
      <c r="B151" t="s">
        <v>975</v>
      </c>
      <c r="C151">
        <v>2302600150</v>
      </c>
      <c r="D151" t="s">
        <v>831</v>
      </c>
      <c r="E151" s="4">
        <v>0.53999999999999992</v>
      </c>
      <c r="F151" s="1">
        <v>46209</v>
      </c>
      <c r="G151" s="1">
        <v>46224</v>
      </c>
      <c r="H151" s="1">
        <v>46231</v>
      </c>
      <c r="I151" s="1">
        <v>46241</v>
      </c>
      <c r="J151">
        <v>2</v>
      </c>
      <c r="K151" s="1"/>
      <c r="L151" s="7">
        <v>0.39</v>
      </c>
      <c r="M151" s="7">
        <v>0.90697674418604635</v>
      </c>
      <c r="N151" s="7">
        <v>0.27906976744186046</v>
      </c>
      <c r="O151" s="7">
        <v>0.18604651162790695</v>
      </c>
      <c r="P151" s="7">
        <v>0.2558139534883721</v>
      </c>
      <c r="Q151" s="7">
        <v>0.18604651162790695</v>
      </c>
      <c r="R151" s="7">
        <v>0</v>
      </c>
      <c r="S151" s="7">
        <v>3.9999999999999994E-2</v>
      </c>
      <c r="T151" s="7">
        <v>0.44444444444444442</v>
      </c>
      <c r="U151" s="7">
        <v>0.22222222222222221</v>
      </c>
      <c r="V151" s="7">
        <v>0.22222222222222221</v>
      </c>
      <c r="W151" s="7">
        <v>0</v>
      </c>
      <c r="X151" s="7">
        <v>0</v>
      </c>
      <c r="Y151" s="7">
        <v>0</v>
      </c>
      <c r="Z151" s="7">
        <v>0</v>
      </c>
      <c r="AA151" s="7">
        <v>0.03</v>
      </c>
      <c r="AB151" s="7">
        <v>0.27272727272727271</v>
      </c>
      <c r="AC151" s="7">
        <v>0.27272727272727271</v>
      </c>
      <c r="AD151" s="7">
        <v>0</v>
      </c>
      <c r="AE151" s="7">
        <v>0</v>
      </c>
      <c r="AF151" s="7">
        <v>0</v>
      </c>
      <c r="AG151" s="7">
        <v>0</v>
      </c>
      <c r="AH151" s="7">
        <v>7.9999999999999974E-2</v>
      </c>
      <c r="AI151" s="7">
        <v>0.21621621621621617</v>
      </c>
      <c r="AJ151" s="7">
        <v>0</v>
      </c>
      <c r="AK151" s="7">
        <v>5.4054054054054029E-2</v>
      </c>
      <c r="AL151" s="7">
        <v>0</v>
      </c>
      <c r="AM151" s="7">
        <v>8.1081081081081058E-2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2.7027027027027015E-2</v>
      </c>
      <c r="AZ151" s="7">
        <v>0</v>
      </c>
      <c r="BA151" s="7">
        <v>5.4054054054054029E-2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51" s="42">
        <f>+IF(AVANCE[[#This Row],[FECHA INICIO REAL]]="","",AVANCE[[#This Row],[FECHA INICIO REAL]]-AVANCE[[#This Row],[FECHA INICIO TEORICO]])</f>
        <v>15</v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1" s="42">
        <f>+AVANCE[[#This Row],[FECHA TERMINO  PLANIFICADO]]-AVANCE[[#This Row],[FECHA INICIO TEORICO]]</f>
        <v>32</v>
      </c>
      <c r="BK151" s="42">
        <f>+AVANCE[[#This Row],[FECHA TERMINO]]-AVANCE[[#This Row],[FECHA INICIO REAL]]</f>
        <v>-46224</v>
      </c>
    </row>
    <row r="152" spans="1:63" x14ac:dyDescent="0.25">
      <c r="A152" t="s">
        <v>953</v>
      </c>
      <c r="B152" t="s">
        <v>976</v>
      </c>
      <c r="C152">
        <v>2302600151</v>
      </c>
      <c r="D152" t="s">
        <v>831</v>
      </c>
      <c r="E152" s="4">
        <v>0.5</v>
      </c>
      <c r="F152" s="1">
        <v>46210</v>
      </c>
      <c r="G152" s="1">
        <v>46226</v>
      </c>
      <c r="H152" s="1">
        <v>46232</v>
      </c>
      <c r="I152" s="1">
        <v>46242</v>
      </c>
      <c r="J152">
        <v>1</v>
      </c>
      <c r="K152" s="1"/>
      <c r="L152" s="7">
        <v>0.43</v>
      </c>
      <c r="M152" s="7">
        <v>1</v>
      </c>
      <c r="N152" s="7">
        <v>0.27906976744186046</v>
      </c>
      <c r="O152" s="7">
        <v>0.18604651162790695</v>
      </c>
      <c r="P152" s="7">
        <v>0.2558139534883721</v>
      </c>
      <c r="Q152" s="7">
        <v>0.18604651162790695</v>
      </c>
      <c r="R152" s="7">
        <v>9.3023255813953487E-2</v>
      </c>
      <c r="S152" s="7">
        <v>3.9999999999999994E-2</v>
      </c>
      <c r="T152" s="7">
        <v>0.44444444444444442</v>
      </c>
      <c r="U152" s="7">
        <v>0.22222222222222221</v>
      </c>
      <c r="V152" s="7">
        <v>0.22222222222222221</v>
      </c>
      <c r="W152" s="7">
        <v>0</v>
      </c>
      <c r="X152" s="7">
        <v>0</v>
      </c>
      <c r="Y152" s="7">
        <v>0</v>
      </c>
      <c r="Z152" s="7">
        <v>0</v>
      </c>
      <c r="AA152" s="7">
        <v>0.03</v>
      </c>
      <c r="AB152" s="7">
        <v>0.27272727272727271</v>
      </c>
      <c r="AC152" s="7">
        <v>0.27272727272727271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52" s="42">
        <f>+IF(AVANCE[[#This Row],[FECHA INICIO REAL]]="","",AVANCE[[#This Row],[FECHA INICIO REAL]]-AVANCE[[#This Row],[FECHA INICIO TEORICO]])</f>
        <v>16</v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2" s="42">
        <f>+AVANCE[[#This Row],[FECHA TERMINO  PLANIFICADO]]-AVANCE[[#This Row],[FECHA INICIO TEORICO]]</f>
        <v>32</v>
      </c>
      <c r="BK152" s="42">
        <f>+AVANCE[[#This Row],[FECHA TERMINO]]-AVANCE[[#This Row],[FECHA INICIO REAL]]</f>
        <v>-46226</v>
      </c>
    </row>
    <row r="153" spans="1:63" x14ac:dyDescent="0.25">
      <c r="A153" t="s">
        <v>953</v>
      </c>
      <c r="B153" t="s">
        <v>977</v>
      </c>
      <c r="C153">
        <v>2282600152</v>
      </c>
      <c r="D153" t="s">
        <v>830</v>
      </c>
      <c r="E153" s="4">
        <v>0.78500000000000003</v>
      </c>
      <c r="F153" s="1">
        <v>46210</v>
      </c>
      <c r="G153" s="1">
        <v>46224</v>
      </c>
      <c r="H153" s="1">
        <v>46232</v>
      </c>
      <c r="I153" s="1">
        <v>46232</v>
      </c>
      <c r="J153">
        <v>1</v>
      </c>
      <c r="K153" s="1"/>
      <c r="L153" s="7">
        <v>0.43</v>
      </c>
      <c r="M153" s="7">
        <v>1</v>
      </c>
      <c r="N153" s="7">
        <v>0.27906976744186046</v>
      </c>
      <c r="O153" s="7">
        <v>0.18604651162790695</v>
      </c>
      <c r="P153" s="7">
        <v>0.2558139534883721</v>
      </c>
      <c r="Q153" s="7">
        <v>0.18604651162790695</v>
      </c>
      <c r="R153" s="7">
        <v>9.3023255813953487E-2</v>
      </c>
      <c r="S153" s="7">
        <v>0.09</v>
      </c>
      <c r="T153" s="7">
        <v>1</v>
      </c>
      <c r="U153" s="7">
        <v>0.22222222222222221</v>
      </c>
      <c r="V153" s="7">
        <v>0.22222222222222221</v>
      </c>
      <c r="W153" s="7">
        <v>0.1111111111111111</v>
      </c>
      <c r="X153" s="7">
        <v>0.1111111111111111</v>
      </c>
      <c r="Y153" s="7">
        <v>0.1111111111111111</v>
      </c>
      <c r="Z153" s="7">
        <v>0.22222222222222221</v>
      </c>
      <c r="AA153" s="7">
        <v>6.9999999999999993E-2</v>
      </c>
      <c r="AB153" s="7">
        <v>0.63636363636363635</v>
      </c>
      <c r="AC153" s="7">
        <v>0.27272727272727271</v>
      </c>
      <c r="AD153" s="7">
        <v>0</v>
      </c>
      <c r="AE153" s="7">
        <v>0</v>
      </c>
      <c r="AF153" s="7">
        <v>0.18181818181818185</v>
      </c>
      <c r="AG153" s="7">
        <v>0.18181818181818185</v>
      </c>
      <c r="AH153" s="7">
        <v>0.19499999999999992</v>
      </c>
      <c r="AI153" s="7">
        <v>0.52702702702702686</v>
      </c>
      <c r="AJ153" s="7">
        <v>5.4054054054054029E-2</v>
      </c>
      <c r="AK153" s="7">
        <v>5.4054054054054029E-2</v>
      </c>
      <c r="AL153" s="7">
        <v>2.7027027027027015E-2</v>
      </c>
      <c r="AM153" s="7">
        <v>8.1081081081081058E-2</v>
      </c>
      <c r="AN153" s="7">
        <v>0</v>
      </c>
      <c r="AO153" s="7">
        <v>0</v>
      </c>
      <c r="AP153" s="7">
        <v>5.4054054054054029E-2</v>
      </c>
      <c r="AQ153" s="7">
        <v>0</v>
      </c>
      <c r="AR153" s="7">
        <v>0</v>
      </c>
      <c r="AS153" s="7">
        <v>0</v>
      </c>
      <c r="AT153" s="7">
        <v>0</v>
      </c>
      <c r="AU153" s="7">
        <v>5.4054054054054029E-2</v>
      </c>
      <c r="AV153" s="7">
        <v>0</v>
      </c>
      <c r="AW153" s="7">
        <v>0</v>
      </c>
      <c r="AX153" s="7">
        <v>5.4054054054054029E-2</v>
      </c>
      <c r="AY153" s="7">
        <v>2.7027027027027015E-2</v>
      </c>
      <c r="AZ153" s="7">
        <v>0</v>
      </c>
      <c r="BA153" s="7">
        <v>0</v>
      </c>
      <c r="BB153" s="7">
        <v>8.1081081081081058E-2</v>
      </c>
      <c r="BC153" s="7">
        <v>1.3513513513513507E-2</v>
      </c>
      <c r="BD153">
        <v>2.7027027027027015E-2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53" s="42">
        <f>+IF(AVANCE[[#This Row],[FECHA INICIO REAL]]="","",AVANCE[[#This Row],[FECHA INICIO REAL]]-AVANCE[[#This Row],[FECHA INICIO TEORICO]])</f>
        <v>14</v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3" s="42">
        <f>+AVANCE[[#This Row],[FECHA TERMINO  PLANIFICADO]]-AVANCE[[#This Row],[FECHA INICIO TEORICO]]</f>
        <v>22</v>
      </c>
      <c r="BK153" s="42">
        <f>+AVANCE[[#This Row],[FECHA TERMINO]]-AVANCE[[#This Row],[FECHA INICIO REAL]]</f>
        <v>-46224</v>
      </c>
    </row>
    <row r="154" spans="1:63" x14ac:dyDescent="0.25">
      <c r="A154" t="s">
        <v>953</v>
      </c>
      <c r="B154" t="s">
        <v>978</v>
      </c>
      <c r="C154">
        <v>2282600153</v>
      </c>
      <c r="D154" t="s">
        <v>830</v>
      </c>
      <c r="E154" s="4">
        <v>0.78500000000000003</v>
      </c>
      <c r="F154" s="1">
        <v>46210</v>
      </c>
      <c r="G154" s="1">
        <v>46227</v>
      </c>
      <c r="H154" s="1">
        <v>46232</v>
      </c>
      <c r="I154" s="1">
        <v>46232</v>
      </c>
      <c r="J154">
        <v>1</v>
      </c>
      <c r="K154" s="1"/>
      <c r="L154" s="7">
        <v>0.43</v>
      </c>
      <c r="M154" s="7">
        <v>1</v>
      </c>
      <c r="N154" s="7">
        <v>0.27906976744186046</v>
      </c>
      <c r="O154" s="7">
        <v>0.18604651162790695</v>
      </c>
      <c r="P154" s="7">
        <v>0.2558139534883721</v>
      </c>
      <c r="Q154" s="7">
        <v>0.18604651162790695</v>
      </c>
      <c r="R154" s="7">
        <v>9.3023255813953487E-2</v>
      </c>
      <c r="S154" s="7">
        <v>0.09</v>
      </c>
      <c r="T154" s="7">
        <v>1</v>
      </c>
      <c r="U154" s="7">
        <v>0.22222222222222221</v>
      </c>
      <c r="V154" s="7">
        <v>0.22222222222222221</v>
      </c>
      <c r="W154" s="7">
        <v>0.1111111111111111</v>
      </c>
      <c r="X154" s="7">
        <v>0.1111111111111111</v>
      </c>
      <c r="Y154" s="7">
        <v>0.1111111111111111</v>
      </c>
      <c r="Z154" s="7">
        <v>0.22222222222222221</v>
      </c>
      <c r="AA154" s="7">
        <v>6.9999999999999993E-2</v>
      </c>
      <c r="AB154" s="7">
        <v>0.63636363636363635</v>
      </c>
      <c r="AC154" s="7">
        <v>0.27272727272727271</v>
      </c>
      <c r="AD154" s="7">
        <v>0</v>
      </c>
      <c r="AE154" s="7">
        <v>0</v>
      </c>
      <c r="AF154" s="7">
        <v>0.18181818181818185</v>
      </c>
      <c r="AG154" s="7">
        <v>0.18181818181818185</v>
      </c>
      <c r="AH154" s="7">
        <v>0.19499999999999992</v>
      </c>
      <c r="AI154" s="7">
        <v>0.52702702702702686</v>
      </c>
      <c r="AJ154" s="7">
        <v>5.4054054054054029E-2</v>
      </c>
      <c r="AK154" s="7">
        <v>5.4054054054054029E-2</v>
      </c>
      <c r="AL154" s="7">
        <v>2.7027027027027015E-2</v>
      </c>
      <c r="AM154" s="7">
        <v>8.1081081081081058E-2</v>
      </c>
      <c r="AN154" s="7">
        <v>0</v>
      </c>
      <c r="AO154" s="7">
        <v>0</v>
      </c>
      <c r="AP154" s="7">
        <v>5.4054054054054029E-2</v>
      </c>
      <c r="AQ154" s="7">
        <v>0</v>
      </c>
      <c r="AR154" s="7">
        <v>0</v>
      </c>
      <c r="AS154" s="7">
        <v>0</v>
      </c>
      <c r="AT154" s="7">
        <v>0</v>
      </c>
      <c r="AU154" s="7">
        <v>5.4054054054054029E-2</v>
      </c>
      <c r="AV154" s="7">
        <v>0</v>
      </c>
      <c r="AW154" s="7">
        <v>0</v>
      </c>
      <c r="AX154" s="7">
        <v>5.4054054054054029E-2</v>
      </c>
      <c r="AY154" s="7">
        <v>2.7027027027027015E-2</v>
      </c>
      <c r="AZ154" s="7">
        <v>0</v>
      </c>
      <c r="BA154" s="7">
        <v>0</v>
      </c>
      <c r="BB154" s="7">
        <v>8.1081081081081058E-2</v>
      </c>
      <c r="BC154" s="7">
        <v>1.3513513513513507E-2</v>
      </c>
      <c r="BD154">
        <v>2.7027027027027015E-2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54" s="42">
        <f>+IF(AVANCE[[#This Row],[FECHA INICIO REAL]]="","",AVANCE[[#This Row],[FECHA INICIO REAL]]-AVANCE[[#This Row],[FECHA INICIO TEORICO]])</f>
        <v>17</v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4" s="42">
        <f>+AVANCE[[#This Row],[FECHA TERMINO  PLANIFICADO]]-AVANCE[[#This Row],[FECHA INICIO TEORICO]]</f>
        <v>22</v>
      </c>
      <c r="BK154" s="42">
        <f>+AVANCE[[#This Row],[FECHA TERMINO]]-AVANCE[[#This Row],[FECHA INICIO REAL]]</f>
        <v>-46227</v>
      </c>
    </row>
    <row r="155" spans="1:63" x14ac:dyDescent="0.25">
      <c r="A155" t="s">
        <v>953</v>
      </c>
      <c r="B155" t="s">
        <v>979</v>
      </c>
      <c r="C155">
        <v>2302600154</v>
      </c>
      <c r="D155" t="s">
        <v>831</v>
      </c>
      <c r="E155" s="4">
        <v>0.39</v>
      </c>
      <c r="F155" s="1">
        <v>46211</v>
      </c>
      <c r="G155" s="1">
        <v>46230</v>
      </c>
      <c r="H155" s="1">
        <v>46231</v>
      </c>
      <c r="I155" s="1">
        <v>46243</v>
      </c>
      <c r="J155">
        <v>2</v>
      </c>
      <c r="K155" s="1"/>
      <c r="L155" s="7">
        <v>0.39</v>
      </c>
      <c r="M155" s="7">
        <v>0.90697674418604635</v>
      </c>
      <c r="N155" s="7">
        <v>0.27906976744186046</v>
      </c>
      <c r="O155" s="7">
        <v>0.18604651162790695</v>
      </c>
      <c r="P155" s="7">
        <v>0.2558139534883721</v>
      </c>
      <c r="Q155" s="7">
        <v>0.18604651162790695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55" s="42">
        <f>+IF(AVANCE[[#This Row],[FECHA INICIO REAL]]="","",AVANCE[[#This Row],[FECHA INICIO REAL]]-AVANCE[[#This Row],[FECHA INICIO TEORICO]])</f>
        <v>19</v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5" s="42">
        <f>+AVANCE[[#This Row],[FECHA TERMINO  PLANIFICADO]]-AVANCE[[#This Row],[FECHA INICIO TEORICO]]</f>
        <v>32</v>
      </c>
      <c r="BK155" s="42">
        <f>+AVANCE[[#This Row],[FECHA TERMINO]]-AVANCE[[#This Row],[FECHA INICIO REAL]]</f>
        <v>-46230</v>
      </c>
    </row>
    <row r="156" spans="1:63" x14ac:dyDescent="0.25">
      <c r="A156" t="s">
        <v>953</v>
      </c>
      <c r="B156" t="s">
        <v>980</v>
      </c>
      <c r="C156">
        <v>2302600155</v>
      </c>
      <c r="D156" t="s">
        <v>831</v>
      </c>
      <c r="E156" s="4">
        <v>0.39</v>
      </c>
      <c r="F156" s="1">
        <v>46211</v>
      </c>
      <c r="G156" s="1">
        <v>46231</v>
      </c>
      <c r="H156" s="1">
        <v>46232</v>
      </c>
      <c r="I156" s="1">
        <v>46243</v>
      </c>
      <c r="J156">
        <v>1</v>
      </c>
      <c r="K156" s="1"/>
      <c r="L156" s="7">
        <v>0.39</v>
      </c>
      <c r="M156" s="7">
        <v>0.90697674418604635</v>
      </c>
      <c r="N156" s="7">
        <v>0.27906976744186046</v>
      </c>
      <c r="O156" s="7">
        <v>0.18604651162790695</v>
      </c>
      <c r="P156" s="7">
        <v>0.2558139534883721</v>
      </c>
      <c r="Q156" s="7">
        <v>0.18604651162790695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56" s="42">
        <f>+IF(AVANCE[[#This Row],[FECHA INICIO REAL]]="","",AVANCE[[#This Row],[FECHA INICIO REAL]]-AVANCE[[#This Row],[FECHA INICIO TEORICO]])</f>
        <v>20</v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6" s="42">
        <f>+AVANCE[[#This Row],[FECHA TERMINO  PLANIFICADO]]-AVANCE[[#This Row],[FECHA INICIO TEORICO]]</f>
        <v>32</v>
      </c>
      <c r="BK156" s="42">
        <f>+AVANCE[[#This Row],[FECHA TERMINO]]-AVANCE[[#This Row],[FECHA INICIO REAL]]</f>
        <v>-46231</v>
      </c>
    </row>
    <row r="157" spans="1:63" x14ac:dyDescent="0.25">
      <c r="A157" t="s">
        <v>953</v>
      </c>
      <c r="B157" t="s">
        <v>981</v>
      </c>
      <c r="C157">
        <v>2282600156</v>
      </c>
      <c r="D157" t="s">
        <v>830</v>
      </c>
      <c r="E157" s="4">
        <v>0.39</v>
      </c>
      <c r="F157" s="1">
        <v>46212</v>
      </c>
      <c r="G157" s="1">
        <v>46231</v>
      </c>
      <c r="H157" s="1">
        <v>46232</v>
      </c>
      <c r="I157" s="1">
        <v>46234</v>
      </c>
      <c r="J157">
        <v>1</v>
      </c>
      <c r="K157" s="1"/>
      <c r="L157" s="7">
        <v>0.39</v>
      </c>
      <c r="M157" s="7">
        <v>0.90697674418604635</v>
      </c>
      <c r="N157" s="7">
        <v>0.27906976744186046</v>
      </c>
      <c r="O157" s="7">
        <v>0.18604651162790695</v>
      </c>
      <c r="P157" s="7">
        <v>0.2558139534883721</v>
      </c>
      <c r="Q157" s="7">
        <v>0.18604651162790695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57" s="42">
        <f>+IF(AVANCE[[#This Row],[FECHA INICIO REAL]]="","",AVANCE[[#This Row],[FECHA INICIO REAL]]-AVANCE[[#This Row],[FECHA INICIO TEORICO]])</f>
        <v>19</v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7" s="42">
        <f>+AVANCE[[#This Row],[FECHA TERMINO  PLANIFICADO]]-AVANCE[[#This Row],[FECHA INICIO TEORICO]]</f>
        <v>22</v>
      </c>
      <c r="BK157" s="42">
        <f>+AVANCE[[#This Row],[FECHA TERMINO]]-AVANCE[[#This Row],[FECHA INICIO REAL]]</f>
        <v>-46231</v>
      </c>
    </row>
    <row r="158" spans="1:63" x14ac:dyDescent="0.25">
      <c r="A158" t="s">
        <v>953</v>
      </c>
      <c r="B158" t="s">
        <v>982</v>
      </c>
      <c r="C158">
        <v>2282600157</v>
      </c>
      <c r="D158" t="s">
        <v>830</v>
      </c>
      <c r="E158" s="4">
        <v>0.39</v>
      </c>
      <c r="F158" s="1">
        <v>46212</v>
      </c>
      <c r="G158" s="1">
        <v>46231</v>
      </c>
      <c r="H158" s="1">
        <v>46232</v>
      </c>
      <c r="I158" s="1">
        <v>46234</v>
      </c>
      <c r="J158">
        <v>1</v>
      </c>
      <c r="K158" s="1"/>
      <c r="L158" s="7">
        <v>0.39</v>
      </c>
      <c r="M158" s="7">
        <v>0.90697674418604635</v>
      </c>
      <c r="N158" s="7">
        <v>0.27906976744186046</v>
      </c>
      <c r="O158" s="7">
        <v>0.18604651162790695</v>
      </c>
      <c r="P158" s="7">
        <v>0.2558139534883721</v>
      </c>
      <c r="Q158" s="7">
        <v>0.18604651162790695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58" s="42">
        <f>+IF(AVANCE[[#This Row],[FECHA INICIO REAL]]="","",AVANCE[[#This Row],[FECHA INICIO REAL]]-AVANCE[[#This Row],[FECHA INICIO TEORICO]])</f>
        <v>19</v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8" s="42">
        <f>+AVANCE[[#This Row],[FECHA TERMINO  PLANIFICADO]]-AVANCE[[#This Row],[FECHA INICIO TEORICO]]</f>
        <v>22</v>
      </c>
      <c r="BK158" s="42">
        <f>+AVANCE[[#This Row],[FECHA TERMINO]]-AVANCE[[#This Row],[FECHA INICIO REAL]]</f>
        <v>-46231</v>
      </c>
    </row>
    <row r="159" spans="1:63" x14ac:dyDescent="0.25">
      <c r="A159" t="s">
        <v>953</v>
      </c>
      <c r="B159" t="s">
        <v>983</v>
      </c>
      <c r="C159">
        <v>2302600158</v>
      </c>
      <c r="D159" t="s">
        <v>831</v>
      </c>
      <c r="E159" s="4">
        <v>0.39</v>
      </c>
      <c r="F159" s="1">
        <v>46212</v>
      </c>
      <c r="G159" s="1">
        <v>46231</v>
      </c>
      <c r="H159" s="1">
        <v>46231</v>
      </c>
      <c r="I159" s="1">
        <v>46244</v>
      </c>
      <c r="J159">
        <v>2</v>
      </c>
      <c r="K159" s="1"/>
      <c r="L159" s="7">
        <v>0.39</v>
      </c>
      <c r="M159" s="7">
        <v>0.90697674418604635</v>
      </c>
      <c r="N159" s="7">
        <v>0.27906976744186046</v>
      </c>
      <c r="O159" s="7">
        <v>0.18604651162790695</v>
      </c>
      <c r="P159" s="7">
        <v>0.2558139534883721</v>
      </c>
      <c r="Q159" s="7">
        <v>0.18604651162790695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59" s="42">
        <f>+IF(AVANCE[[#This Row],[FECHA INICIO REAL]]="","",AVANCE[[#This Row],[FECHA INICIO REAL]]-AVANCE[[#This Row],[FECHA INICIO TEORICO]])</f>
        <v>19</v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9" s="42">
        <f>+AVANCE[[#This Row],[FECHA TERMINO  PLANIFICADO]]-AVANCE[[#This Row],[FECHA INICIO TEORICO]]</f>
        <v>32</v>
      </c>
      <c r="BK159" s="42">
        <f>+AVANCE[[#This Row],[FECHA TERMINO]]-AVANCE[[#This Row],[FECHA INICIO REAL]]</f>
        <v>-46231</v>
      </c>
    </row>
    <row r="160" spans="1:63" x14ac:dyDescent="0.25">
      <c r="A160" t="s">
        <v>953</v>
      </c>
      <c r="B160" t="s">
        <v>984</v>
      </c>
      <c r="C160">
        <v>2302600159</v>
      </c>
      <c r="D160" t="s">
        <v>831</v>
      </c>
      <c r="E160" s="4">
        <v>0.39</v>
      </c>
      <c r="F160" s="1">
        <v>46213</v>
      </c>
      <c r="G160" s="1">
        <v>46230</v>
      </c>
      <c r="H160" s="1">
        <v>46231</v>
      </c>
      <c r="I160" s="1">
        <v>46245</v>
      </c>
      <c r="J160">
        <v>2</v>
      </c>
      <c r="K160" s="1"/>
      <c r="L160" s="7">
        <v>0.39</v>
      </c>
      <c r="M160" s="7">
        <v>0.90697674418604635</v>
      </c>
      <c r="N160" s="7">
        <v>0.27906976744186046</v>
      </c>
      <c r="O160" s="7">
        <v>0.18604651162790695</v>
      </c>
      <c r="P160" s="7">
        <v>0.2558139534883721</v>
      </c>
      <c r="Q160" s="7">
        <v>0.18604651162790695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60" s="42">
        <f>+IF(AVANCE[[#This Row],[FECHA INICIO REAL]]="","",AVANCE[[#This Row],[FECHA INICIO REAL]]-AVANCE[[#This Row],[FECHA INICIO TEORICO]])</f>
        <v>17</v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0" s="42">
        <f>+AVANCE[[#This Row],[FECHA TERMINO  PLANIFICADO]]-AVANCE[[#This Row],[FECHA INICIO TEORICO]]</f>
        <v>32</v>
      </c>
      <c r="BK160" s="42">
        <f>+AVANCE[[#This Row],[FECHA TERMINO]]-AVANCE[[#This Row],[FECHA INICIO REAL]]</f>
        <v>-46230</v>
      </c>
    </row>
    <row r="161" spans="1:63" x14ac:dyDescent="0.25">
      <c r="A161" t="s">
        <v>953</v>
      </c>
      <c r="B161" t="s">
        <v>985</v>
      </c>
      <c r="C161">
        <v>2282600160</v>
      </c>
      <c r="D161" t="s">
        <v>830</v>
      </c>
      <c r="E161" s="4">
        <v>0.39</v>
      </c>
      <c r="F161" s="1">
        <v>46213</v>
      </c>
      <c r="G161" s="1">
        <v>46227</v>
      </c>
      <c r="H161" s="1">
        <v>46230</v>
      </c>
      <c r="I161" s="1">
        <v>46235</v>
      </c>
      <c r="J161">
        <v>3</v>
      </c>
      <c r="K161" s="1"/>
      <c r="L161" s="7">
        <v>0.39</v>
      </c>
      <c r="M161" s="7">
        <v>0.90697674418604635</v>
      </c>
      <c r="N161" s="7">
        <v>0.27906976744186046</v>
      </c>
      <c r="O161" s="7">
        <v>0.18604651162790695</v>
      </c>
      <c r="P161" s="7">
        <v>0.2558139534883721</v>
      </c>
      <c r="Q161" s="7">
        <v>0.18604651162790695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61" s="42">
        <f>+IF(AVANCE[[#This Row],[FECHA INICIO REAL]]="","",AVANCE[[#This Row],[FECHA INICIO REAL]]-AVANCE[[#This Row],[FECHA INICIO TEORICO]])</f>
        <v>14</v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1" s="42">
        <f>+AVANCE[[#This Row],[FECHA TERMINO  PLANIFICADO]]-AVANCE[[#This Row],[FECHA INICIO TEORICO]]</f>
        <v>22</v>
      </c>
      <c r="BK161" s="42">
        <f>+AVANCE[[#This Row],[FECHA TERMINO]]-AVANCE[[#This Row],[FECHA INICIO REAL]]</f>
        <v>-46227</v>
      </c>
    </row>
    <row r="162" spans="1:63" x14ac:dyDescent="0.25">
      <c r="A162" t="s">
        <v>986</v>
      </c>
      <c r="B162" t="s">
        <v>987</v>
      </c>
      <c r="C162">
        <v>2282600161</v>
      </c>
      <c r="D162" t="s">
        <v>830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46233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2" s="42">
        <f>+AVANCE[[#This Row],[FECHA TERMINO  PLANIFICADO]]-AVANCE[[#This Row],[FECHA INICIO TEORICO]]</f>
        <v>20</v>
      </c>
      <c r="BK162" s="42">
        <f>+AVANCE[[#This Row],[FECHA TERMINO]]-AVANCE[[#This Row],[FECHA INICIO REAL]]</f>
        <v>0</v>
      </c>
    </row>
    <row r="163" spans="1:63" x14ac:dyDescent="0.25">
      <c r="A163" t="s">
        <v>986</v>
      </c>
      <c r="B163" t="s">
        <v>988</v>
      </c>
      <c r="C163">
        <v>2302600162</v>
      </c>
      <c r="D163" t="s">
        <v>831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46233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3" s="42">
        <f>+AVANCE[[#This Row],[FECHA TERMINO  PLANIFICADO]]-AVANCE[[#This Row],[FECHA INICIO TEORICO]]</f>
        <v>30</v>
      </c>
      <c r="BK163" s="42">
        <f>+AVANCE[[#This Row],[FECHA TERMINO]]-AVANCE[[#This Row],[FECHA INICIO REAL]]</f>
        <v>0</v>
      </c>
    </row>
    <row r="164" spans="1:63" x14ac:dyDescent="0.25">
      <c r="A164" t="s">
        <v>986</v>
      </c>
      <c r="B164" t="s">
        <v>989</v>
      </c>
      <c r="C164">
        <v>2302600163</v>
      </c>
      <c r="D164" t="s">
        <v>831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46233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4" s="42">
        <f>+AVANCE[[#This Row],[FECHA TERMINO  PLANIFICADO]]-AVANCE[[#This Row],[FECHA INICIO TEORICO]]</f>
        <v>30</v>
      </c>
      <c r="BK164" s="42">
        <f>+AVANCE[[#This Row],[FECHA TERMINO]]-AVANCE[[#This Row],[FECHA INICIO REAL]]</f>
        <v>0</v>
      </c>
    </row>
    <row r="165" spans="1:63" x14ac:dyDescent="0.25">
      <c r="A165" t="s">
        <v>986</v>
      </c>
      <c r="B165" t="s">
        <v>990</v>
      </c>
      <c r="C165">
        <v>2282600164</v>
      </c>
      <c r="D165" t="s">
        <v>830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46233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5" s="42">
        <f>+AVANCE[[#This Row],[FECHA TERMINO  PLANIFICADO]]-AVANCE[[#This Row],[FECHA INICIO TEORICO]]</f>
        <v>20</v>
      </c>
      <c r="BK165" s="42">
        <f>+AVANCE[[#This Row],[FECHA TERMINO]]-AVANCE[[#This Row],[FECHA INICIO REAL]]</f>
        <v>0</v>
      </c>
    </row>
    <row r="166" spans="1:63" x14ac:dyDescent="0.25">
      <c r="A166" t="s">
        <v>986</v>
      </c>
      <c r="B166" t="s">
        <v>991</v>
      </c>
      <c r="C166">
        <v>2282600165</v>
      </c>
      <c r="D166" t="s">
        <v>830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46233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6" s="42">
        <f>+AVANCE[[#This Row],[FECHA TERMINO  PLANIFICADO]]-AVANCE[[#This Row],[FECHA INICIO TEORICO]]</f>
        <v>20</v>
      </c>
      <c r="BK166" s="42">
        <f>+AVANCE[[#This Row],[FECHA TERMINO]]-AVANCE[[#This Row],[FECHA INICIO REAL]]</f>
        <v>0</v>
      </c>
    </row>
    <row r="167" spans="1:63" x14ac:dyDescent="0.25">
      <c r="A167" t="s">
        <v>986</v>
      </c>
      <c r="B167" t="s">
        <v>992</v>
      </c>
      <c r="C167">
        <v>2302600166</v>
      </c>
      <c r="D167" t="s">
        <v>831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46233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7" s="42">
        <f>+AVANCE[[#This Row],[FECHA TERMINO  PLANIFICADO]]-AVANCE[[#This Row],[FECHA INICIO TEORICO]]</f>
        <v>30</v>
      </c>
      <c r="BK167" s="42">
        <f>+AVANCE[[#This Row],[FECHA TERMINO]]-AVANCE[[#This Row],[FECHA INICIO REAL]]</f>
        <v>0</v>
      </c>
    </row>
    <row r="168" spans="1:63" x14ac:dyDescent="0.25">
      <c r="A168" t="s">
        <v>986</v>
      </c>
      <c r="B168" t="s">
        <v>993</v>
      </c>
      <c r="C168">
        <v>2302600167</v>
      </c>
      <c r="D168" t="s">
        <v>831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46233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8" s="42">
        <f>+AVANCE[[#This Row],[FECHA TERMINO  PLANIFICADO]]-AVANCE[[#This Row],[FECHA INICIO TEORICO]]</f>
        <v>30</v>
      </c>
      <c r="BK168" s="42">
        <f>+AVANCE[[#This Row],[FECHA TERMINO]]-AVANCE[[#This Row],[FECHA INICIO REAL]]</f>
        <v>0</v>
      </c>
    </row>
    <row r="169" spans="1:63" x14ac:dyDescent="0.25">
      <c r="A169" t="s">
        <v>986</v>
      </c>
      <c r="B169" t="s">
        <v>994</v>
      </c>
      <c r="C169">
        <v>2282600168</v>
      </c>
      <c r="D169" t="s">
        <v>830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46233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9" s="42">
        <f>+AVANCE[[#This Row],[FECHA TERMINO  PLANIFICADO]]-AVANCE[[#This Row],[FECHA INICIO TEORICO]]</f>
        <v>20</v>
      </c>
      <c r="BK169" s="42">
        <f>+AVANCE[[#This Row],[FECHA TERMINO]]-AVANCE[[#This Row],[FECHA INICIO REAL]]</f>
        <v>0</v>
      </c>
    </row>
    <row r="170" spans="1:63" x14ac:dyDescent="0.25">
      <c r="A170" t="s">
        <v>986</v>
      </c>
      <c r="B170" t="s">
        <v>995</v>
      </c>
      <c r="C170">
        <v>2282600169</v>
      </c>
      <c r="D170" t="s">
        <v>830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46233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0" s="42">
        <f>+AVANCE[[#This Row],[FECHA TERMINO  PLANIFICADO]]-AVANCE[[#This Row],[FECHA INICIO TEORICO]]</f>
        <v>20</v>
      </c>
      <c r="BK170" s="42">
        <f>+AVANCE[[#This Row],[FECHA TERMINO]]-AVANCE[[#This Row],[FECHA INICIO REAL]]</f>
        <v>0</v>
      </c>
    </row>
    <row r="171" spans="1:63" x14ac:dyDescent="0.25">
      <c r="A171" t="s">
        <v>986</v>
      </c>
      <c r="B171" t="s">
        <v>996</v>
      </c>
      <c r="C171">
        <v>2302600170</v>
      </c>
      <c r="D171" t="s">
        <v>831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46233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1" s="42">
        <f>+AVANCE[[#This Row],[FECHA TERMINO  PLANIFICADO]]-AVANCE[[#This Row],[FECHA INICIO TEORICO]]</f>
        <v>30</v>
      </c>
      <c r="BK171" s="42">
        <f>+AVANCE[[#This Row],[FECHA TERMINO]]-AVANCE[[#This Row],[FECHA INICIO REAL]]</f>
        <v>0</v>
      </c>
    </row>
    <row r="172" spans="1:63" x14ac:dyDescent="0.25">
      <c r="A172" t="s">
        <v>986</v>
      </c>
      <c r="B172" t="s">
        <v>997</v>
      </c>
      <c r="C172">
        <v>2302600171</v>
      </c>
      <c r="D172" t="s">
        <v>831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46233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2" s="42">
        <f>+AVANCE[[#This Row],[FECHA TERMINO  PLANIFICADO]]-AVANCE[[#This Row],[FECHA INICIO TEORICO]]</f>
        <v>30</v>
      </c>
      <c r="BK172" s="42">
        <f>+AVANCE[[#This Row],[FECHA TERMINO]]-AVANCE[[#This Row],[FECHA INICIO REAL]]</f>
        <v>0</v>
      </c>
    </row>
    <row r="173" spans="1:63" x14ac:dyDescent="0.25">
      <c r="A173" t="s">
        <v>986</v>
      </c>
      <c r="B173" t="s">
        <v>998</v>
      </c>
      <c r="C173">
        <v>2282600172</v>
      </c>
      <c r="D173" t="s">
        <v>830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46233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3" s="42">
        <f>+AVANCE[[#This Row],[FECHA TERMINO  PLANIFICADO]]-AVANCE[[#This Row],[FECHA INICIO TEORICO]]</f>
        <v>20</v>
      </c>
      <c r="BK173" s="42">
        <f>+AVANCE[[#This Row],[FECHA TERMINO]]-AVANCE[[#This Row],[FECHA INICIO REAL]]</f>
        <v>0</v>
      </c>
    </row>
    <row r="174" spans="1:63" x14ac:dyDescent="0.25">
      <c r="A174" t="s">
        <v>986</v>
      </c>
      <c r="B174" t="s">
        <v>999</v>
      </c>
      <c r="C174">
        <v>2282600173</v>
      </c>
      <c r="D174" t="s">
        <v>830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46233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4" s="42">
        <f>+AVANCE[[#This Row],[FECHA TERMINO  PLANIFICADO]]-AVANCE[[#This Row],[FECHA INICIO TEORICO]]</f>
        <v>20</v>
      </c>
      <c r="BK174" s="42">
        <f>+AVANCE[[#This Row],[FECHA TERMINO]]-AVANCE[[#This Row],[FECHA INICIO REAL]]</f>
        <v>0</v>
      </c>
    </row>
    <row r="175" spans="1:63" x14ac:dyDescent="0.25">
      <c r="A175" t="s">
        <v>986</v>
      </c>
      <c r="B175" t="s">
        <v>1000</v>
      </c>
      <c r="C175">
        <v>2302600174</v>
      </c>
      <c r="D175" t="s">
        <v>831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46233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5" s="42">
        <f>+AVANCE[[#This Row],[FECHA TERMINO  PLANIFICADO]]-AVANCE[[#This Row],[FECHA INICIO TEORICO]]</f>
        <v>30</v>
      </c>
      <c r="BK175" s="42">
        <f>+AVANCE[[#This Row],[FECHA TERMINO]]-AVANCE[[#This Row],[FECHA INICIO REAL]]</f>
        <v>0</v>
      </c>
    </row>
    <row r="176" spans="1:63" x14ac:dyDescent="0.25">
      <c r="A176" t="s">
        <v>986</v>
      </c>
      <c r="B176" t="s">
        <v>1001</v>
      </c>
      <c r="C176">
        <v>2302600175</v>
      </c>
      <c r="D176" t="s">
        <v>831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46233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6" s="42">
        <f>+AVANCE[[#This Row],[FECHA TERMINO  PLANIFICADO]]-AVANCE[[#This Row],[FECHA INICIO TEORICO]]</f>
        <v>30</v>
      </c>
      <c r="BK176" s="42">
        <f>+AVANCE[[#This Row],[FECHA TERMINO]]-AVANCE[[#This Row],[FECHA INICIO REAL]]</f>
        <v>0</v>
      </c>
    </row>
    <row r="177" spans="1:63" x14ac:dyDescent="0.25">
      <c r="A177" t="s">
        <v>986</v>
      </c>
      <c r="B177" t="s">
        <v>1002</v>
      </c>
      <c r="C177">
        <v>2282600176</v>
      </c>
      <c r="D177" t="s">
        <v>830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46233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7" s="42">
        <f>+AVANCE[[#This Row],[FECHA TERMINO  PLANIFICADO]]-AVANCE[[#This Row],[FECHA INICIO TEORICO]]</f>
        <v>20</v>
      </c>
      <c r="BK177" s="42">
        <f>+AVANCE[[#This Row],[FECHA TERMINO]]-AVANCE[[#This Row],[FECHA INICIO REAL]]</f>
        <v>0</v>
      </c>
    </row>
    <row r="178" spans="1:63" x14ac:dyDescent="0.25">
      <c r="A178" t="s">
        <v>986</v>
      </c>
      <c r="B178" t="s">
        <v>1003</v>
      </c>
      <c r="C178">
        <v>2282600177</v>
      </c>
      <c r="D178" t="s">
        <v>830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46233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8" s="42">
        <f>+AVANCE[[#This Row],[FECHA TERMINO  PLANIFICADO]]-AVANCE[[#This Row],[FECHA INICIO TEORICO]]</f>
        <v>20</v>
      </c>
      <c r="BK178" s="42">
        <f>+AVANCE[[#This Row],[FECHA TERMINO]]-AVANCE[[#This Row],[FECHA INICIO REAL]]</f>
        <v>0</v>
      </c>
    </row>
    <row r="179" spans="1:63" x14ac:dyDescent="0.25">
      <c r="A179" t="s">
        <v>986</v>
      </c>
      <c r="B179" t="s">
        <v>1004</v>
      </c>
      <c r="C179">
        <v>2302600178</v>
      </c>
      <c r="D179" t="s">
        <v>831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46233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9" s="42">
        <f>+AVANCE[[#This Row],[FECHA TERMINO  PLANIFICADO]]-AVANCE[[#This Row],[FECHA INICIO TEORICO]]</f>
        <v>30</v>
      </c>
      <c r="BK179" s="42">
        <f>+AVANCE[[#This Row],[FECHA TERMINO]]-AVANCE[[#This Row],[FECHA INICIO REAL]]</f>
        <v>0</v>
      </c>
    </row>
    <row r="180" spans="1:63" x14ac:dyDescent="0.25">
      <c r="A180" t="s">
        <v>986</v>
      </c>
      <c r="B180" t="s">
        <v>1005</v>
      </c>
      <c r="C180">
        <v>2302600179</v>
      </c>
      <c r="D180" t="s">
        <v>831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46233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0" s="42">
        <f>+AVANCE[[#This Row],[FECHA TERMINO  PLANIFICADO]]-AVANCE[[#This Row],[FECHA INICIO TEORICO]]</f>
        <v>30</v>
      </c>
      <c r="BK180" s="42">
        <f>+AVANCE[[#This Row],[FECHA TERMINO]]-AVANCE[[#This Row],[FECHA INICIO REAL]]</f>
        <v>0</v>
      </c>
    </row>
    <row r="181" spans="1:63" x14ac:dyDescent="0.25">
      <c r="A181" t="s">
        <v>986</v>
      </c>
      <c r="B181" t="s">
        <v>1006</v>
      </c>
      <c r="C181">
        <v>2282600180</v>
      </c>
      <c r="D181" t="s">
        <v>830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46233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1" s="42">
        <f>+AVANCE[[#This Row],[FECHA TERMINO  PLANIFICADO]]-AVANCE[[#This Row],[FECHA INICIO TEORICO]]</f>
        <v>20</v>
      </c>
      <c r="BK181" s="42">
        <f>+AVANCE[[#This Row],[FECHA TERMINO]]-AVANCE[[#This Row],[FECHA INICIO REAL]]</f>
        <v>0</v>
      </c>
    </row>
    <row r="182" spans="1:63" x14ac:dyDescent="0.25">
      <c r="A182" t="s">
        <v>986</v>
      </c>
      <c r="B182" t="s">
        <v>1007</v>
      </c>
      <c r="C182">
        <v>2282600181</v>
      </c>
      <c r="D182" t="s">
        <v>830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46233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2" s="42">
        <f>+AVANCE[[#This Row],[FECHA TERMINO  PLANIFICADO]]-AVANCE[[#This Row],[FECHA INICIO TEORICO]]</f>
        <v>20</v>
      </c>
      <c r="BK182" s="42">
        <f>+AVANCE[[#This Row],[FECHA TERMINO]]-AVANCE[[#This Row],[FECHA INICIO REAL]]</f>
        <v>0</v>
      </c>
    </row>
    <row r="183" spans="1:63" x14ac:dyDescent="0.25">
      <c r="A183" t="s">
        <v>986</v>
      </c>
      <c r="B183" t="s">
        <v>1008</v>
      </c>
      <c r="C183">
        <v>2302600182</v>
      </c>
      <c r="D183" t="s">
        <v>831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46233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3" s="42">
        <f>+AVANCE[[#This Row],[FECHA TERMINO  PLANIFICADO]]-AVANCE[[#This Row],[FECHA INICIO TEORICO]]</f>
        <v>30</v>
      </c>
      <c r="BK183" s="42">
        <f>+AVANCE[[#This Row],[FECHA TERMINO]]-AVANCE[[#This Row],[FECHA INICIO REAL]]</f>
        <v>0</v>
      </c>
    </row>
    <row r="184" spans="1:63" x14ac:dyDescent="0.25">
      <c r="A184" t="s">
        <v>986</v>
      </c>
      <c r="B184" t="s">
        <v>1009</v>
      </c>
      <c r="C184">
        <v>2302600183</v>
      </c>
      <c r="D184" t="s">
        <v>831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46233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4" s="42">
        <f>+AVANCE[[#This Row],[FECHA TERMINO  PLANIFICADO]]-AVANCE[[#This Row],[FECHA INICIO TEORICO]]</f>
        <v>30</v>
      </c>
      <c r="BK184" s="42">
        <f>+AVANCE[[#This Row],[FECHA TERMINO]]-AVANCE[[#This Row],[FECHA INICIO REAL]]</f>
        <v>0</v>
      </c>
    </row>
    <row r="185" spans="1:63" x14ac:dyDescent="0.25">
      <c r="A185" t="s">
        <v>986</v>
      </c>
      <c r="B185" t="s">
        <v>1010</v>
      </c>
      <c r="C185">
        <v>2282600184</v>
      </c>
      <c r="D185" t="s">
        <v>830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46233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5" s="42">
        <f>+AVANCE[[#This Row],[FECHA TERMINO  PLANIFICADO]]-AVANCE[[#This Row],[FECHA INICIO TEORICO]]</f>
        <v>20</v>
      </c>
      <c r="BK185" s="42">
        <f>+AVANCE[[#This Row],[FECHA TERMINO]]-AVANCE[[#This Row],[FECHA INICIO REAL]]</f>
        <v>0</v>
      </c>
    </row>
    <row r="186" spans="1:63" x14ac:dyDescent="0.25">
      <c r="A186" t="s">
        <v>986</v>
      </c>
      <c r="B186" t="s">
        <v>1011</v>
      </c>
      <c r="C186">
        <v>2282600185</v>
      </c>
      <c r="D186" t="s">
        <v>830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46233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6" s="42">
        <f>+AVANCE[[#This Row],[FECHA TERMINO  PLANIFICADO]]-AVANCE[[#This Row],[FECHA INICIO TEORICO]]</f>
        <v>20</v>
      </c>
      <c r="BK186" s="42">
        <f>+AVANCE[[#This Row],[FECHA TERMINO]]-AVANCE[[#This Row],[FECHA INICIO REAL]]</f>
        <v>0</v>
      </c>
    </row>
    <row r="187" spans="1:63" x14ac:dyDescent="0.25">
      <c r="A187" t="s">
        <v>986</v>
      </c>
      <c r="B187" t="s">
        <v>1012</v>
      </c>
      <c r="C187">
        <v>2302600186</v>
      </c>
      <c r="D187" t="s">
        <v>831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46233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7" s="42">
        <f>+AVANCE[[#This Row],[FECHA TERMINO  PLANIFICADO]]-AVANCE[[#This Row],[FECHA INICIO TEORICO]]</f>
        <v>30</v>
      </c>
      <c r="BK187" s="42">
        <f>+AVANCE[[#This Row],[FECHA TERMINO]]-AVANCE[[#This Row],[FECHA INICIO REAL]]</f>
        <v>0</v>
      </c>
    </row>
    <row r="188" spans="1:63" x14ac:dyDescent="0.25">
      <c r="A188" t="s">
        <v>986</v>
      </c>
      <c r="B188" t="s">
        <v>1013</v>
      </c>
      <c r="C188">
        <v>2302600187</v>
      </c>
      <c r="D188" t="s">
        <v>831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46233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8" s="42">
        <f>+AVANCE[[#This Row],[FECHA TERMINO  PLANIFICADO]]-AVANCE[[#This Row],[FECHA INICIO TEORICO]]</f>
        <v>30</v>
      </c>
      <c r="BK188" s="42">
        <f>+AVANCE[[#This Row],[FECHA TERMINO]]-AVANCE[[#This Row],[FECHA INICIO REAL]]</f>
        <v>0</v>
      </c>
    </row>
    <row r="189" spans="1:63" x14ac:dyDescent="0.25">
      <c r="A189" t="s">
        <v>986</v>
      </c>
      <c r="B189" t="s">
        <v>1014</v>
      </c>
      <c r="C189">
        <v>2282600188</v>
      </c>
      <c r="D189" t="s">
        <v>830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46233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9" s="42">
        <f>+AVANCE[[#This Row],[FECHA TERMINO  PLANIFICADO]]-AVANCE[[#This Row],[FECHA INICIO TEORICO]]</f>
        <v>20</v>
      </c>
      <c r="BK189" s="42">
        <f>+AVANCE[[#This Row],[FECHA TERMINO]]-AVANCE[[#This Row],[FECHA INICIO REAL]]</f>
        <v>0</v>
      </c>
    </row>
    <row r="190" spans="1:63" x14ac:dyDescent="0.25">
      <c r="A190" t="s">
        <v>986</v>
      </c>
      <c r="B190" t="s">
        <v>1015</v>
      </c>
      <c r="C190">
        <v>2282600189</v>
      </c>
      <c r="D190" t="s">
        <v>830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46233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0" s="42">
        <f>+AVANCE[[#This Row],[FECHA TERMINO  PLANIFICADO]]-AVANCE[[#This Row],[FECHA INICIO TEORICO]]</f>
        <v>20</v>
      </c>
      <c r="BK190" s="42">
        <f>+AVANCE[[#This Row],[FECHA TERMINO]]-AVANCE[[#This Row],[FECHA INICIO REAL]]</f>
        <v>0</v>
      </c>
    </row>
    <row r="191" spans="1:63" x14ac:dyDescent="0.25">
      <c r="A191" t="s">
        <v>986</v>
      </c>
      <c r="B191" t="s">
        <v>1016</v>
      </c>
      <c r="C191">
        <v>2302600190</v>
      </c>
      <c r="D191" t="s">
        <v>831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46233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1" s="42">
        <f>+AVANCE[[#This Row],[FECHA TERMINO  PLANIFICADO]]-AVANCE[[#This Row],[FECHA INICIO TEORICO]]</f>
        <v>30</v>
      </c>
      <c r="BK191" s="42">
        <f>+AVANCE[[#This Row],[FECHA TERMINO]]-AVANCE[[#This Row],[FECHA INICIO REAL]]</f>
        <v>0</v>
      </c>
    </row>
    <row r="192" spans="1:63" x14ac:dyDescent="0.25">
      <c r="A192" t="s">
        <v>986</v>
      </c>
      <c r="B192" t="s">
        <v>1017</v>
      </c>
      <c r="C192">
        <v>2302600191</v>
      </c>
      <c r="D192" t="s">
        <v>831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46233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2" s="42">
        <f>+AVANCE[[#This Row],[FECHA TERMINO  PLANIFICADO]]-AVANCE[[#This Row],[FECHA INICIO TEORICO]]</f>
        <v>30</v>
      </c>
      <c r="BK192" s="42">
        <f>+AVANCE[[#This Row],[FECHA TERMINO]]-AVANCE[[#This Row],[FECHA INICIO REAL]]</f>
        <v>0</v>
      </c>
    </row>
    <row r="193" spans="1:63" x14ac:dyDescent="0.25">
      <c r="A193" t="s">
        <v>986</v>
      </c>
      <c r="B193" t="s">
        <v>1018</v>
      </c>
      <c r="C193">
        <v>2282600192</v>
      </c>
      <c r="D193" t="s">
        <v>830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46233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3" s="42">
        <f>+AVANCE[[#This Row],[FECHA TERMINO  PLANIFICADO]]-AVANCE[[#This Row],[FECHA INICIO TEORICO]]</f>
        <v>20</v>
      </c>
      <c r="BK193" s="42">
        <f>+AVANCE[[#This Row],[FECHA TERMINO]]-AVANCE[[#This Row],[FECHA INICIO REAL]]</f>
        <v>0</v>
      </c>
    </row>
    <row r="194" spans="1:63" x14ac:dyDescent="0.25">
      <c r="A194" t="s">
        <v>1019</v>
      </c>
      <c r="B194" t="s">
        <v>1020</v>
      </c>
      <c r="C194">
        <v>2282600193</v>
      </c>
      <c r="D194" t="s">
        <v>830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46233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4" s="42">
        <f>+AVANCE[[#This Row],[FECHA TERMINO  PLANIFICADO]]-AVANCE[[#This Row],[FECHA INICIO TEORICO]]</f>
        <v>20</v>
      </c>
      <c r="BK194" s="42">
        <f>+AVANCE[[#This Row],[FECHA TERMINO]]-AVANCE[[#This Row],[FECHA INICIO REAL]]</f>
        <v>0</v>
      </c>
    </row>
    <row r="195" spans="1:63" x14ac:dyDescent="0.25">
      <c r="A195" t="s">
        <v>1019</v>
      </c>
      <c r="B195" t="s">
        <v>1021</v>
      </c>
      <c r="C195">
        <v>2302600194</v>
      </c>
      <c r="D195" t="s">
        <v>831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46233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5" s="42">
        <f>+AVANCE[[#This Row],[FECHA TERMINO  PLANIFICADO]]-AVANCE[[#This Row],[FECHA INICIO TEORICO]]</f>
        <v>30</v>
      </c>
      <c r="BK195" s="42">
        <f>+AVANCE[[#This Row],[FECHA TERMINO]]-AVANCE[[#This Row],[FECHA INICIO REAL]]</f>
        <v>0</v>
      </c>
    </row>
    <row r="196" spans="1:63" x14ac:dyDescent="0.25">
      <c r="A196" t="s">
        <v>1019</v>
      </c>
      <c r="B196" t="s">
        <v>1022</v>
      </c>
      <c r="C196">
        <v>2302600195</v>
      </c>
      <c r="D196" t="s">
        <v>831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46233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6" s="42">
        <f>+AVANCE[[#This Row],[FECHA TERMINO  PLANIFICADO]]-AVANCE[[#This Row],[FECHA INICIO TEORICO]]</f>
        <v>30</v>
      </c>
      <c r="BK196" s="42">
        <f>+AVANCE[[#This Row],[FECHA TERMINO]]-AVANCE[[#This Row],[FECHA INICIO REAL]]</f>
        <v>0</v>
      </c>
    </row>
    <row r="197" spans="1:63" x14ac:dyDescent="0.25">
      <c r="A197" t="s">
        <v>1019</v>
      </c>
      <c r="B197" t="s">
        <v>1023</v>
      </c>
      <c r="C197">
        <v>2282600196</v>
      </c>
      <c r="D197" t="s">
        <v>830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46233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7" s="42">
        <f>+AVANCE[[#This Row],[FECHA TERMINO  PLANIFICADO]]-AVANCE[[#This Row],[FECHA INICIO TEORICO]]</f>
        <v>20</v>
      </c>
      <c r="BK197" s="42">
        <f>+AVANCE[[#This Row],[FECHA TERMINO]]-AVANCE[[#This Row],[FECHA INICIO REAL]]</f>
        <v>0</v>
      </c>
    </row>
    <row r="198" spans="1:63" x14ac:dyDescent="0.25">
      <c r="A198" t="s">
        <v>1019</v>
      </c>
      <c r="B198" t="s">
        <v>1024</v>
      </c>
      <c r="C198">
        <v>2282600197</v>
      </c>
      <c r="D198" t="s">
        <v>830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46233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8" s="42">
        <f>+AVANCE[[#This Row],[FECHA TERMINO  PLANIFICADO]]-AVANCE[[#This Row],[FECHA INICIO TEORICO]]</f>
        <v>20</v>
      </c>
      <c r="BK198" s="42">
        <f>+AVANCE[[#This Row],[FECHA TERMINO]]-AVANCE[[#This Row],[FECHA INICIO REAL]]</f>
        <v>0</v>
      </c>
    </row>
    <row r="199" spans="1:63" x14ac:dyDescent="0.25">
      <c r="A199" t="s">
        <v>1019</v>
      </c>
      <c r="B199" t="s">
        <v>1025</v>
      </c>
      <c r="C199">
        <v>2302600198</v>
      </c>
      <c r="D199" t="s">
        <v>831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46233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9" s="42">
        <f>+AVANCE[[#This Row],[FECHA TERMINO  PLANIFICADO]]-AVANCE[[#This Row],[FECHA INICIO TEORICO]]</f>
        <v>30</v>
      </c>
      <c r="BK199" s="42">
        <f>+AVANCE[[#This Row],[FECHA TERMINO]]-AVANCE[[#This Row],[FECHA INICIO REAL]]</f>
        <v>0</v>
      </c>
    </row>
    <row r="200" spans="1:63" x14ac:dyDescent="0.25">
      <c r="A200" t="s">
        <v>1019</v>
      </c>
      <c r="B200" t="s">
        <v>1026</v>
      </c>
      <c r="C200">
        <v>2302600199</v>
      </c>
      <c r="D200" t="s">
        <v>831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46233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0" s="42">
        <f>+AVANCE[[#This Row],[FECHA TERMINO  PLANIFICADO]]-AVANCE[[#This Row],[FECHA INICIO TEORICO]]</f>
        <v>30</v>
      </c>
      <c r="BK200" s="42">
        <f>+AVANCE[[#This Row],[FECHA TERMINO]]-AVANCE[[#This Row],[FECHA INICIO REAL]]</f>
        <v>0</v>
      </c>
    </row>
    <row r="201" spans="1:63" x14ac:dyDescent="0.25">
      <c r="A201" t="s">
        <v>1019</v>
      </c>
      <c r="B201" t="s">
        <v>1027</v>
      </c>
      <c r="C201">
        <v>2282600200</v>
      </c>
      <c r="D201" t="s">
        <v>830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46233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1" s="42">
        <f>+AVANCE[[#This Row],[FECHA TERMINO  PLANIFICADO]]-AVANCE[[#This Row],[FECHA INICIO TEORICO]]</f>
        <v>20</v>
      </c>
      <c r="BK201" s="42">
        <f>+AVANCE[[#This Row],[FECHA TERMINO]]-AVANCE[[#This Row],[FECHA INICIO REAL]]</f>
        <v>0</v>
      </c>
    </row>
    <row r="202" spans="1:63" x14ac:dyDescent="0.25">
      <c r="A202" t="s">
        <v>1019</v>
      </c>
      <c r="B202" t="s">
        <v>1028</v>
      </c>
      <c r="C202">
        <v>2282600201</v>
      </c>
      <c r="D202" t="s">
        <v>830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46233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2" s="42">
        <f>+AVANCE[[#This Row],[FECHA TERMINO  PLANIFICADO]]-AVANCE[[#This Row],[FECHA INICIO TEORICO]]</f>
        <v>20</v>
      </c>
      <c r="BK202" s="42">
        <f>+AVANCE[[#This Row],[FECHA TERMINO]]-AVANCE[[#This Row],[FECHA INICIO REAL]]</f>
        <v>0</v>
      </c>
    </row>
    <row r="203" spans="1:63" x14ac:dyDescent="0.25">
      <c r="A203" t="s">
        <v>1019</v>
      </c>
      <c r="B203" t="s">
        <v>1029</v>
      </c>
      <c r="C203">
        <v>2302600202</v>
      </c>
      <c r="D203" t="s">
        <v>831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46233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3" s="42">
        <f>+AVANCE[[#This Row],[FECHA TERMINO  PLANIFICADO]]-AVANCE[[#This Row],[FECHA INICIO TEORICO]]</f>
        <v>30</v>
      </c>
      <c r="BK203" s="42">
        <f>+AVANCE[[#This Row],[FECHA TERMINO]]-AVANCE[[#This Row],[FECHA INICIO REAL]]</f>
        <v>0</v>
      </c>
    </row>
    <row r="204" spans="1:63" x14ac:dyDescent="0.25">
      <c r="A204" t="s">
        <v>1019</v>
      </c>
      <c r="B204" t="s">
        <v>1030</v>
      </c>
      <c r="C204">
        <v>2302600203</v>
      </c>
      <c r="D204" t="s">
        <v>831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46233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4" s="42">
        <f>+AVANCE[[#This Row],[FECHA TERMINO  PLANIFICADO]]-AVANCE[[#This Row],[FECHA INICIO TEORICO]]</f>
        <v>30</v>
      </c>
      <c r="BK204" s="42">
        <f>+AVANCE[[#This Row],[FECHA TERMINO]]-AVANCE[[#This Row],[FECHA INICIO REAL]]</f>
        <v>0</v>
      </c>
    </row>
    <row r="205" spans="1:63" x14ac:dyDescent="0.25">
      <c r="A205" t="s">
        <v>1019</v>
      </c>
      <c r="B205" t="s">
        <v>1031</v>
      </c>
      <c r="C205">
        <v>2282600204</v>
      </c>
      <c r="D205" t="s">
        <v>830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46233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5" s="42">
        <f>+AVANCE[[#This Row],[FECHA TERMINO  PLANIFICADO]]-AVANCE[[#This Row],[FECHA INICIO TEORICO]]</f>
        <v>20</v>
      </c>
      <c r="BK205" s="42">
        <f>+AVANCE[[#This Row],[FECHA TERMINO]]-AVANCE[[#This Row],[FECHA INICIO REAL]]</f>
        <v>0</v>
      </c>
    </row>
    <row r="206" spans="1:63" x14ac:dyDescent="0.25">
      <c r="A206" t="s">
        <v>1019</v>
      </c>
      <c r="B206" t="s">
        <v>1032</v>
      </c>
      <c r="C206">
        <v>2282600205</v>
      </c>
      <c r="D206" t="s">
        <v>830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46233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6" s="42">
        <f>+AVANCE[[#This Row],[FECHA TERMINO  PLANIFICADO]]-AVANCE[[#This Row],[FECHA INICIO TEORICO]]</f>
        <v>20</v>
      </c>
      <c r="BK206" s="42">
        <f>+AVANCE[[#This Row],[FECHA TERMINO]]-AVANCE[[#This Row],[FECHA INICIO REAL]]</f>
        <v>0</v>
      </c>
    </row>
    <row r="207" spans="1:63" x14ac:dyDescent="0.25">
      <c r="A207" t="s">
        <v>1019</v>
      </c>
      <c r="B207" t="s">
        <v>1033</v>
      </c>
      <c r="C207">
        <v>2302600206</v>
      </c>
      <c r="D207" t="s">
        <v>831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46233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7" s="42">
        <f>+AVANCE[[#This Row],[FECHA TERMINO  PLANIFICADO]]-AVANCE[[#This Row],[FECHA INICIO TEORICO]]</f>
        <v>30</v>
      </c>
      <c r="BK207" s="42">
        <f>+AVANCE[[#This Row],[FECHA TERMINO]]-AVANCE[[#This Row],[FECHA INICIO REAL]]</f>
        <v>0</v>
      </c>
    </row>
    <row r="208" spans="1:63" x14ac:dyDescent="0.25">
      <c r="A208" t="s">
        <v>1019</v>
      </c>
      <c r="B208" t="s">
        <v>1034</v>
      </c>
      <c r="C208">
        <v>2302600207</v>
      </c>
      <c r="D208" t="s">
        <v>831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46233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8" s="42">
        <f>+AVANCE[[#This Row],[FECHA TERMINO  PLANIFICADO]]-AVANCE[[#This Row],[FECHA INICIO TEORICO]]</f>
        <v>30</v>
      </c>
      <c r="BK208" s="42">
        <f>+AVANCE[[#This Row],[FECHA TERMINO]]-AVANCE[[#This Row],[FECHA INICIO REAL]]</f>
        <v>0</v>
      </c>
    </row>
    <row r="209" spans="1:63" x14ac:dyDescent="0.25">
      <c r="A209" t="s">
        <v>1019</v>
      </c>
      <c r="B209" t="s">
        <v>1035</v>
      </c>
      <c r="C209">
        <v>2282600208</v>
      </c>
      <c r="D209" t="s">
        <v>830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46233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9" s="42">
        <f>+AVANCE[[#This Row],[FECHA TERMINO  PLANIFICADO]]-AVANCE[[#This Row],[FECHA INICIO TEORICO]]</f>
        <v>20</v>
      </c>
      <c r="BK209" s="42">
        <f>+AVANCE[[#This Row],[FECHA TERMINO]]-AVANCE[[#This Row],[FECHA INICIO REAL]]</f>
        <v>0</v>
      </c>
    </row>
    <row r="210" spans="1:63" x14ac:dyDescent="0.25">
      <c r="A210" t="s">
        <v>1019</v>
      </c>
      <c r="B210" t="s">
        <v>1036</v>
      </c>
      <c r="C210">
        <v>2282600209</v>
      </c>
      <c r="D210" t="s">
        <v>830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46233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0" s="42">
        <f>+AVANCE[[#This Row],[FECHA TERMINO  PLANIFICADO]]-AVANCE[[#This Row],[FECHA INICIO TEORICO]]</f>
        <v>20</v>
      </c>
      <c r="BK210" s="42">
        <f>+AVANCE[[#This Row],[FECHA TERMINO]]-AVANCE[[#This Row],[FECHA INICIO REAL]]</f>
        <v>0</v>
      </c>
    </row>
    <row r="211" spans="1:63" x14ac:dyDescent="0.25">
      <c r="A211" t="s">
        <v>1019</v>
      </c>
      <c r="B211" t="s">
        <v>1037</v>
      </c>
      <c r="C211">
        <v>2302600210</v>
      </c>
      <c r="D211" t="s">
        <v>831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46233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1" s="42">
        <f>+AVANCE[[#This Row],[FECHA TERMINO  PLANIFICADO]]-AVANCE[[#This Row],[FECHA INICIO TEORICO]]</f>
        <v>30</v>
      </c>
      <c r="BK211" s="42">
        <f>+AVANCE[[#This Row],[FECHA TERMINO]]-AVANCE[[#This Row],[FECHA INICIO REAL]]</f>
        <v>0</v>
      </c>
    </row>
    <row r="212" spans="1:63" x14ac:dyDescent="0.25">
      <c r="A212" t="s">
        <v>1019</v>
      </c>
      <c r="B212" t="s">
        <v>1038</v>
      </c>
      <c r="C212">
        <v>2302600211</v>
      </c>
      <c r="D212" t="s">
        <v>831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46233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2" s="42">
        <f>+AVANCE[[#This Row],[FECHA TERMINO  PLANIFICADO]]-AVANCE[[#This Row],[FECHA INICIO TEORICO]]</f>
        <v>30</v>
      </c>
      <c r="BK212" s="42">
        <f>+AVANCE[[#This Row],[FECHA TERMINO]]-AVANCE[[#This Row],[FECHA INICIO REAL]]</f>
        <v>0</v>
      </c>
    </row>
    <row r="213" spans="1:63" x14ac:dyDescent="0.25">
      <c r="A213" t="s">
        <v>1019</v>
      </c>
      <c r="B213" t="s">
        <v>1039</v>
      </c>
      <c r="C213">
        <v>2282600212</v>
      </c>
      <c r="D213" t="s">
        <v>830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46233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3" s="42">
        <f>+AVANCE[[#This Row],[FECHA TERMINO  PLANIFICADO]]-AVANCE[[#This Row],[FECHA INICIO TEORICO]]</f>
        <v>20</v>
      </c>
      <c r="BK213" s="42">
        <f>+AVANCE[[#This Row],[FECHA TERMINO]]-AVANCE[[#This Row],[FECHA INICIO REAL]]</f>
        <v>0</v>
      </c>
    </row>
    <row r="214" spans="1:63" x14ac:dyDescent="0.25">
      <c r="A214" t="s">
        <v>1019</v>
      </c>
      <c r="B214" t="s">
        <v>1040</v>
      </c>
      <c r="C214">
        <v>2282600213</v>
      </c>
      <c r="D214" t="s">
        <v>830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46233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4" s="42">
        <f>+AVANCE[[#This Row],[FECHA TERMINO  PLANIFICADO]]-AVANCE[[#This Row],[FECHA INICIO TEORICO]]</f>
        <v>20</v>
      </c>
      <c r="BK214" s="42">
        <f>+AVANCE[[#This Row],[FECHA TERMINO]]-AVANCE[[#This Row],[FECHA INICIO REAL]]</f>
        <v>0</v>
      </c>
    </row>
    <row r="215" spans="1:63" x14ac:dyDescent="0.25">
      <c r="A215" t="s">
        <v>1019</v>
      </c>
      <c r="B215" t="s">
        <v>1041</v>
      </c>
      <c r="C215">
        <v>2302600214</v>
      </c>
      <c r="D215" t="s">
        <v>831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46233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5" s="42">
        <f>+AVANCE[[#This Row],[FECHA TERMINO  PLANIFICADO]]-AVANCE[[#This Row],[FECHA INICIO TEORICO]]</f>
        <v>30</v>
      </c>
      <c r="BK215" s="42">
        <f>+AVANCE[[#This Row],[FECHA TERMINO]]-AVANCE[[#This Row],[FECHA INICIO REAL]]</f>
        <v>0</v>
      </c>
    </row>
    <row r="216" spans="1:63" x14ac:dyDescent="0.25">
      <c r="A216" t="s">
        <v>1019</v>
      </c>
      <c r="B216" t="s">
        <v>1042</v>
      </c>
      <c r="C216">
        <v>2302600215</v>
      </c>
      <c r="D216" t="s">
        <v>831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46233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6" s="42">
        <f>+AVANCE[[#This Row],[FECHA TERMINO  PLANIFICADO]]-AVANCE[[#This Row],[FECHA INICIO TEORICO]]</f>
        <v>30</v>
      </c>
      <c r="BK216" s="42">
        <f>+AVANCE[[#This Row],[FECHA TERMINO]]-AVANCE[[#This Row],[FECHA INICIO REAL]]</f>
        <v>0</v>
      </c>
    </row>
    <row r="217" spans="1:63" x14ac:dyDescent="0.25">
      <c r="A217" t="s">
        <v>1019</v>
      </c>
      <c r="B217" t="s">
        <v>1043</v>
      </c>
      <c r="C217">
        <v>2282600216</v>
      </c>
      <c r="D217" t="s">
        <v>830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46233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7" s="42">
        <f>+AVANCE[[#This Row],[FECHA TERMINO  PLANIFICADO]]-AVANCE[[#This Row],[FECHA INICIO TEORICO]]</f>
        <v>20</v>
      </c>
      <c r="BK217" s="42">
        <f>+AVANCE[[#This Row],[FECHA TERMINO]]-AVANCE[[#This Row],[FECHA INICIO REAL]]</f>
        <v>0</v>
      </c>
    </row>
    <row r="218" spans="1:63" x14ac:dyDescent="0.25">
      <c r="A218" t="s">
        <v>1019</v>
      </c>
      <c r="B218" t="s">
        <v>1044</v>
      </c>
      <c r="C218">
        <v>2282600217</v>
      </c>
      <c r="D218" t="s">
        <v>830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46233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8" s="42">
        <f>+AVANCE[[#This Row],[FECHA TERMINO  PLANIFICADO]]-AVANCE[[#This Row],[FECHA INICIO TEORICO]]</f>
        <v>20</v>
      </c>
      <c r="BK218" s="42">
        <f>+AVANCE[[#This Row],[FECHA TERMINO]]-AVANCE[[#This Row],[FECHA INICIO REAL]]</f>
        <v>0</v>
      </c>
    </row>
    <row r="219" spans="1:63" x14ac:dyDescent="0.25">
      <c r="A219" t="s">
        <v>1019</v>
      </c>
      <c r="B219" t="s">
        <v>1045</v>
      </c>
      <c r="C219">
        <v>2302600218</v>
      </c>
      <c r="D219" t="s">
        <v>831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46233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9" s="42">
        <f>+AVANCE[[#This Row],[FECHA TERMINO  PLANIFICADO]]-AVANCE[[#This Row],[FECHA INICIO TEORICO]]</f>
        <v>30</v>
      </c>
      <c r="BK219" s="42">
        <f>+AVANCE[[#This Row],[FECHA TERMINO]]-AVANCE[[#This Row],[FECHA INICIO REAL]]</f>
        <v>0</v>
      </c>
    </row>
    <row r="220" spans="1:63" x14ac:dyDescent="0.25">
      <c r="A220" t="s">
        <v>1019</v>
      </c>
      <c r="B220" t="s">
        <v>1046</v>
      </c>
      <c r="C220">
        <v>2302600219</v>
      </c>
      <c r="D220" t="s">
        <v>831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46233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0" s="42">
        <f>+AVANCE[[#This Row],[FECHA TERMINO  PLANIFICADO]]-AVANCE[[#This Row],[FECHA INICIO TEORICO]]</f>
        <v>30</v>
      </c>
      <c r="BK220" s="42">
        <f>+AVANCE[[#This Row],[FECHA TERMINO]]-AVANCE[[#This Row],[FECHA INICIO REAL]]</f>
        <v>0</v>
      </c>
    </row>
    <row r="221" spans="1:63" x14ac:dyDescent="0.25">
      <c r="A221" t="s">
        <v>1019</v>
      </c>
      <c r="B221" t="s">
        <v>1047</v>
      </c>
      <c r="C221">
        <v>2282600220</v>
      </c>
      <c r="D221" t="s">
        <v>830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46233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1" s="42">
        <f>+AVANCE[[#This Row],[FECHA TERMINO  PLANIFICADO]]-AVANCE[[#This Row],[FECHA INICIO TEORICO]]</f>
        <v>20</v>
      </c>
      <c r="BK221" s="42">
        <f>+AVANCE[[#This Row],[FECHA TERMINO]]-AVANCE[[#This Row],[FECHA INICIO REAL]]</f>
        <v>0</v>
      </c>
    </row>
    <row r="222" spans="1:63" x14ac:dyDescent="0.25">
      <c r="A222" t="s">
        <v>1019</v>
      </c>
      <c r="B222" t="s">
        <v>1048</v>
      </c>
      <c r="C222">
        <v>2282600221</v>
      </c>
      <c r="D222" t="s">
        <v>830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46233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2" s="42">
        <f>+AVANCE[[#This Row],[FECHA TERMINO  PLANIFICADO]]-AVANCE[[#This Row],[FECHA INICIO TEORICO]]</f>
        <v>20</v>
      </c>
      <c r="BK222" s="42">
        <f>+AVANCE[[#This Row],[FECHA TERMINO]]-AVANCE[[#This Row],[FECHA INICIO REAL]]</f>
        <v>0</v>
      </c>
    </row>
    <row r="223" spans="1:63" x14ac:dyDescent="0.25">
      <c r="A223" t="s">
        <v>1019</v>
      </c>
      <c r="B223" t="s">
        <v>1049</v>
      </c>
      <c r="C223">
        <v>2302600222</v>
      </c>
      <c r="D223" t="s">
        <v>831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46233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3" s="42">
        <f>+AVANCE[[#This Row],[FECHA TERMINO  PLANIFICADO]]-AVANCE[[#This Row],[FECHA INICIO TEORICO]]</f>
        <v>30</v>
      </c>
      <c r="BK223" s="42">
        <f>+AVANCE[[#This Row],[FECHA TERMINO]]-AVANCE[[#This Row],[FECHA INICIO REAL]]</f>
        <v>0</v>
      </c>
    </row>
    <row r="224" spans="1:63" x14ac:dyDescent="0.25">
      <c r="A224" t="s">
        <v>1019</v>
      </c>
      <c r="B224" t="s">
        <v>1050</v>
      </c>
      <c r="C224">
        <v>2302600223</v>
      </c>
      <c r="D224" t="s">
        <v>831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46233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4" s="42">
        <f>+AVANCE[[#This Row],[FECHA TERMINO  PLANIFICADO]]-AVANCE[[#This Row],[FECHA INICIO TEORICO]]</f>
        <v>30</v>
      </c>
      <c r="BK224" s="42">
        <f>+AVANCE[[#This Row],[FECHA TERMINO]]-AVANCE[[#This Row],[FECHA INICIO REAL]]</f>
        <v>0</v>
      </c>
    </row>
    <row r="225" spans="1:63" x14ac:dyDescent="0.25">
      <c r="A225" t="s">
        <v>1019</v>
      </c>
      <c r="B225" t="s">
        <v>1051</v>
      </c>
      <c r="C225">
        <v>2282600224</v>
      </c>
      <c r="D225" t="s">
        <v>830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46233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5" s="42">
        <f>+AVANCE[[#This Row],[FECHA TERMINO  PLANIFICADO]]-AVANCE[[#This Row],[FECHA INICIO TEORICO]]</f>
        <v>20</v>
      </c>
      <c r="BK225" s="42">
        <f>+AVANCE[[#This Row],[FECHA TERMINO]]-AVANCE[[#This Row],[FECHA INICIO REAL]]</f>
        <v>0</v>
      </c>
    </row>
    <row r="226" spans="1:63" x14ac:dyDescent="0.25">
      <c r="A226" t="s">
        <v>1052</v>
      </c>
      <c r="B226" t="s">
        <v>1053</v>
      </c>
      <c r="C226">
        <v>2282600225</v>
      </c>
      <c r="D226" t="s">
        <v>830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46233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6" s="42">
        <f>+AVANCE[[#This Row],[FECHA TERMINO  PLANIFICADO]]-AVANCE[[#This Row],[FECHA INICIO TEORICO]]</f>
        <v>20</v>
      </c>
      <c r="BK226" s="42">
        <f>+AVANCE[[#This Row],[FECHA TERMINO]]-AVANCE[[#This Row],[FECHA INICIO REAL]]</f>
        <v>0</v>
      </c>
    </row>
    <row r="227" spans="1:63" x14ac:dyDescent="0.25">
      <c r="A227" t="s">
        <v>1052</v>
      </c>
      <c r="B227" t="s">
        <v>1054</v>
      </c>
      <c r="C227">
        <v>2302600226</v>
      </c>
      <c r="D227" t="s">
        <v>831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46233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7" s="42">
        <f>+AVANCE[[#This Row],[FECHA TERMINO  PLANIFICADO]]-AVANCE[[#This Row],[FECHA INICIO TEORICO]]</f>
        <v>30</v>
      </c>
      <c r="BK227" s="42">
        <f>+AVANCE[[#This Row],[FECHA TERMINO]]-AVANCE[[#This Row],[FECHA INICIO REAL]]</f>
        <v>0</v>
      </c>
    </row>
    <row r="228" spans="1:63" x14ac:dyDescent="0.25">
      <c r="A228" t="s">
        <v>1052</v>
      </c>
      <c r="B228" t="s">
        <v>1055</v>
      </c>
      <c r="C228">
        <v>2302600227</v>
      </c>
      <c r="D228" t="s">
        <v>831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46233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8" s="42">
        <f>+AVANCE[[#This Row],[FECHA TERMINO  PLANIFICADO]]-AVANCE[[#This Row],[FECHA INICIO TEORICO]]</f>
        <v>30</v>
      </c>
      <c r="BK228" s="42">
        <f>+AVANCE[[#This Row],[FECHA TERMINO]]-AVANCE[[#This Row],[FECHA INICIO REAL]]</f>
        <v>0</v>
      </c>
    </row>
    <row r="229" spans="1:63" x14ac:dyDescent="0.25">
      <c r="A229" t="s">
        <v>1052</v>
      </c>
      <c r="B229" t="s">
        <v>1056</v>
      </c>
      <c r="C229">
        <v>2282600228</v>
      </c>
      <c r="D229" t="s">
        <v>830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46233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9" s="42">
        <f>+AVANCE[[#This Row],[FECHA TERMINO  PLANIFICADO]]-AVANCE[[#This Row],[FECHA INICIO TEORICO]]</f>
        <v>20</v>
      </c>
      <c r="BK229" s="42">
        <f>+AVANCE[[#This Row],[FECHA TERMINO]]-AVANCE[[#This Row],[FECHA INICIO REAL]]</f>
        <v>0</v>
      </c>
    </row>
    <row r="230" spans="1:63" x14ac:dyDescent="0.25">
      <c r="A230" t="s">
        <v>1052</v>
      </c>
      <c r="B230" t="s">
        <v>1057</v>
      </c>
      <c r="C230">
        <v>2282600229</v>
      </c>
      <c r="D230" t="s">
        <v>830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46233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0" s="42">
        <f>+AVANCE[[#This Row],[FECHA TERMINO  PLANIFICADO]]-AVANCE[[#This Row],[FECHA INICIO TEORICO]]</f>
        <v>20</v>
      </c>
      <c r="BK230" s="42">
        <f>+AVANCE[[#This Row],[FECHA TERMINO]]-AVANCE[[#This Row],[FECHA INICIO REAL]]</f>
        <v>0</v>
      </c>
    </row>
    <row r="231" spans="1:63" x14ac:dyDescent="0.25">
      <c r="A231" t="s">
        <v>1052</v>
      </c>
      <c r="B231" t="s">
        <v>1058</v>
      </c>
      <c r="C231">
        <v>2302600230</v>
      </c>
      <c r="D231" t="s">
        <v>831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46233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1" s="42">
        <f>+AVANCE[[#This Row],[FECHA TERMINO  PLANIFICADO]]-AVANCE[[#This Row],[FECHA INICIO TEORICO]]</f>
        <v>30</v>
      </c>
      <c r="BK231" s="42">
        <f>+AVANCE[[#This Row],[FECHA TERMINO]]-AVANCE[[#This Row],[FECHA INICIO REAL]]</f>
        <v>0</v>
      </c>
    </row>
    <row r="232" spans="1:63" x14ac:dyDescent="0.25">
      <c r="A232" t="s">
        <v>1052</v>
      </c>
      <c r="B232" t="s">
        <v>1059</v>
      </c>
      <c r="C232">
        <v>2302600231</v>
      </c>
      <c r="D232" t="s">
        <v>831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46233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2" s="42">
        <f>+AVANCE[[#This Row],[FECHA TERMINO  PLANIFICADO]]-AVANCE[[#This Row],[FECHA INICIO TEORICO]]</f>
        <v>30</v>
      </c>
      <c r="BK232" s="42">
        <f>+AVANCE[[#This Row],[FECHA TERMINO]]-AVANCE[[#This Row],[FECHA INICIO REAL]]</f>
        <v>0</v>
      </c>
    </row>
    <row r="233" spans="1:63" x14ac:dyDescent="0.25">
      <c r="A233" t="s">
        <v>1052</v>
      </c>
      <c r="B233" t="s">
        <v>1060</v>
      </c>
      <c r="C233">
        <v>2282600232</v>
      </c>
      <c r="D233" t="s">
        <v>830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46233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3" s="42">
        <f>+AVANCE[[#This Row],[FECHA TERMINO  PLANIFICADO]]-AVANCE[[#This Row],[FECHA INICIO TEORICO]]</f>
        <v>20</v>
      </c>
      <c r="BK233" s="42">
        <f>+AVANCE[[#This Row],[FECHA TERMINO]]-AVANCE[[#This Row],[FECHA INICIO REAL]]</f>
        <v>0</v>
      </c>
    </row>
    <row r="234" spans="1:63" x14ac:dyDescent="0.25">
      <c r="A234" t="s">
        <v>1052</v>
      </c>
      <c r="B234" t="s">
        <v>1061</v>
      </c>
      <c r="C234">
        <v>2282600233</v>
      </c>
      <c r="D234" t="s">
        <v>830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46233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4" s="42">
        <f>+AVANCE[[#This Row],[FECHA TERMINO  PLANIFICADO]]-AVANCE[[#This Row],[FECHA INICIO TEORICO]]</f>
        <v>20</v>
      </c>
      <c r="BK234" s="42">
        <f>+AVANCE[[#This Row],[FECHA TERMINO]]-AVANCE[[#This Row],[FECHA INICIO REAL]]</f>
        <v>0</v>
      </c>
    </row>
    <row r="235" spans="1:63" x14ac:dyDescent="0.25">
      <c r="A235" t="s">
        <v>1052</v>
      </c>
      <c r="B235" t="s">
        <v>1062</v>
      </c>
      <c r="C235">
        <v>2302600234</v>
      </c>
      <c r="D235" t="s">
        <v>831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46233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5" s="42">
        <f>+AVANCE[[#This Row],[FECHA TERMINO  PLANIFICADO]]-AVANCE[[#This Row],[FECHA INICIO TEORICO]]</f>
        <v>30</v>
      </c>
      <c r="BK235" s="42">
        <f>+AVANCE[[#This Row],[FECHA TERMINO]]-AVANCE[[#This Row],[FECHA INICIO REAL]]</f>
        <v>0</v>
      </c>
    </row>
    <row r="236" spans="1:63" x14ac:dyDescent="0.25">
      <c r="A236" t="s">
        <v>1052</v>
      </c>
      <c r="B236" t="s">
        <v>1063</v>
      </c>
      <c r="C236">
        <v>2302600235</v>
      </c>
      <c r="D236" t="s">
        <v>831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46233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6" s="42">
        <f>+AVANCE[[#This Row],[FECHA TERMINO  PLANIFICADO]]-AVANCE[[#This Row],[FECHA INICIO TEORICO]]</f>
        <v>30</v>
      </c>
      <c r="BK236" s="42">
        <f>+AVANCE[[#This Row],[FECHA TERMINO]]-AVANCE[[#This Row],[FECHA INICIO REAL]]</f>
        <v>0</v>
      </c>
    </row>
    <row r="237" spans="1:63" x14ac:dyDescent="0.25">
      <c r="A237" t="s">
        <v>1052</v>
      </c>
      <c r="B237" t="s">
        <v>1064</v>
      </c>
      <c r="C237">
        <v>2282600236</v>
      </c>
      <c r="D237" t="s">
        <v>830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46233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7" s="42">
        <f>+AVANCE[[#This Row],[FECHA TERMINO  PLANIFICADO]]-AVANCE[[#This Row],[FECHA INICIO TEORICO]]</f>
        <v>20</v>
      </c>
      <c r="BK237" s="42">
        <f>+AVANCE[[#This Row],[FECHA TERMINO]]-AVANCE[[#This Row],[FECHA INICIO REAL]]</f>
        <v>0</v>
      </c>
    </row>
    <row r="238" spans="1:63" x14ac:dyDescent="0.25">
      <c r="A238" t="s">
        <v>1052</v>
      </c>
      <c r="B238" t="s">
        <v>1065</v>
      </c>
      <c r="C238">
        <v>2282600237</v>
      </c>
      <c r="D238" t="s">
        <v>830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46233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8" s="42">
        <f>+AVANCE[[#This Row],[FECHA TERMINO  PLANIFICADO]]-AVANCE[[#This Row],[FECHA INICIO TEORICO]]</f>
        <v>20</v>
      </c>
      <c r="BK238" s="42">
        <f>+AVANCE[[#This Row],[FECHA TERMINO]]-AVANCE[[#This Row],[FECHA INICIO REAL]]</f>
        <v>0</v>
      </c>
    </row>
    <row r="239" spans="1:63" x14ac:dyDescent="0.25">
      <c r="A239" t="s">
        <v>1052</v>
      </c>
      <c r="B239" t="s">
        <v>1066</v>
      </c>
      <c r="C239">
        <v>2302600238</v>
      </c>
      <c r="D239" t="s">
        <v>831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46233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9" s="42">
        <f>+AVANCE[[#This Row],[FECHA TERMINO  PLANIFICADO]]-AVANCE[[#This Row],[FECHA INICIO TEORICO]]</f>
        <v>30</v>
      </c>
      <c r="BK239" s="42">
        <f>+AVANCE[[#This Row],[FECHA TERMINO]]-AVANCE[[#This Row],[FECHA INICIO REAL]]</f>
        <v>0</v>
      </c>
    </row>
    <row r="240" spans="1:63" x14ac:dyDescent="0.25">
      <c r="A240" t="s">
        <v>1052</v>
      </c>
      <c r="B240" t="s">
        <v>1067</v>
      </c>
      <c r="C240">
        <v>2302600239</v>
      </c>
      <c r="D240" t="s">
        <v>831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46233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0" s="42">
        <f>+AVANCE[[#This Row],[FECHA TERMINO  PLANIFICADO]]-AVANCE[[#This Row],[FECHA INICIO TEORICO]]</f>
        <v>30</v>
      </c>
      <c r="BK240" s="42">
        <f>+AVANCE[[#This Row],[FECHA TERMINO]]-AVANCE[[#This Row],[FECHA INICIO REAL]]</f>
        <v>0</v>
      </c>
    </row>
    <row r="241" spans="1:63" x14ac:dyDescent="0.25">
      <c r="A241" t="s">
        <v>1052</v>
      </c>
      <c r="B241" t="s">
        <v>1068</v>
      </c>
      <c r="C241">
        <v>2282600240</v>
      </c>
      <c r="D241" t="s">
        <v>830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46233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1" s="42">
        <f>+AVANCE[[#This Row],[FECHA TERMINO  PLANIFICADO]]-AVANCE[[#This Row],[FECHA INICIO TEORICO]]</f>
        <v>20</v>
      </c>
      <c r="BK241" s="42">
        <f>+AVANCE[[#This Row],[FECHA TERMINO]]-AVANCE[[#This Row],[FECHA INICIO REAL]]</f>
        <v>0</v>
      </c>
    </row>
    <row r="242" spans="1:63" x14ac:dyDescent="0.25">
      <c r="A242" t="s">
        <v>1052</v>
      </c>
      <c r="B242" t="s">
        <v>1069</v>
      </c>
      <c r="C242">
        <v>2282600241</v>
      </c>
      <c r="D242" t="s">
        <v>830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46233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2" s="42">
        <f>+AVANCE[[#This Row],[FECHA TERMINO  PLANIFICADO]]-AVANCE[[#This Row],[FECHA INICIO TEORICO]]</f>
        <v>20</v>
      </c>
      <c r="BK242" s="42">
        <f>+AVANCE[[#This Row],[FECHA TERMINO]]-AVANCE[[#This Row],[FECHA INICIO REAL]]</f>
        <v>0</v>
      </c>
    </row>
    <row r="243" spans="1:63" x14ac:dyDescent="0.25">
      <c r="A243" t="s">
        <v>1052</v>
      </c>
      <c r="B243" t="s">
        <v>1070</v>
      </c>
      <c r="C243">
        <v>2302600242</v>
      </c>
      <c r="D243" t="s">
        <v>831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46233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3" s="42">
        <f>+AVANCE[[#This Row],[FECHA TERMINO  PLANIFICADO]]-AVANCE[[#This Row],[FECHA INICIO TEORICO]]</f>
        <v>30</v>
      </c>
      <c r="BK243" s="42">
        <f>+AVANCE[[#This Row],[FECHA TERMINO]]-AVANCE[[#This Row],[FECHA INICIO REAL]]</f>
        <v>0</v>
      </c>
    </row>
    <row r="244" spans="1:63" x14ac:dyDescent="0.25">
      <c r="A244" t="s">
        <v>1052</v>
      </c>
      <c r="B244" t="s">
        <v>1071</v>
      </c>
      <c r="C244">
        <v>2302600243</v>
      </c>
      <c r="D244" t="s">
        <v>831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46233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4" s="42">
        <f>+AVANCE[[#This Row],[FECHA TERMINO  PLANIFICADO]]-AVANCE[[#This Row],[FECHA INICIO TEORICO]]</f>
        <v>30</v>
      </c>
      <c r="BK244" s="42">
        <f>+AVANCE[[#This Row],[FECHA TERMINO]]-AVANCE[[#This Row],[FECHA INICIO REAL]]</f>
        <v>0</v>
      </c>
    </row>
    <row r="245" spans="1:63" x14ac:dyDescent="0.25">
      <c r="A245" t="s">
        <v>1052</v>
      </c>
      <c r="B245" t="s">
        <v>1072</v>
      </c>
      <c r="C245">
        <v>2282600244</v>
      </c>
      <c r="D245" t="s">
        <v>830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46233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5" s="42">
        <f>+AVANCE[[#This Row],[FECHA TERMINO  PLANIFICADO]]-AVANCE[[#This Row],[FECHA INICIO TEORICO]]</f>
        <v>20</v>
      </c>
      <c r="BK245" s="42">
        <f>+AVANCE[[#This Row],[FECHA TERMINO]]-AVANCE[[#This Row],[FECHA INICIO REAL]]</f>
        <v>0</v>
      </c>
    </row>
    <row r="246" spans="1:63" x14ac:dyDescent="0.25">
      <c r="A246" t="s">
        <v>1052</v>
      </c>
      <c r="B246" t="s">
        <v>1073</v>
      </c>
      <c r="C246">
        <v>2282600245</v>
      </c>
      <c r="D246" t="s">
        <v>830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46233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6" s="42">
        <f>+AVANCE[[#This Row],[FECHA TERMINO  PLANIFICADO]]-AVANCE[[#This Row],[FECHA INICIO TEORICO]]</f>
        <v>20</v>
      </c>
      <c r="BK246" s="42">
        <f>+AVANCE[[#This Row],[FECHA TERMINO]]-AVANCE[[#This Row],[FECHA INICIO REAL]]</f>
        <v>0</v>
      </c>
    </row>
    <row r="247" spans="1:63" x14ac:dyDescent="0.25">
      <c r="A247" t="s">
        <v>1052</v>
      </c>
      <c r="B247" t="s">
        <v>1074</v>
      </c>
      <c r="C247">
        <v>2302600246</v>
      </c>
      <c r="D247" t="s">
        <v>831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46233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7" s="42">
        <f>+AVANCE[[#This Row],[FECHA TERMINO  PLANIFICADO]]-AVANCE[[#This Row],[FECHA INICIO TEORICO]]</f>
        <v>30</v>
      </c>
      <c r="BK247" s="42">
        <f>+AVANCE[[#This Row],[FECHA TERMINO]]-AVANCE[[#This Row],[FECHA INICIO REAL]]</f>
        <v>0</v>
      </c>
    </row>
    <row r="248" spans="1:63" x14ac:dyDescent="0.25">
      <c r="A248" t="s">
        <v>1052</v>
      </c>
      <c r="B248" t="s">
        <v>1075</v>
      </c>
      <c r="C248">
        <v>2302600247</v>
      </c>
      <c r="D248" t="s">
        <v>831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46233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8" s="42">
        <f>+AVANCE[[#This Row],[FECHA TERMINO  PLANIFICADO]]-AVANCE[[#This Row],[FECHA INICIO TEORICO]]</f>
        <v>30</v>
      </c>
      <c r="BK248" s="42">
        <f>+AVANCE[[#This Row],[FECHA TERMINO]]-AVANCE[[#This Row],[FECHA INICIO REAL]]</f>
        <v>0</v>
      </c>
    </row>
    <row r="249" spans="1:63" x14ac:dyDescent="0.25">
      <c r="A249" t="s">
        <v>1052</v>
      </c>
      <c r="B249" t="s">
        <v>1076</v>
      </c>
      <c r="C249">
        <v>2282600248</v>
      </c>
      <c r="D249" t="s">
        <v>830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46233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9" s="42">
        <f>+AVANCE[[#This Row],[FECHA TERMINO  PLANIFICADO]]-AVANCE[[#This Row],[FECHA INICIO TEORICO]]</f>
        <v>20</v>
      </c>
      <c r="BK249" s="42">
        <f>+AVANCE[[#This Row],[FECHA TERMINO]]-AVANCE[[#This Row],[FECHA INICIO REAL]]</f>
        <v>0</v>
      </c>
    </row>
    <row r="250" spans="1:63" x14ac:dyDescent="0.25">
      <c r="A250" t="s">
        <v>1052</v>
      </c>
      <c r="B250" t="s">
        <v>1077</v>
      </c>
      <c r="C250">
        <v>2282600249</v>
      </c>
      <c r="D250" t="s">
        <v>830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46233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0" s="42">
        <f>+AVANCE[[#This Row],[FECHA TERMINO  PLANIFICADO]]-AVANCE[[#This Row],[FECHA INICIO TEORICO]]</f>
        <v>20</v>
      </c>
      <c r="BK250" s="42">
        <f>+AVANCE[[#This Row],[FECHA TERMINO]]-AVANCE[[#This Row],[FECHA INICIO REAL]]</f>
        <v>0</v>
      </c>
    </row>
    <row r="251" spans="1:63" x14ac:dyDescent="0.25">
      <c r="A251" t="s">
        <v>1052</v>
      </c>
      <c r="B251" t="s">
        <v>1078</v>
      </c>
      <c r="C251">
        <v>2302600250</v>
      </c>
      <c r="D251" t="s">
        <v>831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46233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1" s="42">
        <f>+AVANCE[[#This Row],[FECHA TERMINO  PLANIFICADO]]-AVANCE[[#This Row],[FECHA INICIO TEORICO]]</f>
        <v>30</v>
      </c>
      <c r="BK251" s="42">
        <f>+AVANCE[[#This Row],[FECHA TERMINO]]-AVANCE[[#This Row],[FECHA INICIO REAL]]</f>
        <v>0</v>
      </c>
    </row>
    <row r="252" spans="1:63" x14ac:dyDescent="0.25">
      <c r="A252" t="s">
        <v>1052</v>
      </c>
      <c r="B252" t="s">
        <v>1079</v>
      </c>
      <c r="C252">
        <v>2302600251</v>
      </c>
      <c r="D252" t="s">
        <v>831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46233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2" s="42">
        <f>+AVANCE[[#This Row],[FECHA TERMINO  PLANIFICADO]]-AVANCE[[#This Row],[FECHA INICIO TEORICO]]</f>
        <v>30</v>
      </c>
      <c r="BK252" s="42">
        <f>+AVANCE[[#This Row],[FECHA TERMINO]]-AVANCE[[#This Row],[FECHA INICIO REAL]]</f>
        <v>0</v>
      </c>
    </row>
    <row r="253" spans="1:63" x14ac:dyDescent="0.25">
      <c r="A253" t="s">
        <v>1052</v>
      </c>
      <c r="B253" t="s">
        <v>1080</v>
      </c>
      <c r="C253">
        <v>2282600252</v>
      </c>
      <c r="D253" t="s">
        <v>830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46233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3" s="42">
        <f>+AVANCE[[#This Row],[FECHA TERMINO  PLANIFICADO]]-AVANCE[[#This Row],[FECHA INICIO TEORICO]]</f>
        <v>20</v>
      </c>
      <c r="BK253" s="42">
        <f>+AVANCE[[#This Row],[FECHA TERMINO]]-AVANCE[[#This Row],[FECHA INICIO REAL]]</f>
        <v>0</v>
      </c>
    </row>
    <row r="254" spans="1:63" x14ac:dyDescent="0.25">
      <c r="A254" t="s">
        <v>1052</v>
      </c>
      <c r="B254" t="s">
        <v>1081</v>
      </c>
      <c r="C254">
        <v>2282600253</v>
      </c>
      <c r="D254" t="s">
        <v>830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46233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4" s="42">
        <f>+AVANCE[[#This Row],[FECHA TERMINO  PLANIFICADO]]-AVANCE[[#This Row],[FECHA INICIO TEORICO]]</f>
        <v>20</v>
      </c>
      <c r="BK254" s="42">
        <f>+AVANCE[[#This Row],[FECHA TERMINO]]-AVANCE[[#This Row],[FECHA INICIO REAL]]</f>
        <v>0</v>
      </c>
    </row>
    <row r="255" spans="1:63" x14ac:dyDescent="0.25">
      <c r="A255" t="s">
        <v>1052</v>
      </c>
      <c r="B255" t="s">
        <v>1082</v>
      </c>
      <c r="C255">
        <v>2302600254</v>
      </c>
      <c r="D255" t="s">
        <v>831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46233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5" s="42">
        <f>+AVANCE[[#This Row],[FECHA TERMINO  PLANIFICADO]]-AVANCE[[#This Row],[FECHA INICIO TEORICO]]</f>
        <v>30</v>
      </c>
      <c r="BK255" s="42">
        <f>+AVANCE[[#This Row],[FECHA TERMINO]]-AVANCE[[#This Row],[FECHA INICIO REAL]]</f>
        <v>0</v>
      </c>
    </row>
    <row r="256" spans="1:63" x14ac:dyDescent="0.25">
      <c r="A256" t="s">
        <v>1052</v>
      </c>
      <c r="B256" t="s">
        <v>1083</v>
      </c>
      <c r="C256">
        <v>2302600255</v>
      </c>
      <c r="D256" t="s">
        <v>831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46233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6" s="42">
        <f>+AVANCE[[#This Row],[FECHA TERMINO  PLANIFICADO]]-AVANCE[[#This Row],[FECHA INICIO TEORICO]]</f>
        <v>30</v>
      </c>
      <c r="BK256" s="42">
        <f>+AVANCE[[#This Row],[FECHA TERMINO]]-AVANCE[[#This Row],[FECHA INICIO REAL]]</f>
        <v>0</v>
      </c>
    </row>
    <row r="257" spans="1:63" x14ac:dyDescent="0.25">
      <c r="A257" t="s">
        <v>1052</v>
      </c>
      <c r="B257" t="s">
        <v>1084</v>
      </c>
      <c r="C257">
        <v>2282600256</v>
      </c>
      <c r="D257" t="s">
        <v>830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46233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7" s="42">
        <f>+AVANCE[[#This Row],[FECHA TERMINO  PLANIFICADO]]-AVANCE[[#This Row],[FECHA INICIO TEORICO]]</f>
        <v>20</v>
      </c>
      <c r="BK257" s="42">
        <f>+AVANCE[[#This Row],[FECHA TERMINO]]-AVANCE[[#This Row],[FECHA INICIO REAL]]</f>
        <v>0</v>
      </c>
    </row>
    <row r="258" spans="1:63" x14ac:dyDescent="0.25">
      <c r="A258" t="s">
        <v>1085</v>
      </c>
      <c r="B258" t="s">
        <v>1086</v>
      </c>
      <c r="C258">
        <v>2282600257</v>
      </c>
      <c r="D258" t="s">
        <v>830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46233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8" s="42">
        <f>+AVANCE[[#This Row],[FECHA TERMINO  PLANIFICADO]]-AVANCE[[#This Row],[FECHA INICIO TEORICO]]</f>
        <v>20</v>
      </c>
      <c r="BK258" s="42">
        <f>+AVANCE[[#This Row],[FECHA TERMINO]]-AVANCE[[#This Row],[FECHA INICIO REAL]]</f>
        <v>0</v>
      </c>
    </row>
    <row r="259" spans="1:63" x14ac:dyDescent="0.25">
      <c r="A259" t="s">
        <v>1085</v>
      </c>
      <c r="B259" t="s">
        <v>1087</v>
      </c>
      <c r="C259">
        <v>2302600258</v>
      </c>
      <c r="D259" t="s">
        <v>831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46233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9" s="42">
        <f>+AVANCE[[#This Row],[FECHA TERMINO  PLANIFICADO]]-AVANCE[[#This Row],[FECHA INICIO TEORICO]]</f>
        <v>30</v>
      </c>
      <c r="BK259" s="42">
        <f>+AVANCE[[#This Row],[FECHA TERMINO]]-AVANCE[[#This Row],[FECHA INICIO REAL]]</f>
        <v>0</v>
      </c>
    </row>
    <row r="260" spans="1:63" x14ac:dyDescent="0.25">
      <c r="A260" t="s">
        <v>1085</v>
      </c>
      <c r="B260" t="s">
        <v>1088</v>
      </c>
      <c r="C260">
        <v>2302600259</v>
      </c>
      <c r="D260" t="s">
        <v>831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46233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0" s="42">
        <f>+AVANCE[[#This Row],[FECHA TERMINO  PLANIFICADO]]-AVANCE[[#This Row],[FECHA INICIO TEORICO]]</f>
        <v>30</v>
      </c>
      <c r="BK260" s="42">
        <f>+AVANCE[[#This Row],[FECHA TERMINO]]-AVANCE[[#This Row],[FECHA INICIO REAL]]</f>
        <v>0</v>
      </c>
    </row>
    <row r="261" spans="1:63" x14ac:dyDescent="0.25">
      <c r="A261" t="s">
        <v>1085</v>
      </c>
      <c r="B261" t="s">
        <v>1089</v>
      </c>
      <c r="C261">
        <v>2282600260</v>
      </c>
      <c r="D261" t="s">
        <v>830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46233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1" s="42">
        <f>+AVANCE[[#This Row],[FECHA TERMINO  PLANIFICADO]]-AVANCE[[#This Row],[FECHA INICIO TEORICO]]</f>
        <v>20</v>
      </c>
      <c r="BK261" s="42">
        <f>+AVANCE[[#This Row],[FECHA TERMINO]]-AVANCE[[#This Row],[FECHA INICIO REAL]]</f>
        <v>0</v>
      </c>
    </row>
    <row r="262" spans="1:63" x14ac:dyDescent="0.25">
      <c r="A262" t="s">
        <v>1085</v>
      </c>
      <c r="B262" t="s">
        <v>1090</v>
      </c>
      <c r="C262">
        <v>2282600261</v>
      </c>
      <c r="D262" t="s">
        <v>830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46233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2" s="42">
        <f>+AVANCE[[#This Row],[FECHA TERMINO  PLANIFICADO]]-AVANCE[[#This Row],[FECHA INICIO TEORICO]]</f>
        <v>20</v>
      </c>
      <c r="BK262" s="42">
        <f>+AVANCE[[#This Row],[FECHA TERMINO]]-AVANCE[[#This Row],[FECHA INICIO REAL]]</f>
        <v>0</v>
      </c>
    </row>
    <row r="263" spans="1:63" x14ac:dyDescent="0.25">
      <c r="A263" t="s">
        <v>1085</v>
      </c>
      <c r="B263" t="s">
        <v>1091</v>
      </c>
      <c r="C263">
        <v>2302600262</v>
      </c>
      <c r="D263" t="s">
        <v>831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46233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3" s="42">
        <f>+AVANCE[[#This Row],[FECHA TERMINO  PLANIFICADO]]-AVANCE[[#This Row],[FECHA INICIO TEORICO]]</f>
        <v>30</v>
      </c>
      <c r="BK263" s="42">
        <f>+AVANCE[[#This Row],[FECHA TERMINO]]-AVANCE[[#This Row],[FECHA INICIO REAL]]</f>
        <v>0</v>
      </c>
    </row>
    <row r="264" spans="1:63" x14ac:dyDescent="0.25">
      <c r="A264" t="s">
        <v>1085</v>
      </c>
      <c r="B264" t="s">
        <v>1092</v>
      </c>
      <c r="C264">
        <v>2302600263</v>
      </c>
      <c r="D264" t="s">
        <v>831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46233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4" s="42">
        <f>+AVANCE[[#This Row],[FECHA TERMINO  PLANIFICADO]]-AVANCE[[#This Row],[FECHA INICIO TEORICO]]</f>
        <v>30</v>
      </c>
      <c r="BK264" s="42">
        <f>+AVANCE[[#This Row],[FECHA TERMINO]]-AVANCE[[#This Row],[FECHA INICIO REAL]]</f>
        <v>0</v>
      </c>
    </row>
    <row r="265" spans="1:63" x14ac:dyDescent="0.25">
      <c r="A265" t="s">
        <v>1085</v>
      </c>
      <c r="B265" t="s">
        <v>1093</v>
      </c>
      <c r="C265">
        <v>2282600264</v>
      </c>
      <c r="D265" t="s">
        <v>830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46233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5" s="42">
        <f>+AVANCE[[#This Row],[FECHA TERMINO  PLANIFICADO]]-AVANCE[[#This Row],[FECHA INICIO TEORICO]]</f>
        <v>20</v>
      </c>
      <c r="BK265" s="42">
        <f>+AVANCE[[#This Row],[FECHA TERMINO]]-AVANCE[[#This Row],[FECHA INICIO REAL]]</f>
        <v>0</v>
      </c>
    </row>
    <row r="266" spans="1:63" x14ac:dyDescent="0.25">
      <c r="A266" t="s">
        <v>1085</v>
      </c>
      <c r="B266" t="s">
        <v>1094</v>
      </c>
      <c r="C266">
        <v>2282600265</v>
      </c>
      <c r="D266" t="s">
        <v>830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46233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6" s="42">
        <f>+AVANCE[[#This Row],[FECHA TERMINO  PLANIFICADO]]-AVANCE[[#This Row],[FECHA INICIO TEORICO]]</f>
        <v>20</v>
      </c>
      <c r="BK266" s="42">
        <f>+AVANCE[[#This Row],[FECHA TERMINO]]-AVANCE[[#This Row],[FECHA INICIO REAL]]</f>
        <v>0</v>
      </c>
    </row>
    <row r="267" spans="1:63" x14ac:dyDescent="0.25">
      <c r="A267" t="s">
        <v>1085</v>
      </c>
      <c r="B267" t="s">
        <v>1095</v>
      </c>
      <c r="C267">
        <v>2302600266</v>
      </c>
      <c r="D267" t="s">
        <v>831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46233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7" s="42">
        <f>+AVANCE[[#This Row],[FECHA TERMINO  PLANIFICADO]]-AVANCE[[#This Row],[FECHA INICIO TEORICO]]</f>
        <v>30</v>
      </c>
      <c r="BK267" s="42">
        <f>+AVANCE[[#This Row],[FECHA TERMINO]]-AVANCE[[#This Row],[FECHA INICIO REAL]]</f>
        <v>0</v>
      </c>
    </row>
    <row r="268" spans="1:63" x14ac:dyDescent="0.25">
      <c r="A268" t="s">
        <v>1085</v>
      </c>
      <c r="B268" t="s">
        <v>1096</v>
      </c>
      <c r="C268">
        <v>2302600267</v>
      </c>
      <c r="D268" t="s">
        <v>831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46233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8" s="42">
        <f>+AVANCE[[#This Row],[FECHA TERMINO  PLANIFICADO]]-AVANCE[[#This Row],[FECHA INICIO TEORICO]]</f>
        <v>30</v>
      </c>
      <c r="BK268" s="42">
        <f>+AVANCE[[#This Row],[FECHA TERMINO]]-AVANCE[[#This Row],[FECHA INICIO REAL]]</f>
        <v>0</v>
      </c>
    </row>
    <row r="269" spans="1:63" x14ac:dyDescent="0.25">
      <c r="A269" t="s">
        <v>1085</v>
      </c>
      <c r="B269" t="s">
        <v>1097</v>
      </c>
      <c r="C269">
        <v>2282600268</v>
      </c>
      <c r="D269" t="s">
        <v>830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46233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9" s="42">
        <f>+AVANCE[[#This Row],[FECHA TERMINO  PLANIFICADO]]-AVANCE[[#This Row],[FECHA INICIO TEORICO]]</f>
        <v>20</v>
      </c>
      <c r="BK269" s="42">
        <f>+AVANCE[[#This Row],[FECHA TERMINO]]-AVANCE[[#This Row],[FECHA INICIO REAL]]</f>
        <v>0</v>
      </c>
    </row>
    <row r="270" spans="1:63" x14ac:dyDescent="0.25">
      <c r="A270" t="s">
        <v>1085</v>
      </c>
      <c r="B270" t="s">
        <v>1098</v>
      </c>
      <c r="C270">
        <v>2282600269</v>
      </c>
      <c r="D270" t="s">
        <v>830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46233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0" s="42">
        <f>+AVANCE[[#This Row],[FECHA TERMINO  PLANIFICADO]]-AVANCE[[#This Row],[FECHA INICIO TEORICO]]</f>
        <v>20</v>
      </c>
      <c r="BK270" s="42">
        <f>+AVANCE[[#This Row],[FECHA TERMINO]]-AVANCE[[#This Row],[FECHA INICIO REAL]]</f>
        <v>0</v>
      </c>
    </row>
    <row r="271" spans="1:63" x14ac:dyDescent="0.25">
      <c r="A271" t="s">
        <v>1085</v>
      </c>
      <c r="B271" t="s">
        <v>1099</v>
      </c>
      <c r="C271">
        <v>2302600270</v>
      </c>
      <c r="D271" t="s">
        <v>831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46233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1" s="42">
        <f>+AVANCE[[#This Row],[FECHA TERMINO  PLANIFICADO]]-AVANCE[[#This Row],[FECHA INICIO TEORICO]]</f>
        <v>30</v>
      </c>
      <c r="BK271" s="42">
        <f>+AVANCE[[#This Row],[FECHA TERMINO]]-AVANCE[[#This Row],[FECHA INICIO REAL]]</f>
        <v>0</v>
      </c>
    </row>
    <row r="272" spans="1:63" x14ac:dyDescent="0.25">
      <c r="A272" t="s">
        <v>1085</v>
      </c>
      <c r="B272" t="s">
        <v>1100</v>
      </c>
      <c r="C272">
        <v>2302600271</v>
      </c>
      <c r="D272" t="s">
        <v>831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46233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2" s="42">
        <f>+AVANCE[[#This Row],[FECHA TERMINO  PLANIFICADO]]-AVANCE[[#This Row],[FECHA INICIO TEORICO]]</f>
        <v>30</v>
      </c>
      <c r="BK272" s="42">
        <f>+AVANCE[[#This Row],[FECHA TERMINO]]-AVANCE[[#This Row],[FECHA INICIO REAL]]</f>
        <v>0</v>
      </c>
    </row>
    <row r="273" spans="1:63" x14ac:dyDescent="0.25">
      <c r="A273" t="s">
        <v>1085</v>
      </c>
      <c r="B273" t="s">
        <v>1101</v>
      </c>
      <c r="C273">
        <v>2282600272</v>
      </c>
      <c r="D273" t="s">
        <v>830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46233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3" s="42">
        <f>+AVANCE[[#This Row],[FECHA TERMINO  PLANIFICADO]]-AVANCE[[#This Row],[FECHA INICIO TEORICO]]</f>
        <v>20</v>
      </c>
      <c r="BK273" s="42">
        <f>+AVANCE[[#This Row],[FECHA TERMINO]]-AVANCE[[#This Row],[FECHA INICIO REAL]]</f>
        <v>0</v>
      </c>
    </row>
    <row r="274" spans="1:63" x14ac:dyDescent="0.25">
      <c r="A274" t="s">
        <v>1085</v>
      </c>
      <c r="B274" t="s">
        <v>1102</v>
      </c>
      <c r="C274">
        <v>2282600273</v>
      </c>
      <c r="D274" t="s">
        <v>830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46233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4" s="42">
        <f>+AVANCE[[#This Row],[FECHA TERMINO  PLANIFICADO]]-AVANCE[[#This Row],[FECHA INICIO TEORICO]]</f>
        <v>20</v>
      </c>
      <c r="BK274" s="42">
        <f>+AVANCE[[#This Row],[FECHA TERMINO]]-AVANCE[[#This Row],[FECHA INICIO REAL]]</f>
        <v>0</v>
      </c>
    </row>
    <row r="275" spans="1:63" x14ac:dyDescent="0.25">
      <c r="A275" t="s">
        <v>1085</v>
      </c>
      <c r="B275" t="s">
        <v>1103</v>
      </c>
      <c r="C275">
        <v>2302600274</v>
      </c>
      <c r="D275" t="s">
        <v>831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46233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5" s="42">
        <f>+AVANCE[[#This Row],[FECHA TERMINO  PLANIFICADO]]-AVANCE[[#This Row],[FECHA INICIO TEORICO]]</f>
        <v>30</v>
      </c>
      <c r="BK275" s="42">
        <f>+AVANCE[[#This Row],[FECHA TERMINO]]-AVANCE[[#This Row],[FECHA INICIO REAL]]</f>
        <v>0</v>
      </c>
    </row>
    <row r="276" spans="1:63" x14ac:dyDescent="0.25">
      <c r="A276" t="s">
        <v>1085</v>
      </c>
      <c r="B276" t="s">
        <v>1104</v>
      </c>
      <c r="C276">
        <v>2302600275</v>
      </c>
      <c r="D276" t="s">
        <v>831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46233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6" s="42">
        <f>+AVANCE[[#This Row],[FECHA TERMINO  PLANIFICADO]]-AVANCE[[#This Row],[FECHA INICIO TEORICO]]</f>
        <v>30</v>
      </c>
      <c r="BK276" s="42">
        <f>+AVANCE[[#This Row],[FECHA TERMINO]]-AVANCE[[#This Row],[FECHA INICIO REAL]]</f>
        <v>0</v>
      </c>
    </row>
    <row r="277" spans="1:63" x14ac:dyDescent="0.25">
      <c r="A277" t="s">
        <v>1085</v>
      </c>
      <c r="B277" t="s">
        <v>1105</v>
      </c>
      <c r="C277">
        <v>2282600276</v>
      </c>
      <c r="D277" t="s">
        <v>830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46233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7" s="42">
        <f>+AVANCE[[#This Row],[FECHA TERMINO  PLANIFICADO]]-AVANCE[[#This Row],[FECHA INICIO TEORICO]]</f>
        <v>20</v>
      </c>
      <c r="BK277" s="42">
        <f>+AVANCE[[#This Row],[FECHA TERMINO]]-AVANCE[[#This Row],[FECHA INICIO REAL]]</f>
        <v>0</v>
      </c>
    </row>
    <row r="278" spans="1:63" x14ac:dyDescent="0.25">
      <c r="A278" t="s">
        <v>1085</v>
      </c>
      <c r="B278" t="s">
        <v>1106</v>
      </c>
      <c r="C278">
        <v>2282600277</v>
      </c>
      <c r="D278" t="s">
        <v>830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46233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8" s="42">
        <f>+AVANCE[[#This Row],[FECHA TERMINO  PLANIFICADO]]-AVANCE[[#This Row],[FECHA INICIO TEORICO]]</f>
        <v>20</v>
      </c>
      <c r="BK278" s="42">
        <f>+AVANCE[[#This Row],[FECHA TERMINO]]-AVANCE[[#This Row],[FECHA INICIO REAL]]</f>
        <v>0</v>
      </c>
    </row>
    <row r="279" spans="1:63" x14ac:dyDescent="0.25">
      <c r="A279" t="s">
        <v>1085</v>
      </c>
      <c r="B279" t="s">
        <v>1107</v>
      </c>
      <c r="C279">
        <v>2302600278</v>
      </c>
      <c r="D279" t="s">
        <v>831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46233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9" s="42">
        <f>+AVANCE[[#This Row],[FECHA TERMINO  PLANIFICADO]]-AVANCE[[#This Row],[FECHA INICIO TEORICO]]</f>
        <v>30</v>
      </c>
      <c r="BK279" s="42">
        <f>+AVANCE[[#This Row],[FECHA TERMINO]]-AVANCE[[#This Row],[FECHA INICIO REAL]]</f>
        <v>0</v>
      </c>
    </row>
    <row r="280" spans="1:63" x14ac:dyDescent="0.25">
      <c r="A280" t="s">
        <v>1085</v>
      </c>
      <c r="B280" t="s">
        <v>1108</v>
      </c>
      <c r="C280">
        <v>2302600279</v>
      </c>
      <c r="D280" t="s">
        <v>831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46233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0" s="42">
        <f>+AVANCE[[#This Row],[FECHA TERMINO  PLANIFICADO]]-AVANCE[[#This Row],[FECHA INICIO TEORICO]]</f>
        <v>30</v>
      </c>
      <c r="BK280" s="42">
        <f>+AVANCE[[#This Row],[FECHA TERMINO]]-AVANCE[[#This Row],[FECHA INICIO REAL]]</f>
        <v>0</v>
      </c>
    </row>
    <row r="281" spans="1:63" x14ac:dyDescent="0.25">
      <c r="A281" t="s">
        <v>1085</v>
      </c>
      <c r="B281" t="s">
        <v>1109</v>
      </c>
      <c r="C281">
        <v>2282600280</v>
      </c>
      <c r="D281" t="s">
        <v>830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46233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1" s="42">
        <f>+AVANCE[[#This Row],[FECHA TERMINO  PLANIFICADO]]-AVANCE[[#This Row],[FECHA INICIO TEORICO]]</f>
        <v>20</v>
      </c>
      <c r="BK281" s="42">
        <f>+AVANCE[[#This Row],[FECHA TERMINO]]-AVANCE[[#This Row],[FECHA INICIO REAL]]</f>
        <v>0</v>
      </c>
    </row>
    <row r="282" spans="1:63" x14ac:dyDescent="0.25">
      <c r="A282" t="s">
        <v>1085</v>
      </c>
      <c r="B282" t="s">
        <v>1110</v>
      </c>
      <c r="C282">
        <v>2282600281</v>
      </c>
      <c r="D282" t="s">
        <v>830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46233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2" s="42">
        <f>+AVANCE[[#This Row],[FECHA TERMINO  PLANIFICADO]]-AVANCE[[#This Row],[FECHA INICIO TEORICO]]</f>
        <v>20</v>
      </c>
      <c r="BK282" s="42">
        <f>+AVANCE[[#This Row],[FECHA TERMINO]]-AVANCE[[#This Row],[FECHA INICIO REAL]]</f>
        <v>0</v>
      </c>
    </row>
    <row r="283" spans="1:63" x14ac:dyDescent="0.25">
      <c r="A283" t="s">
        <v>1085</v>
      </c>
      <c r="B283" t="s">
        <v>1111</v>
      </c>
      <c r="C283">
        <v>2302600282</v>
      </c>
      <c r="D283" t="s">
        <v>831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46233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3" s="42">
        <f>+AVANCE[[#This Row],[FECHA TERMINO  PLANIFICADO]]-AVANCE[[#This Row],[FECHA INICIO TEORICO]]</f>
        <v>30</v>
      </c>
      <c r="BK283" s="42">
        <f>+AVANCE[[#This Row],[FECHA TERMINO]]-AVANCE[[#This Row],[FECHA INICIO REAL]]</f>
        <v>0</v>
      </c>
    </row>
    <row r="284" spans="1:63" x14ac:dyDescent="0.25">
      <c r="A284" t="s">
        <v>1085</v>
      </c>
      <c r="B284" t="s">
        <v>1112</v>
      </c>
      <c r="C284">
        <v>2302600283</v>
      </c>
      <c r="D284" t="s">
        <v>831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46233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4" s="42">
        <f>+AVANCE[[#This Row],[FECHA TERMINO  PLANIFICADO]]-AVANCE[[#This Row],[FECHA INICIO TEORICO]]</f>
        <v>30</v>
      </c>
      <c r="BK284" s="42">
        <f>+AVANCE[[#This Row],[FECHA TERMINO]]-AVANCE[[#This Row],[FECHA INICIO REAL]]</f>
        <v>0</v>
      </c>
    </row>
    <row r="285" spans="1:63" x14ac:dyDescent="0.25">
      <c r="A285" t="s">
        <v>1085</v>
      </c>
      <c r="B285" t="s">
        <v>1113</v>
      </c>
      <c r="C285">
        <v>2282600284</v>
      </c>
      <c r="D285" t="s">
        <v>830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46233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5" s="42">
        <f>+AVANCE[[#This Row],[FECHA TERMINO  PLANIFICADO]]-AVANCE[[#This Row],[FECHA INICIO TEORICO]]</f>
        <v>20</v>
      </c>
      <c r="BK285" s="42">
        <f>+AVANCE[[#This Row],[FECHA TERMINO]]-AVANCE[[#This Row],[FECHA INICIO REAL]]</f>
        <v>0</v>
      </c>
    </row>
    <row r="286" spans="1:63" x14ac:dyDescent="0.25">
      <c r="A286" t="s">
        <v>1085</v>
      </c>
      <c r="B286" t="s">
        <v>1114</v>
      </c>
      <c r="C286">
        <v>2282600285</v>
      </c>
      <c r="D286" t="s">
        <v>830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46233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6" s="42">
        <f>+AVANCE[[#This Row],[FECHA TERMINO  PLANIFICADO]]-AVANCE[[#This Row],[FECHA INICIO TEORICO]]</f>
        <v>20</v>
      </c>
      <c r="BK286" s="42">
        <f>+AVANCE[[#This Row],[FECHA TERMINO]]-AVANCE[[#This Row],[FECHA INICIO REAL]]</f>
        <v>0</v>
      </c>
    </row>
    <row r="287" spans="1:63" x14ac:dyDescent="0.25">
      <c r="A287" t="s">
        <v>1085</v>
      </c>
      <c r="B287" t="s">
        <v>1115</v>
      </c>
      <c r="C287">
        <v>2302600286</v>
      </c>
      <c r="D287" t="s">
        <v>831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46233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7" s="42">
        <f>+AVANCE[[#This Row],[FECHA TERMINO  PLANIFICADO]]-AVANCE[[#This Row],[FECHA INICIO TEORICO]]</f>
        <v>30</v>
      </c>
      <c r="BK287" s="42">
        <f>+AVANCE[[#This Row],[FECHA TERMINO]]-AVANCE[[#This Row],[FECHA INICIO REAL]]</f>
        <v>0</v>
      </c>
    </row>
    <row r="288" spans="1:63" x14ac:dyDescent="0.25">
      <c r="A288" t="s">
        <v>1085</v>
      </c>
      <c r="B288" t="s">
        <v>1116</v>
      </c>
      <c r="C288">
        <v>2302600287</v>
      </c>
      <c r="D288" t="s">
        <v>831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46233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8" s="42">
        <f>+AVANCE[[#This Row],[FECHA TERMINO  PLANIFICADO]]-AVANCE[[#This Row],[FECHA INICIO TEORICO]]</f>
        <v>30</v>
      </c>
      <c r="BK288" s="42">
        <f>+AVANCE[[#This Row],[FECHA TERMINO]]-AVANCE[[#This Row],[FECHA INICIO REAL]]</f>
        <v>0</v>
      </c>
    </row>
    <row r="289" spans="1:63" x14ac:dyDescent="0.25">
      <c r="A289" t="s">
        <v>1085</v>
      </c>
      <c r="B289" t="s">
        <v>1117</v>
      </c>
      <c r="C289">
        <v>2282600288</v>
      </c>
      <c r="D289" t="s">
        <v>830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46233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9" s="42">
        <f>+AVANCE[[#This Row],[FECHA TERMINO  PLANIFICADO]]-AVANCE[[#This Row],[FECHA INICIO TEORICO]]</f>
        <v>20</v>
      </c>
      <c r="BK289" s="42">
        <f>+AVANCE[[#This Row],[FECHA TERMINO]]-AVANCE[[#This Row],[FECHA INICIO REAL]]</f>
        <v>0</v>
      </c>
    </row>
    <row r="290" spans="1:63" x14ac:dyDescent="0.25">
      <c r="A290" t="s">
        <v>1118</v>
      </c>
      <c r="B290" t="s">
        <v>1119</v>
      </c>
      <c r="C290">
        <v>2282600289</v>
      </c>
      <c r="D290" t="s">
        <v>830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46233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0" s="42">
        <f>+AVANCE[[#This Row],[FECHA TERMINO  PLANIFICADO]]-AVANCE[[#This Row],[FECHA INICIO TEORICO]]</f>
        <v>20</v>
      </c>
      <c r="BK290" s="42">
        <f>+AVANCE[[#This Row],[FECHA TERMINO]]-AVANCE[[#This Row],[FECHA INICIO REAL]]</f>
        <v>0</v>
      </c>
    </row>
    <row r="291" spans="1:63" x14ac:dyDescent="0.25">
      <c r="A291" t="s">
        <v>1118</v>
      </c>
      <c r="B291" t="s">
        <v>1120</v>
      </c>
      <c r="C291">
        <v>2302600290</v>
      </c>
      <c r="D291" t="s">
        <v>831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46233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1" s="42">
        <f>+AVANCE[[#This Row],[FECHA TERMINO  PLANIFICADO]]-AVANCE[[#This Row],[FECHA INICIO TEORICO]]</f>
        <v>30</v>
      </c>
      <c r="BK291" s="42">
        <f>+AVANCE[[#This Row],[FECHA TERMINO]]-AVANCE[[#This Row],[FECHA INICIO REAL]]</f>
        <v>0</v>
      </c>
    </row>
    <row r="292" spans="1:63" x14ac:dyDescent="0.25">
      <c r="A292" t="s">
        <v>1118</v>
      </c>
      <c r="B292" t="s">
        <v>1121</v>
      </c>
      <c r="C292">
        <v>2302600291</v>
      </c>
      <c r="D292" t="s">
        <v>831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46233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2" s="42">
        <f>+AVANCE[[#This Row],[FECHA TERMINO  PLANIFICADO]]-AVANCE[[#This Row],[FECHA INICIO TEORICO]]</f>
        <v>30</v>
      </c>
      <c r="BK292" s="42">
        <f>+AVANCE[[#This Row],[FECHA TERMINO]]-AVANCE[[#This Row],[FECHA INICIO REAL]]</f>
        <v>0</v>
      </c>
    </row>
    <row r="293" spans="1:63" x14ac:dyDescent="0.25">
      <c r="A293" t="s">
        <v>1118</v>
      </c>
      <c r="B293" t="s">
        <v>1122</v>
      </c>
      <c r="C293">
        <v>2282600292</v>
      </c>
      <c r="D293" t="s">
        <v>830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46233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3" s="42">
        <f>+AVANCE[[#This Row],[FECHA TERMINO  PLANIFICADO]]-AVANCE[[#This Row],[FECHA INICIO TEORICO]]</f>
        <v>20</v>
      </c>
      <c r="BK293" s="42">
        <f>+AVANCE[[#This Row],[FECHA TERMINO]]-AVANCE[[#This Row],[FECHA INICIO REAL]]</f>
        <v>0</v>
      </c>
    </row>
    <row r="294" spans="1:63" x14ac:dyDescent="0.25">
      <c r="A294" t="s">
        <v>1118</v>
      </c>
      <c r="B294" t="s">
        <v>1123</v>
      </c>
      <c r="C294">
        <v>2282600293</v>
      </c>
      <c r="D294" t="s">
        <v>830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46233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4" s="42">
        <f>+AVANCE[[#This Row],[FECHA TERMINO  PLANIFICADO]]-AVANCE[[#This Row],[FECHA INICIO TEORICO]]</f>
        <v>20</v>
      </c>
      <c r="BK294" s="42">
        <f>+AVANCE[[#This Row],[FECHA TERMINO]]-AVANCE[[#This Row],[FECHA INICIO REAL]]</f>
        <v>0</v>
      </c>
    </row>
    <row r="295" spans="1:63" x14ac:dyDescent="0.25">
      <c r="A295" t="s">
        <v>1118</v>
      </c>
      <c r="B295" t="s">
        <v>1124</v>
      </c>
      <c r="C295">
        <v>2302600294</v>
      </c>
      <c r="D295" t="s">
        <v>831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46233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5" s="42">
        <f>+AVANCE[[#This Row],[FECHA TERMINO  PLANIFICADO]]-AVANCE[[#This Row],[FECHA INICIO TEORICO]]</f>
        <v>30</v>
      </c>
      <c r="BK295" s="42">
        <f>+AVANCE[[#This Row],[FECHA TERMINO]]-AVANCE[[#This Row],[FECHA INICIO REAL]]</f>
        <v>0</v>
      </c>
    </row>
    <row r="296" spans="1:63" x14ac:dyDescent="0.25">
      <c r="A296" t="s">
        <v>1118</v>
      </c>
      <c r="B296" t="s">
        <v>1125</v>
      </c>
      <c r="C296">
        <v>2302600295</v>
      </c>
      <c r="D296" t="s">
        <v>831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46233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6" s="42">
        <f>+AVANCE[[#This Row],[FECHA TERMINO  PLANIFICADO]]-AVANCE[[#This Row],[FECHA INICIO TEORICO]]</f>
        <v>30</v>
      </c>
      <c r="BK296" s="42">
        <f>+AVANCE[[#This Row],[FECHA TERMINO]]-AVANCE[[#This Row],[FECHA INICIO REAL]]</f>
        <v>0</v>
      </c>
    </row>
    <row r="297" spans="1:63" x14ac:dyDescent="0.25">
      <c r="A297" t="s">
        <v>1118</v>
      </c>
      <c r="B297" t="s">
        <v>1126</v>
      </c>
      <c r="C297">
        <v>2282600296</v>
      </c>
      <c r="D297" t="s">
        <v>830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46233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7" s="42">
        <f>+AVANCE[[#This Row],[FECHA TERMINO  PLANIFICADO]]-AVANCE[[#This Row],[FECHA INICIO TEORICO]]</f>
        <v>20</v>
      </c>
      <c r="BK297" s="42">
        <f>+AVANCE[[#This Row],[FECHA TERMINO]]-AVANCE[[#This Row],[FECHA INICIO REAL]]</f>
        <v>0</v>
      </c>
    </row>
    <row r="298" spans="1:63" x14ac:dyDescent="0.25">
      <c r="A298" t="s">
        <v>1118</v>
      </c>
      <c r="B298" t="s">
        <v>1127</v>
      </c>
      <c r="C298">
        <v>2282600297</v>
      </c>
      <c r="D298" t="s">
        <v>830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46233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8" s="42">
        <f>+AVANCE[[#This Row],[FECHA TERMINO  PLANIFICADO]]-AVANCE[[#This Row],[FECHA INICIO TEORICO]]</f>
        <v>20</v>
      </c>
      <c r="BK298" s="42">
        <f>+AVANCE[[#This Row],[FECHA TERMINO]]-AVANCE[[#This Row],[FECHA INICIO REAL]]</f>
        <v>0</v>
      </c>
    </row>
    <row r="299" spans="1:63" x14ac:dyDescent="0.25">
      <c r="A299" t="s">
        <v>1118</v>
      </c>
      <c r="B299" t="s">
        <v>1128</v>
      </c>
      <c r="C299">
        <v>2302600298</v>
      </c>
      <c r="D299" t="s">
        <v>831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46233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9" s="42">
        <f>+AVANCE[[#This Row],[FECHA TERMINO  PLANIFICADO]]-AVANCE[[#This Row],[FECHA INICIO TEORICO]]</f>
        <v>30</v>
      </c>
      <c r="BK299" s="42">
        <f>+AVANCE[[#This Row],[FECHA TERMINO]]-AVANCE[[#This Row],[FECHA INICIO REAL]]</f>
        <v>0</v>
      </c>
    </row>
    <row r="300" spans="1:63" x14ac:dyDescent="0.25">
      <c r="A300" t="s">
        <v>1118</v>
      </c>
      <c r="B300" t="s">
        <v>1129</v>
      </c>
      <c r="C300">
        <v>2302600299</v>
      </c>
      <c r="D300" t="s">
        <v>831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46233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0" s="42">
        <f>+AVANCE[[#This Row],[FECHA TERMINO  PLANIFICADO]]-AVANCE[[#This Row],[FECHA INICIO TEORICO]]</f>
        <v>30</v>
      </c>
      <c r="BK300" s="42">
        <f>+AVANCE[[#This Row],[FECHA TERMINO]]-AVANCE[[#This Row],[FECHA INICIO REAL]]</f>
        <v>0</v>
      </c>
    </row>
    <row r="301" spans="1:63" x14ac:dyDescent="0.25">
      <c r="A301" t="s">
        <v>1118</v>
      </c>
      <c r="B301" t="s">
        <v>1130</v>
      </c>
      <c r="C301">
        <v>2282600300</v>
      </c>
      <c r="D301" t="s">
        <v>830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46233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1" s="42">
        <f>+AVANCE[[#This Row],[FECHA TERMINO  PLANIFICADO]]-AVANCE[[#This Row],[FECHA INICIO TEORICO]]</f>
        <v>20</v>
      </c>
      <c r="BK301" s="42">
        <f>+AVANCE[[#This Row],[FECHA TERMINO]]-AVANCE[[#This Row],[FECHA INICIO REAL]]</f>
        <v>0</v>
      </c>
    </row>
    <row r="302" spans="1:63" x14ac:dyDescent="0.25">
      <c r="A302" t="s">
        <v>1118</v>
      </c>
      <c r="B302" t="s">
        <v>1131</v>
      </c>
      <c r="C302">
        <v>2282600301</v>
      </c>
      <c r="D302" t="s">
        <v>830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46233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2" s="42">
        <f>+AVANCE[[#This Row],[FECHA TERMINO  PLANIFICADO]]-AVANCE[[#This Row],[FECHA INICIO TEORICO]]</f>
        <v>20</v>
      </c>
      <c r="BK302" s="42">
        <f>+AVANCE[[#This Row],[FECHA TERMINO]]-AVANCE[[#This Row],[FECHA INICIO REAL]]</f>
        <v>0</v>
      </c>
    </row>
    <row r="303" spans="1:63" x14ac:dyDescent="0.25">
      <c r="A303" t="s">
        <v>1118</v>
      </c>
      <c r="B303" t="s">
        <v>1132</v>
      </c>
      <c r="C303">
        <v>2302600302</v>
      </c>
      <c r="D303" t="s">
        <v>831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46233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3" s="42">
        <f>+AVANCE[[#This Row],[FECHA TERMINO  PLANIFICADO]]-AVANCE[[#This Row],[FECHA INICIO TEORICO]]</f>
        <v>30</v>
      </c>
      <c r="BK303" s="42">
        <f>+AVANCE[[#This Row],[FECHA TERMINO]]-AVANCE[[#This Row],[FECHA INICIO REAL]]</f>
        <v>0</v>
      </c>
    </row>
    <row r="304" spans="1:63" x14ac:dyDescent="0.25">
      <c r="A304" t="s">
        <v>1118</v>
      </c>
      <c r="B304" t="s">
        <v>1133</v>
      </c>
      <c r="C304">
        <v>2302600303</v>
      </c>
      <c r="D304" t="s">
        <v>831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46233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4" s="42">
        <f>+AVANCE[[#This Row],[FECHA TERMINO  PLANIFICADO]]-AVANCE[[#This Row],[FECHA INICIO TEORICO]]</f>
        <v>30</v>
      </c>
      <c r="BK304" s="42">
        <f>+AVANCE[[#This Row],[FECHA TERMINO]]-AVANCE[[#This Row],[FECHA INICIO REAL]]</f>
        <v>0</v>
      </c>
    </row>
    <row r="305" spans="1:63" x14ac:dyDescent="0.25">
      <c r="A305" t="s">
        <v>1118</v>
      </c>
      <c r="B305" t="s">
        <v>1134</v>
      </c>
      <c r="C305">
        <v>2282600304</v>
      </c>
      <c r="D305" t="s">
        <v>830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46233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5" s="42">
        <f>+AVANCE[[#This Row],[FECHA TERMINO  PLANIFICADO]]-AVANCE[[#This Row],[FECHA INICIO TEORICO]]</f>
        <v>20</v>
      </c>
      <c r="BK305" s="42">
        <f>+AVANCE[[#This Row],[FECHA TERMINO]]-AVANCE[[#This Row],[FECHA INICIO REAL]]</f>
        <v>0</v>
      </c>
    </row>
    <row r="306" spans="1:63" x14ac:dyDescent="0.25">
      <c r="A306" t="s">
        <v>1118</v>
      </c>
      <c r="B306" t="s">
        <v>1135</v>
      </c>
      <c r="C306">
        <v>2282600305</v>
      </c>
      <c r="D306" t="s">
        <v>830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46233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6" s="42">
        <f>+AVANCE[[#This Row],[FECHA TERMINO  PLANIFICADO]]-AVANCE[[#This Row],[FECHA INICIO TEORICO]]</f>
        <v>20</v>
      </c>
      <c r="BK306" s="42">
        <f>+AVANCE[[#This Row],[FECHA TERMINO]]-AVANCE[[#This Row],[FECHA INICIO REAL]]</f>
        <v>0</v>
      </c>
    </row>
    <row r="307" spans="1:63" x14ac:dyDescent="0.25">
      <c r="A307" t="s">
        <v>1118</v>
      </c>
      <c r="B307" t="s">
        <v>1136</v>
      </c>
      <c r="C307">
        <v>2302600306</v>
      </c>
      <c r="D307" t="s">
        <v>831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46233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7" s="42">
        <f>+AVANCE[[#This Row],[FECHA TERMINO  PLANIFICADO]]-AVANCE[[#This Row],[FECHA INICIO TEORICO]]</f>
        <v>30</v>
      </c>
      <c r="BK307" s="42">
        <f>+AVANCE[[#This Row],[FECHA TERMINO]]-AVANCE[[#This Row],[FECHA INICIO REAL]]</f>
        <v>0</v>
      </c>
    </row>
    <row r="308" spans="1:63" x14ac:dyDescent="0.25">
      <c r="A308" t="s">
        <v>1118</v>
      </c>
      <c r="B308" t="s">
        <v>1137</v>
      </c>
      <c r="C308">
        <v>2302600307</v>
      </c>
      <c r="D308" t="s">
        <v>831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46233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8" s="42">
        <f>+AVANCE[[#This Row],[FECHA TERMINO  PLANIFICADO]]-AVANCE[[#This Row],[FECHA INICIO TEORICO]]</f>
        <v>30</v>
      </c>
      <c r="BK308" s="42">
        <f>+AVANCE[[#This Row],[FECHA TERMINO]]-AVANCE[[#This Row],[FECHA INICIO REAL]]</f>
        <v>0</v>
      </c>
    </row>
    <row r="309" spans="1:63" x14ac:dyDescent="0.25">
      <c r="A309" t="s">
        <v>1118</v>
      </c>
      <c r="B309" t="s">
        <v>1138</v>
      </c>
      <c r="C309">
        <v>2282600308</v>
      </c>
      <c r="D309" t="s">
        <v>830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46233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9" s="42">
        <f>+AVANCE[[#This Row],[FECHA TERMINO  PLANIFICADO]]-AVANCE[[#This Row],[FECHA INICIO TEORICO]]</f>
        <v>20</v>
      </c>
      <c r="BK309" s="42">
        <f>+AVANCE[[#This Row],[FECHA TERMINO]]-AVANCE[[#This Row],[FECHA INICIO REAL]]</f>
        <v>0</v>
      </c>
    </row>
    <row r="310" spans="1:63" x14ac:dyDescent="0.25">
      <c r="A310" t="s">
        <v>1118</v>
      </c>
      <c r="B310" t="s">
        <v>1139</v>
      </c>
      <c r="C310">
        <v>2282600309</v>
      </c>
      <c r="D310" t="s">
        <v>830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46233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0" s="42">
        <f>+AVANCE[[#This Row],[FECHA TERMINO  PLANIFICADO]]-AVANCE[[#This Row],[FECHA INICIO TEORICO]]</f>
        <v>20</v>
      </c>
      <c r="BK310" s="42">
        <f>+AVANCE[[#This Row],[FECHA TERMINO]]-AVANCE[[#This Row],[FECHA INICIO REAL]]</f>
        <v>0</v>
      </c>
    </row>
    <row r="311" spans="1:63" x14ac:dyDescent="0.25">
      <c r="A311" t="s">
        <v>1118</v>
      </c>
      <c r="B311" t="s">
        <v>1140</v>
      </c>
      <c r="C311">
        <v>2302600310</v>
      </c>
      <c r="D311" t="s">
        <v>831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46233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1" s="42">
        <f>+AVANCE[[#This Row],[FECHA TERMINO  PLANIFICADO]]-AVANCE[[#This Row],[FECHA INICIO TEORICO]]</f>
        <v>30</v>
      </c>
      <c r="BK311" s="42">
        <f>+AVANCE[[#This Row],[FECHA TERMINO]]-AVANCE[[#This Row],[FECHA INICIO REAL]]</f>
        <v>0</v>
      </c>
    </row>
    <row r="312" spans="1:63" x14ac:dyDescent="0.25">
      <c r="A312" t="s">
        <v>1118</v>
      </c>
      <c r="B312" t="s">
        <v>1141</v>
      </c>
      <c r="C312">
        <v>2302600311</v>
      </c>
      <c r="D312" t="s">
        <v>831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46233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2" s="42">
        <f>+AVANCE[[#This Row],[FECHA TERMINO  PLANIFICADO]]-AVANCE[[#This Row],[FECHA INICIO TEORICO]]</f>
        <v>30</v>
      </c>
      <c r="BK312" s="42">
        <f>+AVANCE[[#This Row],[FECHA TERMINO]]-AVANCE[[#This Row],[FECHA INICIO REAL]]</f>
        <v>0</v>
      </c>
    </row>
    <row r="313" spans="1:63" x14ac:dyDescent="0.25">
      <c r="A313" t="s">
        <v>1118</v>
      </c>
      <c r="B313" t="s">
        <v>1142</v>
      </c>
      <c r="C313">
        <v>2282600312</v>
      </c>
      <c r="D313" t="s">
        <v>830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46233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3" s="42">
        <f>+AVANCE[[#This Row],[FECHA TERMINO  PLANIFICADO]]-AVANCE[[#This Row],[FECHA INICIO TEORICO]]</f>
        <v>20</v>
      </c>
      <c r="BK313" s="42">
        <f>+AVANCE[[#This Row],[FECHA TERMINO]]-AVANCE[[#This Row],[FECHA INICIO REAL]]</f>
        <v>0</v>
      </c>
    </row>
    <row r="314" spans="1:63" x14ac:dyDescent="0.25">
      <c r="A314" t="s">
        <v>1118</v>
      </c>
      <c r="B314" t="s">
        <v>1143</v>
      </c>
      <c r="C314">
        <v>2282600313</v>
      </c>
      <c r="D314" t="s">
        <v>830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46233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4" s="42">
        <f>+AVANCE[[#This Row],[FECHA TERMINO  PLANIFICADO]]-AVANCE[[#This Row],[FECHA INICIO TEORICO]]</f>
        <v>20</v>
      </c>
      <c r="BK314" s="42">
        <f>+AVANCE[[#This Row],[FECHA TERMINO]]-AVANCE[[#This Row],[FECHA INICIO REAL]]</f>
        <v>0</v>
      </c>
    </row>
    <row r="315" spans="1:63" x14ac:dyDescent="0.25">
      <c r="A315" t="s">
        <v>1118</v>
      </c>
      <c r="B315" t="s">
        <v>1144</v>
      </c>
      <c r="C315">
        <v>2302600314</v>
      </c>
      <c r="D315" t="s">
        <v>831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46233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5" s="42">
        <f>+AVANCE[[#This Row],[FECHA TERMINO  PLANIFICADO]]-AVANCE[[#This Row],[FECHA INICIO TEORICO]]</f>
        <v>30</v>
      </c>
      <c r="BK315" s="42">
        <f>+AVANCE[[#This Row],[FECHA TERMINO]]-AVANCE[[#This Row],[FECHA INICIO REAL]]</f>
        <v>0</v>
      </c>
    </row>
    <row r="316" spans="1:63" x14ac:dyDescent="0.25">
      <c r="A316" t="s">
        <v>1118</v>
      </c>
      <c r="B316" t="s">
        <v>1145</v>
      </c>
      <c r="C316">
        <v>2302600315</v>
      </c>
      <c r="D316" t="s">
        <v>831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46233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6" s="42">
        <f>+AVANCE[[#This Row],[FECHA TERMINO  PLANIFICADO]]-AVANCE[[#This Row],[FECHA INICIO TEORICO]]</f>
        <v>30</v>
      </c>
      <c r="BK316" s="42">
        <f>+AVANCE[[#This Row],[FECHA TERMINO]]-AVANCE[[#This Row],[FECHA INICIO REAL]]</f>
        <v>0</v>
      </c>
    </row>
    <row r="317" spans="1:63" x14ac:dyDescent="0.25">
      <c r="A317" t="s">
        <v>1118</v>
      </c>
      <c r="B317" t="s">
        <v>1146</v>
      </c>
      <c r="C317">
        <v>2282600316</v>
      </c>
      <c r="D317" t="s">
        <v>830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46233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7" s="42">
        <f>+AVANCE[[#This Row],[FECHA TERMINO  PLANIFICADO]]-AVANCE[[#This Row],[FECHA INICIO TEORICO]]</f>
        <v>20</v>
      </c>
      <c r="BK317" s="42">
        <f>+AVANCE[[#This Row],[FECHA TERMINO]]-AVANCE[[#This Row],[FECHA INICIO REAL]]</f>
        <v>0</v>
      </c>
    </row>
    <row r="318" spans="1:63" x14ac:dyDescent="0.25">
      <c r="A318" t="s">
        <v>1118</v>
      </c>
      <c r="B318" t="s">
        <v>1147</v>
      </c>
      <c r="C318">
        <v>2282600317</v>
      </c>
      <c r="D318" t="s">
        <v>830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46233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8" s="42">
        <f>+AVANCE[[#This Row],[FECHA TERMINO  PLANIFICADO]]-AVANCE[[#This Row],[FECHA INICIO TEORICO]]</f>
        <v>20</v>
      </c>
      <c r="BK318" s="42">
        <f>+AVANCE[[#This Row],[FECHA TERMINO]]-AVANCE[[#This Row],[FECHA INICIO REAL]]</f>
        <v>0</v>
      </c>
    </row>
    <row r="319" spans="1:63" x14ac:dyDescent="0.25">
      <c r="A319" t="s">
        <v>1118</v>
      </c>
      <c r="B319" t="s">
        <v>1148</v>
      </c>
      <c r="C319">
        <v>2302600318</v>
      </c>
      <c r="D319" t="s">
        <v>831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46233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9" s="42">
        <f>+AVANCE[[#This Row],[FECHA TERMINO  PLANIFICADO]]-AVANCE[[#This Row],[FECHA INICIO TEORICO]]</f>
        <v>30</v>
      </c>
      <c r="BK319" s="42">
        <f>+AVANCE[[#This Row],[FECHA TERMINO]]-AVANCE[[#This Row],[FECHA INICIO REAL]]</f>
        <v>0</v>
      </c>
    </row>
    <row r="320" spans="1:63" x14ac:dyDescent="0.25">
      <c r="A320" t="s">
        <v>1118</v>
      </c>
      <c r="B320" t="s">
        <v>1149</v>
      </c>
      <c r="C320">
        <v>2302600319</v>
      </c>
      <c r="D320" t="s">
        <v>831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46233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0" s="42">
        <f>+AVANCE[[#This Row],[FECHA TERMINO  PLANIFICADO]]-AVANCE[[#This Row],[FECHA INICIO TEORICO]]</f>
        <v>30</v>
      </c>
      <c r="BK320" s="42">
        <f>+AVANCE[[#This Row],[FECHA TERMINO]]-AVANCE[[#This Row],[FECHA INICIO REAL]]</f>
        <v>0</v>
      </c>
    </row>
    <row r="321" spans="1:63" x14ac:dyDescent="0.25">
      <c r="A321" t="s">
        <v>1118</v>
      </c>
      <c r="B321" t="s">
        <v>1150</v>
      </c>
      <c r="C321">
        <v>2282600320</v>
      </c>
      <c r="D321" t="s">
        <v>830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46233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1" s="42">
        <f>+AVANCE[[#This Row],[FECHA TERMINO  PLANIFICADO]]-AVANCE[[#This Row],[FECHA INICIO TEORICO]]</f>
        <v>20</v>
      </c>
      <c r="BK321" s="42">
        <f>+AVANCE[[#This Row],[FECHA TERMINO]]-AVANCE[[#This Row],[FECHA INICIO REAL]]</f>
        <v>0</v>
      </c>
    </row>
    <row r="322" spans="1:63" x14ac:dyDescent="0.25">
      <c r="A322" t="s">
        <v>1151</v>
      </c>
      <c r="B322" t="s">
        <v>1152</v>
      </c>
      <c r="C322">
        <v>2282600321</v>
      </c>
      <c r="D322" t="s">
        <v>830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46233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2" s="42">
        <f>+AVANCE[[#This Row],[FECHA TERMINO  PLANIFICADO]]-AVANCE[[#This Row],[FECHA INICIO TEORICO]]</f>
        <v>20</v>
      </c>
      <c r="BK322" s="42">
        <f>+AVANCE[[#This Row],[FECHA TERMINO]]-AVANCE[[#This Row],[FECHA INICIO REAL]]</f>
        <v>0</v>
      </c>
    </row>
    <row r="323" spans="1:63" x14ac:dyDescent="0.25">
      <c r="A323" t="s">
        <v>1151</v>
      </c>
      <c r="B323" t="s">
        <v>1153</v>
      </c>
      <c r="C323">
        <v>2302600322</v>
      </c>
      <c r="D323" t="s">
        <v>831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46233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3" s="42">
        <f>+AVANCE[[#This Row],[FECHA TERMINO  PLANIFICADO]]-AVANCE[[#This Row],[FECHA INICIO TEORICO]]</f>
        <v>30</v>
      </c>
      <c r="BK323" s="42">
        <f>+AVANCE[[#This Row],[FECHA TERMINO]]-AVANCE[[#This Row],[FECHA INICIO REAL]]</f>
        <v>0</v>
      </c>
    </row>
    <row r="324" spans="1:63" x14ac:dyDescent="0.25">
      <c r="A324" t="s">
        <v>1151</v>
      </c>
      <c r="B324" t="s">
        <v>1154</v>
      </c>
      <c r="C324">
        <v>2302600323</v>
      </c>
      <c r="D324" t="s">
        <v>831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46233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4" s="42">
        <f>+AVANCE[[#This Row],[FECHA TERMINO  PLANIFICADO]]-AVANCE[[#This Row],[FECHA INICIO TEORICO]]</f>
        <v>30</v>
      </c>
      <c r="BK324" s="42">
        <f>+AVANCE[[#This Row],[FECHA TERMINO]]-AVANCE[[#This Row],[FECHA INICIO REAL]]</f>
        <v>0</v>
      </c>
    </row>
    <row r="325" spans="1:63" x14ac:dyDescent="0.25">
      <c r="A325" t="s">
        <v>1151</v>
      </c>
      <c r="B325" t="s">
        <v>1155</v>
      </c>
      <c r="C325">
        <v>2282600324</v>
      </c>
      <c r="D325" t="s">
        <v>830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46233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5" s="42">
        <f>+AVANCE[[#This Row],[FECHA TERMINO  PLANIFICADO]]-AVANCE[[#This Row],[FECHA INICIO TEORICO]]</f>
        <v>20</v>
      </c>
      <c r="BK325" s="42">
        <f>+AVANCE[[#This Row],[FECHA TERMINO]]-AVANCE[[#This Row],[FECHA INICIO REAL]]</f>
        <v>0</v>
      </c>
    </row>
    <row r="326" spans="1:63" x14ac:dyDescent="0.25">
      <c r="A326" t="s">
        <v>1151</v>
      </c>
      <c r="B326" t="s">
        <v>1156</v>
      </c>
      <c r="C326">
        <v>2282600325</v>
      </c>
      <c r="D326" t="s">
        <v>830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46233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6" s="42">
        <f>+AVANCE[[#This Row],[FECHA TERMINO  PLANIFICADO]]-AVANCE[[#This Row],[FECHA INICIO TEORICO]]</f>
        <v>20</v>
      </c>
      <c r="BK326" s="42">
        <f>+AVANCE[[#This Row],[FECHA TERMINO]]-AVANCE[[#This Row],[FECHA INICIO REAL]]</f>
        <v>0</v>
      </c>
    </row>
    <row r="327" spans="1:63" x14ac:dyDescent="0.25">
      <c r="A327" t="s">
        <v>1151</v>
      </c>
      <c r="B327" t="s">
        <v>1157</v>
      </c>
      <c r="C327">
        <v>2302600326</v>
      </c>
      <c r="D327" t="s">
        <v>831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46233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7" s="42">
        <f>+AVANCE[[#This Row],[FECHA TERMINO  PLANIFICADO]]-AVANCE[[#This Row],[FECHA INICIO TEORICO]]</f>
        <v>30</v>
      </c>
      <c r="BK327" s="42">
        <f>+AVANCE[[#This Row],[FECHA TERMINO]]-AVANCE[[#This Row],[FECHA INICIO REAL]]</f>
        <v>0</v>
      </c>
    </row>
    <row r="328" spans="1:63" x14ac:dyDescent="0.25">
      <c r="A328" t="s">
        <v>1151</v>
      </c>
      <c r="B328" t="s">
        <v>1158</v>
      </c>
      <c r="C328">
        <v>2302600327</v>
      </c>
      <c r="D328" t="s">
        <v>831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46233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8" s="42">
        <f>+AVANCE[[#This Row],[FECHA TERMINO  PLANIFICADO]]-AVANCE[[#This Row],[FECHA INICIO TEORICO]]</f>
        <v>30</v>
      </c>
      <c r="BK328" s="42">
        <f>+AVANCE[[#This Row],[FECHA TERMINO]]-AVANCE[[#This Row],[FECHA INICIO REAL]]</f>
        <v>0</v>
      </c>
    </row>
    <row r="329" spans="1:63" x14ac:dyDescent="0.25">
      <c r="A329" t="s">
        <v>1151</v>
      </c>
      <c r="B329" t="s">
        <v>1159</v>
      </c>
      <c r="C329">
        <v>2282600328</v>
      </c>
      <c r="D329" t="s">
        <v>830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46233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9" s="42">
        <f>+AVANCE[[#This Row],[FECHA TERMINO  PLANIFICADO]]-AVANCE[[#This Row],[FECHA INICIO TEORICO]]</f>
        <v>20</v>
      </c>
      <c r="BK329" s="42">
        <f>+AVANCE[[#This Row],[FECHA TERMINO]]-AVANCE[[#This Row],[FECHA INICIO REAL]]</f>
        <v>0</v>
      </c>
    </row>
    <row r="330" spans="1:63" x14ac:dyDescent="0.25">
      <c r="A330" t="s">
        <v>1151</v>
      </c>
      <c r="B330" t="s">
        <v>1160</v>
      </c>
      <c r="C330">
        <v>2282600329</v>
      </c>
      <c r="D330" t="s">
        <v>830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46233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0" s="42">
        <f>+AVANCE[[#This Row],[FECHA TERMINO  PLANIFICADO]]-AVANCE[[#This Row],[FECHA INICIO TEORICO]]</f>
        <v>20</v>
      </c>
      <c r="BK330" s="42">
        <f>+AVANCE[[#This Row],[FECHA TERMINO]]-AVANCE[[#This Row],[FECHA INICIO REAL]]</f>
        <v>0</v>
      </c>
    </row>
    <row r="331" spans="1:63" x14ac:dyDescent="0.25">
      <c r="A331" t="s">
        <v>1151</v>
      </c>
      <c r="B331" t="s">
        <v>1161</v>
      </c>
      <c r="C331">
        <v>2302600330</v>
      </c>
      <c r="D331" t="s">
        <v>831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46233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1" s="42">
        <f>+AVANCE[[#This Row],[FECHA TERMINO  PLANIFICADO]]-AVANCE[[#This Row],[FECHA INICIO TEORICO]]</f>
        <v>30</v>
      </c>
      <c r="BK331" s="42">
        <f>+AVANCE[[#This Row],[FECHA TERMINO]]-AVANCE[[#This Row],[FECHA INICIO REAL]]</f>
        <v>0</v>
      </c>
    </row>
    <row r="332" spans="1:63" x14ac:dyDescent="0.25">
      <c r="A332" t="s">
        <v>1151</v>
      </c>
      <c r="B332" t="s">
        <v>1162</v>
      </c>
      <c r="C332">
        <v>2302600331</v>
      </c>
      <c r="D332" t="s">
        <v>831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46233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2" s="42">
        <f>+AVANCE[[#This Row],[FECHA TERMINO  PLANIFICADO]]-AVANCE[[#This Row],[FECHA INICIO TEORICO]]</f>
        <v>30</v>
      </c>
      <c r="BK332" s="42">
        <f>+AVANCE[[#This Row],[FECHA TERMINO]]-AVANCE[[#This Row],[FECHA INICIO REAL]]</f>
        <v>0</v>
      </c>
    </row>
    <row r="333" spans="1:63" x14ac:dyDescent="0.25">
      <c r="A333" t="s">
        <v>1151</v>
      </c>
      <c r="B333" t="s">
        <v>1163</v>
      </c>
      <c r="C333">
        <v>2282600332</v>
      </c>
      <c r="D333" t="s">
        <v>830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46233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3" s="42">
        <f>+AVANCE[[#This Row],[FECHA TERMINO  PLANIFICADO]]-AVANCE[[#This Row],[FECHA INICIO TEORICO]]</f>
        <v>20</v>
      </c>
      <c r="BK333" s="42">
        <f>+AVANCE[[#This Row],[FECHA TERMINO]]-AVANCE[[#This Row],[FECHA INICIO REAL]]</f>
        <v>0</v>
      </c>
    </row>
    <row r="334" spans="1:63" x14ac:dyDescent="0.25">
      <c r="A334" t="s">
        <v>1151</v>
      </c>
      <c r="B334" t="s">
        <v>1164</v>
      </c>
      <c r="C334">
        <v>2282600333</v>
      </c>
      <c r="D334" t="s">
        <v>830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46233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4" s="42">
        <f>+AVANCE[[#This Row],[FECHA TERMINO  PLANIFICADO]]-AVANCE[[#This Row],[FECHA INICIO TEORICO]]</f>
        <v>20</v>
      </c>
      <c r="BK334" s="42">
        <f>+AVANCE[[#This Row],[FECHA TERMINO]]-AVANCE[[#This Row],[FECHA INICIO REAL]]</f>
        <v>0</v>
      </c>
    </row>
    <row r="335" spans="1:63" x14ac:dyDescent="0.25">
      <c r="A335" t="s">
        <v>1151</v>
      </c>
      <c r="B335" t="s">
        <v>1165</v>
      </c>
      <c r="C335">
        <v>2302600334</v>
      </c>
      <c r="D335" t="s">
        <v>831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46233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5" s="42">
        <f>+AVANCE[[#This Row],[FECHA TERMINO  PLANIFICADO]]-AVANCE[[#This Row],[FECHA INICIO TEORICO]]</f>
        <v>30</v>
      </c>
      <c r="BK335" s="42">
        <f>+AVANCE[[#This Row],[FECHA TERMINO]]-AVANCE[[#This Row],[FECHA INICIO REAL]]</f>
        <v>0</v>
      </c>
    </row>
    <row r="336" spans="1:63" x14ac:dyDescent="0.25">
      <c r="A336" t="s">
        <v>1151</v>
      </c>
      <c r="B336" t="s">
        <v>1166</v>
      </c>
      <c r="C336">
        <v>2302600335</v>
      </c>
      <c r="D336" t="s">
        <v>831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46233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6" s="42">
        <f>+AVANCE[[#This Row],[FECHA TERMINO  PLANIFICADO]]-AVANCE[[#This Row],[FECHA INICIO TEORICO]]</f>
        <v>30</v>
      </c>
      <c r="BK336" s="42">
        <f>+AVANCE[[#This Row],[FECHA TERMINO]]-AVANCE[[#This Row],[FECHA INICIO REAL]]</f>
        <v>0</v>
      </c>
    </row>
    <row r="337" spans="1:63" x14ac:dyDescent="0.25">
      <c r="A337" t="s">
        <v>1151</v>
      </c>
      <c r="B337" t="s">
        <v>1167</v>
      </c>
      <c r="C337">
        <v>2282600336</v>
      </c>
      <c r="D337" t="s">
        <v>830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46233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7" s="42">
        <f>+AVANCE[[#This Row],[FECHA TERMINO  PLANIFICADO]]-AVANCE[[#This Row],[FECHA INICIO TEORICO]]</f>
        <v>20</v>
      </c>
      <c r="BK337" s="42">
        <f>+AVANCE[[#This Row],[FECHA TERMINO]]-AVANCE[[#This Row],[FECHA INICIO REAL]]</f>
        <v>0</v>
      </c>
    </row>
    <row r="338" spans="1:63" x14ac:dyDescent="0.25">
      <c r="A338" t="s">
        <v>1151</v>
      </c>
      <c r="B338" t="s">
        <v>1168</v>
      </c>
      <c r="C338">
        <v>2282600337</v>
      </c>
      <c r="D338" t="s">
        <v>830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46233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8" s="42">
        <f>+AVANCE[[#This Row],[FECHA TERMINO  PLANIFICADO]]-AVANCE[[#This Row],[FECHA INICIO TEORICO]]</f>
        <v>20</v>
      </c>
      <c r="BK338" s="42">
        <f>+AVANCE[[#This Row],[FECHA TERMINO]]-AVANCE[[#This Row],[FECHA INICIO REAL]]</f>
        <v>0</v>
      </c>
    </row>
    <row r="339" spans="1:63" x14ac:dyDescent="0.25">
      <c r="A339" t="s">
        <v>1151</v>
      </c>
      <c r="B339" t="s">
        <v>1169</v>
      </c>
      <c r="C339">
        <v>2302600338</v>
      </c>
      <c r="D339" t="s">
        <v>831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46233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9" s="42">
        <f>+AVANCE[[#This Row],[FECHA TERMINO  PLANIFICADO]]-AVANCE[[#This Row],[FECHA INICIO TEORICO]]</f>
        <v>30</v>
      </c>
      <c r="BK339" s="42">
        <f>+AVANCE[[#This Row],[FECHA TERMINO]]-AVANCE[[#This Row],[FECHA INICIO REAL]]</f>
        <v>0</v>
      </c>
    </row>
    <row r="340" spans="1:63" x14ac:dyDescent="0.25">
      <c r="A340" t="s">
        <v>1151</v>
      </c>
      <c r="B340" t="s">
        <v>1170</v>
      </c>
      <c r="C340">
        <v>2302600339</v>
      </c>
      <c r="D340" t="s">
        <v>831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46233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0" s="42">
        <f>+AVANCE[[#This Row],[FECHA TERMINO  PLANIFICADO]]-AVANCE[[#This Row],[FECHA INICIO TEORICO]]</f>
        <v>30</v>
      </c>
      <c r="BK340" s="42">
        <f>+AVANCE[[#This Row],[FECHA TERMINO]]-AVANCE[[#This Row],[FECHA INICIO REAL]]</f>
        <v>0</v>
      </c>
    </row>
    <row r="341" spans="1:63" x14ac:dyDescent="0.25">
      <c r="A341" t="s">
        <v>1151</v>
      </c>
      <c r="B341" t="s">
        <v>1171</v>
      </c>
      <c r="C341">
        <v>2282600340</v>
      </c>
      <c r="D341" t="s">
        <v>830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46233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1" s="42">
        <f>+AVANCE[[#This Row],[FECHA TERMINO  PLANIFICADO]]-AVANCE[[#This Row],[FECHA INICIO TEORICO]]</f>
        <v>20</v>
      </c>
      <c r="BK341" s="42">
        <f>+AVANCE[[#This Row],[FECHA TERMINO]]-AVANCE[[#This Row],[FECHA INICIO REAL]]</f>
        <v>0</v>
      </c>
    </row>
    <row r="342" spans="1:63" x14ac:dyDescent="0.25">
      <c r="A342" t="s">
        <v>1151</v>
      </c>
      <c r="B342" t="s">
        <v>1172</v>
      </c>
      <c r="C342">
        <v>2282600341</v>
      </c>
      <c r="D342" t="s">
        <v>830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46233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2" s="42">
        <f>+AVANCE[[#This Row],[FECHA TERMINO  PLANIFICADO]]-AVANCE[[#This Row],[FECHA INICIO TEORICO]]</f>
        <v>20</v>
      </c>
      <c r="BK342" s="42">
        <f>+AVANCE[[#This Row],[FECHA TERMINO]]-AVANCE[[#This Row],[FECHA INICIO REAL]]</f>
        <v>0</v>
      </c>
    </row>
    <row r="343" spans="1:63" x14ac:dyDescent="0.25">
      <c r="A343" t="s">
        <v>1151</v>
      </c>
      <c r="B343" t="s">
        <v>1173</v>
      </c>
      <c r="C343">
        <v>2302600342</v>
      </c>
      <c r="D343" t="s">
        <v>831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46233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3" s="42">
        <f>+AVANCE[[#This Row],[FECHA TERMINO  PLANIFICADO]]-AVANCE[[#This Row],[FECHA INICIO TEORICO]]</f>
        <v>30</v>
      </c>
      <c r="BK343" s="42">
        <f>+AVANCE[[#This Row],[FECHA TERMINO]]-AVANCE[[#This Row],[FECHA INICIO REAL]]</f>
        <v>0</v>
      </c>
    </row>
    <row r="344" spans="1:63" x14ac:dyDescent="0.25">
      <c r="A344" t="s">
        <v>1151</v>
      </c>
      <c r="B344" t="s">
        <v>1174</v>
      </c>
      <c r="C344">
        <v>2302600343</v>
      </c>
      <c r="D344" t="s">
        <v>831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46233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4" s="42">
        <f>+AVANCE[[#This Row],[FECHA TERMINO  PLANIFICADO]]-AVANCE[[#This Row],[FECHA INICIO TEORICO]]</f>
        <v>30</v>
      </c>
      <c r="BK344" s="42">
        <f>+AVANCE[[#This Row],[FECHA TERMINO]]-AVANCE[[#This Row],[FECHA INICIO REAL]]</f>
        <v>0</v>
      </c>
    </row>
    <row r="345" spans="1:63" x14ac:dyDescent="0.25">
      <c r="A345" t="s">
        <v>1151</v>
      </c>
      <c r="B345" t="s">
        <v>1175</v>
      </c>
      <c r="C345">
        <v>2282600344</v>
      </c>
      <c r="D345" t="s">
        <v>830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46233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5" s="42">
        <f>+AVANCE[[#This Row],[FECHA TERMINO  PLANIFICADO]]-AVANCE[[#This Row],[FECHA INICIO TEORICO]]</f>
        <v>20</v>
      </c>
      <c r="BK345" s="42">
        <f>+AVANCE[[#This Row],[FECHA TERMINO]]-AVANCE[[#This Row],[FECHA INICIO REAL]]</f>
        <v>0</v>
      </c>
    </row>
    <row r="346" spans="1:63" x14ac:dyDescent="0.25">
      <c r="A346" t="s">
        <v>1151</v>
      </c>
      <c r="B346" t="s">
        <v>1176</v>
      </c>
      <c r="C346">
        <v>2282600345</v>
      </c>
      <c r="D346" t="s">
        <v>830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46233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6" s="42">
        <f>+AVANCE[[#This Row],[FECHA TERMINO  PLANIFICADO]]-AVANCE[[#This Row],[FECHA INICIO TEORICO]]</f>
        <v>20</v>
      </c>
      <c r="BK346" s="42">
        <f>+AVANCE[[#This Row],[FECHA TERMINO]]-AVANCE[[#This Row],[FECHA INICIO REAL]]</f>
        <v>0</v>
      </c>
    </row>
    <row r="347" spans="1:63" x14ac:dyDescent="0.25">
      <c r="A347" t="s">
        <v>1151</v>
      </c>
      <c r="B347" t="s">
        <v>1177</v>
      </c>
      <c r="C347">
        <v>2302600346</v>
      </c>
      <c r="D347" t="s">
        <v>831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46233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7" s="42">
        <f>+AVANCE[[#This Row],[FECHA TERMINO  PLANIFICADO]]-AVANCE[[#This Row],[FECHA INICIO TEORICO]]</f>
        <v>30</v>
      </c>
      <c r="BK347" s="42">
        <f>+AVANCE[[#This Row],[FECHA TERMINO]]-AVANCE[[#This Row],[FECHA INICIO REAL]]</f>
        <v>0</v>
      </c>
    </row>
    <row r="348" spans="1:63" x14ac:dyDescent="0.25">
      <c r="A348" t="s">
        <v>1151</v>
      </c>
      <c r="B348" t="s">
        <v>1178</v>
      </c>
      <c r="C348">
        <v>2302600347</v>
      </c>
      <c r="D348" t="s">
        <v>831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46233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8" s="42">
        <f>+AVANCE[[#This Row],[FECHA TERMINO  PLANIFICADO]]-AVANCE[[#This Row],[FECHA INICIO TEORICO]]</f>
        <v>30</v>
      </c>
      <c r="BK348" s="42">
        <f>+AVANCE[[#This Row],[FECHA TERMINO]]-AVANCE[[#This Row],[FECHA INICIO REAL]]</f>
        <v>0</v>
      </c>
    </row>
    <row r="349" spans="1:63" x14ac:dyDescent="0.25">
      <c r="A349" t="s">
        <v>1151</v>
      </c>
      <c r="B349" t="s">
        <v>1179</v>
      </c>
      <c r="C349">
        <v>2282600348</v>
      </c>
      <c r="D349" t="s">
        <v>830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46233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9" s="42">
        <f>+AVANCE[[#This Row],[FECHA TERMINO  PLANIFICADO]]-AVANCE[[#This Row],[FECHA INICIO TEORICO]]</f>
        <v>20</v>
      </c>
      <c r="BK349" s="42">
        <f>+AVANCE[[#This Row],[FECHA TERMINO]]-AVANCE[[#This Row],[FECHA INICIO REAL]]</f>
        <v>0</v>
      </c>
    </row>
    <row r="350" spans="1:63" x14ac:dyDescent="0.25">
      <c r="A350" t="s">
        <v>1151</v>
      </c>
      <c r="B350" t="s">
        <v>1180</v>
      </c>
      <c r="C350">
        <v>2282600349</v>
      </c>
      <c r="D350" t="s">
        <v>830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46233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0" s="42">
        <f>+AVANCE[[#This Row],[FECHA TERMINO  PLANIFICADO]]-AVANCE[[#This Row],[FECHA INICIO TEORICO]]</f>
        <v>20</v>
      </c>
      <c r="BK350" s="42">
        <f>+AVANCE[[#This Row],[FECHA TERMINO]]-AVANCE[[#This Row],[FECHA INICIO REAL]]</f>
        <v>0</v>
      </c>
    </row>
    <row r="351" spans="1:63" x14ac:dyDescent="0.25">
      <c r="A351" t="s">
        <v>1151</v>
      </c>
      <c r="B351" t="s">
        <v>1181</v>
      </c>
      <c r="C351">
        <v>2302600350</v>
      </c>
      <c r="D351" t="s">
        <v>831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46233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1" s="42">
        <f>+AVANCE[[#This Row],[FECHA TERMINO  PLANIFICADO]]-AVANCE[[#This Row],[FECHA INICIO TEORICO]]</f>
        <v>30</v>
      </c>
      <c r="BK351" s="42">
        <f>+AVANCE[[#This Row],[FECHA TERMINO]]-AVANCE[[#This Row],[FECHA INICIO REAL]]</f>
        <v>0</v>
      </c>
    </row>
    <row r="352" spans="1:63" x14ac:dyDescent="0.25">
      <c r="A352" t="s">
        <v>1151</v>
      </c>
      <c r="B352" t="s">
        <v>1182</v>
      </c>
      <c r="C352">
        <v>2302600351</v>
      </c>
      <c r="D352" t="s">
        <v>831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46233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2" s="42">
        <f>+AVANCE[[#This Row],[FECHA TERMINO  PLANIFICADO]]-AVANCE[[#This Row],[FECHA INICIO TEORICO]]</f>
        <v>30</v>
      </c>
      <c r="BK352" s="42">
        <f>+AVANCE[[#This Row],[FECHA TERMINO]]-AVANCE[[#This Row],[FECHA INICIO REAL]]</f>
        <v>0</v>
      </c>
    </row>
    <row r="353" spans="1:63" x14ac:dyDescent="0.25">
      <c r="A353" t="s">
        <v>1151</v>
      </c>
      <c r="B353" t="s">
        <v>1183</v>
      </c>
      <c r="C353">
        <v>2282600352</v>
      </c>
      <c r="D353" t="s">
        <v>830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46233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3" s="42">
        <f>+AVANCE[[#This Row],[FECHA TERMINO  PLANIFICADO]]-AVANCE[[#This Row],[FECHA INICIO TEORICO]]</f>
        <v>20</v>
      </c>
      <c r="BK353" s="42">
        <f>+AVANCE[[#This Row],[FECHA TERMINO]]-AVANCE[[#This Row],[FECHA INICIO REAL]]</f>
        <v>0</v>
      </c>
    </row>
    <row r="354" spans="1:63" x14ac:dyDescent="0.25">
      <c r="A354" t="s">
        <v>1184</v>
      </c>
      <c r="B354" t="s">
        <v>1185</v>
      </c>
      <c r="C354">
        <v>2282600353</v>
      </c>
      <c r="D354" t="s">
        <v>830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46233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4" s="42">
        <f>+AVANCE[[#This Row],[FECHA TERMINO  PLANIFICADO]]-AVANCE[[#This Row],[FECHA INICIO TEORICO]]</f>
        <v>20</v>
      </c>
      <c r="BK354" s="42">
        <f>+AVANCE[[#This Row],[FECHA TERMINO]]-AVANCE[[#This Row],[FECHA INICIO REAL]]</f>
        <v>0</v>
      </c>
    </row>
    <row r="355" spans="1:63" x14ac:dyDescent="0.25">
      <c r="A355" t="s">
        <v>1184</v>
      </c>
      <c r="B355" t="s">
        <v>1186</v>
      </c>
      <c r="C355">
        <v>2302600354</v>
      </c>
      <c r="D355" t="s">
        <v>831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46233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5" s="42">
        <f>+AVANCE[[#This Row],[FECHA TERMINO  PLANIFICADO]]-AVANCE[[#This Row],[FECHA INICIO TEORICO]]</f>
        <v>30</v>
      </c>
      <c r="BK355" s="42">
        <f>+AVANCE[[#This Row],[FECHA TERMINO]]-AVANCE[[#This Row],[FECHA INICIO REAL]]</f>
        <v>0</v>
      </c>
    </row>
    <row r="356" spans="1:63" x14ac:dyDescent="0.25">
      <c r="A356" t="s">
        <v>1184</v>
      </c>
      <c r="B356" t="s">
        <v>1187</v>
      </c>
      <c r="C356">
        <v>2302600355</v>
      </c>
      <c r="D356" t="s">
        <v>831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46233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6" s="42">
        <f>+AVANCE[[#This Row],[FECHA TERMINO  PLANIFICADO]]-AVANCE[[#This Row],[FECHA INICIO TEORICO]]</f>
        <v>30</v>
      </c>
      <c r="BK356" s="42">
        <f>+AVANCE[[#This Row],[FECHA TERMINO]]-AVANCE[[#This Row],[FECHA INICIO REAL]]</f>
        <v>0</v>
      </c>
    </row>
    <row r="357" spans="1:63" x14ac:dyDescent="0.25">
      <c r="A357" t="s">
        <v>1184</v>
      </c>
      <c r="B357" t="s">
        <v>1188</v>
      </c>
      <c r="C357">
        <v>2282600356</v>
      </c>
      <c r="D357" t="s">
        <v>830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46233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7" s="42">
        <f>+AVANCE[[#This Row],[FECHA TERMINO  PLANIFICADO]]-AVANCE[[#This Row],[FECHA INICIO TEORICO]]</f>
        <v>20</v>
      </c>
      <c r="BK357" s="42">
        <f>+AVANCE[[#This Row],[FECHA TERMINO]]-AVANCE[[#This Row],[FECHA INICIO REAL]]</f>
        <v>0</v>
      </c>
    </row>
    <row r="358" spans="1:63" x14ac:dyDescent="0.25">
      <c r="A358" t="s">
        <v>1184</v>
      </c>
      <c r="B358" t="s">
        <v>1189</v>
      </c>
      <c r="C358">
        <v>2282600357</v>
      </c>
      <c r="D358" t="s">
        <v>830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46233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8" s="42">
        <f>+AVANCE[[#This Row],[FECHA TERMINO  PLANIFICADO]]-AVANCE[[#This Row],[FECHA INICIO TEORICO]]</f>
        <v>20</v>
      </c>
      <c r="BK358" s="42">
        <f>+AVANCE[[#This Row],[FECHA TERMINO]]-AVANCE[[#This Row],[FECHA INICIO REAL]]</f>
        <v>0</v>
      </c>
    </row>
    <row r="359" spans="1:63" x14ac:dyDescent="0.25">
      <c r="A359" t="s">
        <v>1184</v>
      </c>
      <c r="B359" t="s">
        <v>1190</v>
      </c>
      <c r="C359">
        <v>2302600358</v>
      </c>
      <c r="D359" t="s">
        <v>831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46233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9" s="42">
        <f>+AVANCE[[#This Row],[FECHA TERMINO  PLANIFICADO]]-AVANCE[[#This Row],[FECHA INICIO TEORICO]]</f>
        <v>30</v>
      </c>
      <c r="BK359" s="42">
        <f>+AVANCE[[#This Row],[FECHA TERMINO]]-AVANCE[[#This Row],[FECHA INICIO REAL]]</f>
        <v>0</v>
      </c>
    </row>
    <row r="360" spans="1:63" x14ac:dyDescent="0.25">
      <c r="A360" t="s">
        <v>1184</v>
      </c>
      <c r="B360" t="s">
        <v>1191</v>
      </c>
      <c r="C360">
        <v>2302600359</v>
      </c>
      <c r="D360" t="s">
        <v>831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46233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0" s="42">
        <f>+AVANCE[[#This Row],[FECHA TERMINO  PLANIFICADO]]-AVANCE[[#This Row],[FECHA INICIO TEORICO]]</f>
        <v>30</v>
      </c>
      <c r="BK360" s="42">
        <f>+AVANCE[[#This Row],[FECHA TERMINO]]-AVANCE[[#This Row],[FECHA INICIO REAL]]</f>
        <v>0</v>
      </c>
    </row>
    <row r="361" spans="1:63" x14ac:dyDescent="0.25">
      <c r="A361" t="s">
        <v>1184</v>
      </c>
      <c r="B361" t="s">
        <v>1192</v>
      </c>
      <c r="C361">
        <v>2282600360</v>
      </c>
      <c r="D361" t="s">
        <v>830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46233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1" s="42">
        <f>+AVANCE[[#This Row],[FECHA TERMINO  PLANIFICADO]]-AVANCE[[#This Row],[FECHA INICIO TEORICO]]</f>
        <v>20</v>
      </c>
      <c r="BK361" s="42">
        <f>+AVANCE[[#This Row],[FECHA TERMINO]]-AVANCE[[#This Row],[FECHA INICIO REAL]]</f>
        <v>0</v>
      </c>
    </row>
    <row r="362" spans="1:63" x14ac:dyDescent="0.25">
      <c r="A362" t="s">
        <v>1184</v>
      </c>
      <c r="B362" t="s">
        <v>1193</v>
      </c>
      <c r="C362">
        <v>2282600361</v>
      </c>
      <c r="D362" t="s">
        <v>830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46233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2" s="42">
        <f>+AVANCE[[#This Row],[FECHA TERMINO  PLANIFICADO]]-AVANCE[[#This Row],[FECHA INICIO TEORICO]]</f>
        <v>20</v>
      </c>
      <c r="BK362" s="42">
        <f>+AVANCE[[#This Row],[FECHA TERMINO]]-AVANCE[[#This Row],[FECHA INICIO REAL]]</f>
        <v>0</v>
      </c>
    </row>
    <row r="363" spans="1:63" x14ac:dyDescent="0.25">
      <c r="A363" t="s">
        <v>1184</v>
      </c>
      <c r="B363" t="s">
        <v>1194</v>
      </c>
      <c r="C363">
        <v>2302600362</v>
      </c>
      <c r="D363" t="s">
        <v>831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46233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3" s="42">
        <f>+AVANCE[[#This Row],[FECHA TERMINO  PLANIFICADO]]-AVANCE[[#This Row],[FECHA INICIO TEORICO]]</f>
        <v>30</v>
      </c>
      <c r="BK363" s="42">
        <f>+AVANCE[[#This Row],[FECHA TERMINO]]-AVANCE[[#This Row],[FECHA INICIO REAL]]</f>
        <v>0</v>
      </c>
    </row>
    <row r="364" spans="1:63" x14ac:dyDescent="0.25">
      <c r="A364" t="s">
        <v>1184</v>
      </c>
      <c r="B364" t="s">
        <v>1195</v>
      </c>
      <c r="C364">
        <v>2302600363</v>
      </c>
      <c r="D364" t="s">
        <v>831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46233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4" s="42">
        <f>+AVANCE[[#This Row],[FECHA TERMINO  PLANIFICADO]]-AVANCE[[#This Row],[FECHA INICIO TEORICO]]</f>
        <v>30</v>
      </c>
      <c r="BK364" s="42">
        <f>+AVANCE[[#This Row],[FECHA TERMINO]]-AVANCE[[#This Row],[FECHA INICIO REAL]]</f>
        <v>0</v>
      </c>
    </row>
    <row r="365" spans="1:63" x14ac:dyDescent="0.25">
      <c r="A365" t="s">
        <v>1184</v>
      </c>
      <c r="B365" t="s">
        <v>1196</v>
      </c>
      <c r="C365">
        <v>2282600364</v>
      </c>
      <c r="D365" t="s">
        <v>830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46233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5" s="42">
        <f>+AVANCE[[#This Row],[FECHA TERMINO  PLANIFICADO]]-AVANCE[[#This Row],[FECHA INICIO TEORICO]]</f>
        <v>20</v>
      </c>
      <c r="BK365" s="42">
        <f>+AVANCE[[#This Row],[FECHA TERMINO]]-AVANCE[[#This Row],[FECHA INICIO REAL]]</f>
        <v>0</v>
      </c>
    </row>
    <row r="366" spans="1:63" x14ac:dyDescent="0.25">
      <c r="A366" t="s">
        <v>1184</v>
      </c>
      <c r="B366" t="s">
        <v>1197</v>
      </c>
      <c r="C366">
        <v>2282600365</v>
      </c>
      <c r="D366" t="s">
        <v>830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46233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6" s="42">
        <f>+AVANCE[[#This Row],[FECHA TERMINO  PLANIFICADO]]-AVANCE[[#This Row],[FECHA INICIO TEORICO]]</f>
        <v>20</v>
      </c>
      <c r="BK366" s="42">
        <f>+AVANCE[[#This Row],[FECHA TERMINO]]-AVANCE[[#This Row],[FECHA INICIO REAL]]</f>
        <v>0</v>
      </c>
    </row>
    <row r="367" spans="1:63" x14ac:dyDescent="0.25">
      <c r="A367" t="s">
        <v>1184</v>
      </c>
      <c r="B367" t="s">
        <v>1198</v>
      </c>
      <c r="C367">
        <v>2302600366</v>
      </c>
      <c r="D367" t="s">
        <v>831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46233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7" s="42">
        <f>+AVANCE[[#This Row],[FECHA TERMINO  PLANIFICADO]]-AVANCE[[#This Row],[FECHA INICIO TEORICO]]</f>
        <v>30</v>
      </c>
      <c r="BK367" s="42">
        <f>+AVANCE[[#This Row],[FECHA TERMINO]]-AVANCE[[#This Row],[FECHA INICIO REAL]]</f>
        <v>0</v>
      </c>
    </row>
    <row r="368" spans="1:63" x14ac:dyDescent="0.25">
      <c r="A368" t="s">
        <v>1184</v>
      </c>
      <c r="B368" t="s">
        <v>1199</v>
      </c>
      <c r="C368">
        <v>2302600367</v>
      </c>
      <c r="D368" t="s">
        <v>831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46233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8" s="42">
        <f>+AVANCE[[#This Row],[FECHA TERMINO  PLANIFICADO]]-AVANCE[[#This Row],[FECHA INICIO TEORICO]]</f>
        <v>30</v>
      </c>
      <c r="BK368" s="42">
        <f>+AVANCE[[#This Row],[FECHA TERMINO]]-AVANCE[[#This Row],[FECHA INICIO REAL]]</f>
        <v>0</v>
      </c>
    </row>
    <row r="369" spans="1:63" x14ac:dyDescent="0.25">
      <c r="A369" t="s">
        <v>1184</v>
      </c>
      <c r="B369" t="s">
        <v>1200</v>
      </c>
      <c r="C369">
        <v>2282600368</v>
      </c>
      <c r="D369" t="s">
        <v>830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46233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9" s="42">
        <f>+AVANCE[[#This Row],[FECHA TERMINO  PLANIFICADO]]-AVANCE[[#This Row],[FECHA INICIO TEORICO]]</f>
        <v>20</v>
      </c>
      <c r="BK369" s="42">
        <f>+AVANCE[[#This Row],[FECHA TERMINO]]-AVANCE[[#This Row],[FECHA INICIO REAL]]</f>
        <v>0</v>
      </c>
    </row>
    <row r="370" spans="1:63" x14ac:dyDescent="0.25">
      <c r="A370" t="s">
        <v>1184</v>
      </c>
      <c r="B370" t="s">
        <v>1201</v>
      </c>
      <c r="C370">
        <v>2282600369</v>
      </c>
      <c r="D370" t="s">
        <v>830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46233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0" s="42">
        <f>+AVANCE[[#This Row],[FECHA TERMINO  PLANIFICADO]]-AVANCE[[#This Row],[FECHA INICIO TEORICO]]</f>
        <v>20</v>
      </c>
      <c r="BK370" s="42">
        <f>+AVANCE[[#This Row],[FECHA TERMINO]]-AVANCE[[#This Row],[FECHA INICIO REAL]]</f>
        <v>0</v>
      </c>
    </row>
    <row r="371" spans="1:63" x14ac:dyDescent="0.25">
      <c r="A371" t="s">
        <v>1184</v>
      </c>
      <c r="B371" t="s">
        <v>1202</v>
      </c>
      <c r="C371">
        <v>2302600370</v>
      </c>
      <c r="D371" t="s">
        <v>831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46233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1" s="42">
        <f>+AVANCE[[#This Row],[FECHA TERMINO  PLANIFICADO]]-AVANCE[[#This Row],[FECHA INICIO TEORICO]]</f>
        <v>30</v>
      </c>
      <c r="BK371" s="42">
        <f>+AVANCE[[#This Row],[FECHA TERMINO]]-AVANCE[[#This Row],[FECHA INICIO REAL]]</f>
        <v>0</v>
      </c>
    </row>
    <row r="372" spans="1:63" x14ac:dyDescent="0.25">
      <c r="A372" t="s">
        <v>1184</v>
      </c>
      <c r="B372" t="s">
        <v>1203</v>
      </c>
      <c r="C372">
        <v>2302600371</v>
      </c>
      <c r="D372" t="s">
        <v>831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46233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2" s="42">
        <f>+AVANCE[[#This Row],[FECHA TERMINO  PLANIFICADO]]-AVANCE[[#This Row],[FECHA INICIO TEORICO]]</f>
        <v>30</v>
      </c>
      <c r="BK372" s="42">
        <f>+AVANCE[[#This Row],[FECHA TERMINO]]-AVANCE[[#This Row],[FECHA INICIO REAL]]</f>
        <v>0</v>
      </c>
    </row>
    <row r="373" spans="1:63" x14ac:dyDescent="0.25">
      <c r="A373" t="s">
        <v>1184</v>
      </c>
      <c r="B373" t="s">
        <v>1204</v>
      </c>
      <c r="C373">
        <v>2282600372</v>
      </c>
      <c r="D373" t="s">
        <v>830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46233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3" s="42">
        <f>+AVANCE[[#This Row],[FECHA TERMINO  PLANIFICADO]]-AVANCE[[#This Row],[FECHA INICIO TEORICO]]</f>
        <v>20</v>
      </c>
      <c r="BK373" s="42">
        <f>+AVANCE[[#This Row],[FECHA TERMINO]]-AVANCE[[#This Row],[FECHA INICIO REAL]]</f>
        <v>0</v>
      </c>
    </row>
    <row r="374" spans="1:63" x14ac:dyDescent="0.25">
      <c r="A374" t="s">
        <v>1184</v>
      </c>
      <c r="B374" t="s">
        <v>1205</v>
      </c>
      <c r="C374">
        <v>2282600373</v>
      </c>
      <c r="D374" t="s">
        <v>830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46233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4" s="42">
        <f>+AVANCE[[#This Row],[FECHA TERMINO  PLANIFICADO]]-AVANCE[[#This Row],[FECHA INICIO TEORICO]]</f>
        <v>20</v>
      </c>
      <c r="BK374" s="42">
        <f>+AVANCE[[#This Row],[FECHA TERMINO]]-AVANCE[[#This Row],[FECHA INICIO REAL]]</f>
        <v>0</v>
      </c>
    </row>
    <row r="375" spans="1:63" x14ac:dyDescent="0.25">
      <c r="A375" t="s">
        <v>1184</v>
      </c>
      <c r="B375" t="s">
        <v>1206</v>
      </c>
      <c r="C375">
        <v>2302600374</v>
      </c>
      <c r="D375" t="s">
        <v>831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46233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5" s="42">
        <f>+AVANCE[[#This Row],[FECHA TERMINO  PLANIFICADO]]-AVANCE[[#This Row],[FECHA INICIO TEORICO]]</f>
        <v>30</v>
      </c>
      <c r="BK375" s="42">
        <f>+AVANCE[[#This Row],[FECHA TERMINO]]-AVANCE[[#This Row],[FECHA INICIO REAL]]</f>
        <v>0</v>
      </c>
    </row>
    <row r="376" spans="1:63" x14ac:dyDescent="0.25">
      <c r="A376" t="s">
        <v>1184</v>
      </c>
      <c r="B376" t="s">
        <v>1207</v>
      </c>
      <c r="C376">
        <v>2302600375</v>
      </c>
      <c r="D376" t="s">
        <v>831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46233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6" s="42">
        <f>+AVANCE[[#This Row],[FECHA TERMINO  PLANIFICADO]]-AVANCE[[#This Row],[FECHA INICIO TEORICO]]</f>
        <v>30</v>
      </c>
      <c r="BK376" s="42">
        <f>+AVANCE[[#This Row],[FECHA TERMINO]]-AVANCE[[#This Row],[FECHA INICIO REAL]]</f>
        <v>0</v>
      </c>
    </row>
    <row r="377" spans="1:63" x14ac:dyDescent="0.25">
      <c r="A377" t="s">
        <v>1184</v>
      </c>
      <c r="B377" t="s">
        <v>1208</v>
      </c>
      <c r="C377">
        <v>2282600376</v>
      </c>
      <c r="D377" t="s">
        <v>830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46233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7" s="42">
        <f>+AVANCE[[#This Row],[FECHA TERMINO  PLANIFICADO]]-AVANCE[[#This Row],[FECHA INICIO TEORICO]]</f>
        <v>20</v>
      </c>
      <c r="BK377" s="42">
        <f>+AVANCE[[#This Row],[FECHA TERMINO]]-AVANCE[[#This Row],[FECHA INICIO REAL]]</f>
        <v>0</v>
      </c>
    </row>
    <row r="378" spans="1:63" x14ac:dyDescent="0.25">
      <c r="A378" t="s">
        <v>1184</v>
      </c>
      <c r="B378" t="s">
        <v>1209</v>
      </c>
      <c r="C378">
        <v>2282600377</v>
      </c>
      <c r="D378" t="s">
        <v>830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46233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8" s="42">
        <f>+AVANCE[[#This Row],[FECHA TERMINO  PLANIFICADO]]-AVANCE[[#This Row],[FECHA INICIO TEORICO]]</f>
        <v>20</v>
      </c>
      <c r="BK378" s="42">
        <f>+AVANCE[[#This Row],[FECHA TERMINO]]-AVANCE[[#This Row],[FECHA INICIO REAL]]</f>
        <v>0</v>
      </c>
    </row>
    <row r="379" spans="1:63" x14ac:dyDescent="0.25">
      <c r="A379" t="s">
        <v>1184</v>
      </c>
      <c r="B379" t="s">
        <v>1210</v>
      </c>
      <c r="C379">
        <v>2302600378</v>
      </c>
      <c r="D379" t="s">
        <v>831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46233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9" s="42">
        <f>+AVANCE[[#This Row],[FECHA TERMINO  PLANIFICADO]]-AVANCE[[#This Row],[FECHA INICIO TEORICO]]</f>
        <v>30</v>
      </c>
      <c r="BK379" s="42">
        <f>+AVANCE[[#This Row],[FECHA TERMINO]]-AVANCE[[#This Row],[FECHA INICIO REAL]]</f>
        <v>0</v>
      </c>
    </row>
    <row r="380" spans="1:63" x14ac:dyDescent="0.25">
      <c r="A380" t="s">
        <v>1184</v>
      </c>
      <c r="B380" t="s">
        <v>1211</v>
      </c>
      <c r="C380">
        <v>2302600379</v>
      </c>
      <c r="D380" t="s">
        <v>831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46233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0" s="42">
        <f>+AVANCE[[#This Row],[FECHA TERMINO  PLANIFICADO]]-AVANCE[[#This Row],[FECHA INICIO TEORICO]]</f>
        <v>30</v>
      </c>
      <c r="BK380" s="42">
        <f>+AVANCE[[#This Row],[FECHA TERMINO]]-AVANCE[[#This Row],[FECHA INICIO REAL]]</f>
        <v>0</v>
      </c>
    </row>
    <row r="381" spans="1:63" x14ac:dyDescent="0.25">
      <c r="A381" t="s">
        <v>1184</v>
      </c>
      <c r="B381" t="s">
        <v>1212</v>
      </c>
      <c r="C381">
        <v>2282600380</v>
      </c>
      <c r="D381" t="s">
        <v>830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46233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1" s="42">
        <f>+AVANCE[[#This Row],[FECHA TERMINO  PLANIFICADO]]-AVANCE[[#This Row],[FECHA INICIO TEORICO]]</f>
        <v>20</v>
      </c>
      <c r="BK381" s="42">
        <f>+AVANCE[[#This Row],[FECHA TERMINO]]-AVANCE[[#This Row],[FECHA INICIO REAL]]</f>
        <v>0</v>
      </c>
    </row>
    <row r="382" spans="1:63" x14ac:dyDescent="0.25">
      <c r="A382" t="s">
        <v>1184</v>
      </c>
      <c r="B382" t="s">
        <v>1213</v>
      </c>
      <c r="C382">
        <v>2282600381</v>
      </c>
      <c r="D382" t="s">
        <v>830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46233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2" s="42">
        <f>+AVANCE[[#This Row],[FECHA TERMINO  PLANIFICADO]]-AVANCE[[#This Row],[FECHA INICIO TEORICO]]</f>
        <v>20</v>
      </c>
      <c r="BK382" s="42">
        <f>+AVANCE[[#This Row],[FECHA TERMINO]]-AVANCE[[#This Row],[FECHA INICIO REAL]]</f>
        <v>0</v>
      </c>
    </row>
    <row r="383" spans="1:63" x14ac:dyDescent="0.25">
      <c r="A383" t="s">
        <v>1184</v>
      </c>
      <c r="B383" t="s">
        <v>1214</v>
      </c>
      <c r="C383">
        <v>2302600382</v>
      </c>
      <c r="D383" t="s">
        <v>831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46233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3" s="42">
        <f>+AVANCE[[#This Row],[FECHA TERMINO  PLANIFICADO]]-AVANCE[[#This Row],[FECHA INICIO TEORICO]]</f>
        <v>30</v>
      </c>
      <c r="BK383" s="42">
        <f>+AVANCE[[#This Row],[FECHA TERMINO]]-AVANCE[[#This Row],[FECHA INICIO REAL]]</f>
        <v>0</v>
      </c>
    </row>
    <row r="384" spans="1:63" x14ac:dyDescent="0.25">
      <c r="A384" t="s">
        <v>1184</v>
      </c>
      <c r="B384" t="s">
        <v>1215</v>
      </c>
      <c r="C384">
        <v>2302600383</v>
      </c>
      <c r="D384" t="s">
        <v>831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46233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4" s="42">
        <f>+AVANCE[[#This Row],[FECHA TERMINO  PLANIFICADO]]-AVANCE[[#This Row],[FECHA INICIO TEORICO]]</f>
        <v>30</v>
      </c>
      <c r="BK384" s="42">
        <f>+AVANCE[[#This Row],[FECHA TERMINO]]-AVANCE[[#This Row],[FECHA INICIO REAL]]</f>
        <v>0</v>
      </c>
    </row>
    <row r="385" spans="1:63" x14ac:dyDescent="0.25">
      <c r="A385" t="s">
        <v>1184</v>
      </c>
      <c r="B385" t="s">
        <v>1216</v>
      </c>
      <c r="C385">
        <v>2282600384</v>
      </c>
      <c r="D385" t="s">
        <v>830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46233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5" s="42">
        <f>+AVANCE[[#This Row],[FECHA TERMINO  PLANIFICADO]]-AVANCE[[#This Row],[FECHA INICIO TEORICO]]</f>
        <v>20</v>
      </c>
      <c r="BK385" s="42">
        <f>+AVANCE[[#This Row],[FECHA TERMINO]]-AVANCE[[#This Row],[FECHA INICIO REAL]]</f>
        <v>0</v>
      </c>
    </row>
    <row r="386" spans="1:63" x14ac:dyDescent="0.25">
      <c r="A386" t="s">
        <v>1217</v>
      </c>
      <c r="B386" t="s">
        <v>1218</v>
      </c>
      <c r="C386">
        <v>2282600385</v>
      </c>
      <c r="D386" t="s">
        <v>830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46233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6" s="42">
        <f>+AVANCE[[#This Row],[FECHA TERMINO  PLANIFICADO]]-AVANCE[[#This Row],[FECHA INICIO TEORICO]]</f>
        <v>20</v>
      </c>
      <c r="BK386" s="42">
        <f>+AVANCE[[#This Row],[FECHA TERMINO]]-AVANCE[[#This Row],[FECHA INICIO REAL]]</f>
        <v>0</v>
      </c>
    </row>
    <row r="387" spans="1:63" x14ac:dyDescent="0.25">
      <c r="A387" t="s">
        <v>1217</v>
      </c>
      <c r="B387" t="s">
        <v>1219</v>
      </c>
      <c r="C387">
        <v>2302600386</v>
      </c>
      <c r="D387" t="s">
        <v>831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46233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7" s="42">
        <f>+AVANCE[[#This Row],[FECHA TERMINO  PLANIFICADO]]-AVANCE[[#This Row],[FECHA INICIO TEORICO]]</f>
        <v>30</v>
      </c>
      <c r="BK387" s="42">
        <f>+AVANCE[[#This Row],[FECHA TERMINO]]-AVANCE[[#This Row],[FECHA INICIO REAL]]</f>
        <v>0</v>
      </c>
    </row>
    <row r="388" spans="1:63" x14ac:dyDescent="0.25">
      <c r="A388" t="s">
        <v>1217</v>
      </c>
      <c r="B388" t="s">
        <v>1220</v>
      </c>
      <c r="C388">
        <v>2302600387</v>
      </c>
      <c r="D388" t="s">
        <v>831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46233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8" s="42">
        <f>+AVANCE[[#This Row],[FECHA TERMINO  PLANIFICADO]]-AVANCE[[#This Row],[FECHA INICIO TEORICO]]</f>
        <v>30</v>
      </c>
      <c r="BK388" s="42">
        <f>+AVANCE[[#This Row],[FECHA TERMINO]]-AVANCE[[#This Row],[FECHA INICIO REAL]]</f>
        <v>0</v>
      </c>
    </row>
    <row r="389" spans="1:63" x14ac:dyDescent="0.25">
      <c r="A389" t="s">
        <v>1217</v>
      </c>
      <c r="B389" t="s">
        <v>1221</v>
      </c>
      <c r="C389">
        <v>2282600388</v>
      </c>
      <c r="D389" t="s">
        <v>830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46233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9" s="42">
        <f>+AVANCE[[#This Row],[FECHA TERMINO  PLANIFICADO]]-AVANCE[[#This Row],[FECHA INICIO TEORICO]]</f>
        <v>20</v>
      </c>
      <c r="BK389" s="42">
        <f>+AVANCE[[#This Row],[FECHA TERMINO]]-AVANCE[[#This Row],[FECHA INICIO REAL]]</f>
        <v>0</v>
      </c>
    </row>
    <row r="390" spans="1:63" x14ac:dyDescent="0.25">
      <c r="A390" t="s">
        <v>1217</v>
      </c>
      <c r="B390" t="s">
        <v>1222</v>
      </c>
      <c r="C390">
        <v>2282600389</v>
      </c>
      <c r="D390" t="s">
        <v>830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46233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0" s="42">
        <f>+AVANCE[[#This Row],[FECHA TERMINO  PLANIFICADO]]-AVANCE[[#This Row],[FECHA INICIO TEORICO]]</f>
        <v>20</v>
      </c>
      <c r="BK390" s="42">
        <f>+AVANCE[[#This Row],[FECHA TERMINO]]-AVANCE[[#This Row],[FECHA INICIO REAL]]</f>
        <v>0</v>
      </c>
    </row>
    <row r="391" spans="1:63" x14ac:dyDescent="0.25">
      <c r="A391" t="s">
        <v>1217</v>
      </c>
      <c r="B391" t="s">
        <v>1223</v>
      </c>
      <c r="C391">
        <v>2302600390</v>
      </c>
      <c r="D391" t="s">
        <v>831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46233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1" s="42">
        <f>+AVANCE[[#This Row],[FECHA TERMINO  PLANIFICADO]]-AVANCE[[#This Row],[FECHA INICIO TEORICO]]</f>
        <v>30</v>
      </c>
      <c r="BK391" s="42">
        <f>+AVANCE[[#This Row],[FECHA TERMINO]]-AVANCE[[#This Row],[FECHA INICIO REAL]]</f>
        <v>0</v>
      </c>
    </row>
    <row r="392" spans="1:63" x14ac:dyDescent="0.25">
      <c r="A392" t="s">
        <v>1217</v>
      </c>
      <c r="B392" t="s">
        <v>1224</v>
      </c>
      <c r="C392">
        <v>2302600391</v>
      </c>
      <c r="D392" t="s">
        <v>831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46233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2" s="42">
        <f>+AVANCE[[#This Row],[FECHA TERMINO  PLANIFICADO]]-AVANCE[[#This Row],[FECHA INICIO TEORICO]]</f>
        <v>30</v>
      </c>
      <c r="BK392" s="42">
        <f>+AVANCE[[#This Row],[FECHA TERMINO]]-AVANCE[[#This Row],[FECHA INICIO REAL]]</f>
        <v>0</v>
      </c>
    </row>
    <row r="393" spans="1:63" x14ac:dyDescent="0.25">
      <c r="A393" t="s">
        <v>1217</v>
      </c>
      <c r="B393" t="s">
        <v>1225</v>
      </c>
      <c r="C393">
        <v>2282600392</v>
      </c>
      <c r="D393" t="s">
        <v>830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46233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3" s="42">
        <f>+AVANCE[[#This Row],[FECHA TERMINO  PLANIFICADO]]-AVANCE[[#This Row],[FECHA INICIO TEORICO]]</f>
        <v>20</v>
      </c>
      <c r="BK393" s="42">
        <f>+AVANCE[[#This Row],[FECHA TERMINO]]-AVANCE[[#This Row],[FECHA INICIO REAL]]</f>
        <v>0</v>
      </c>
    </row>
    <row r="394" spans="1:63" x14ac:dyDescent="0.25">
      <c r="A394" t="s">
        <v>1217</v>
      </c>
      <c r="B394" t="s">
        <v>1226</v>
      </c>
      <c r="C394">
        <v>2282600393</v>
      </c>
      <c r="D394" t="s">
        <v>830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46233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4" s="42">
        <f>+AVANCE[[#This Row],[FECHA TERMINO  PLANIFICADO]]-AVANCE[[#This Row],[FECHA INICIO TEORICO]]</f>
        <v>20</v>
      </c>
      <c r="BK394" s="42">
        <f>+AVANCE[[#This Row],[FECHA TERMINO]]-AVANCE[[#This Row],[FECHA INICIO REAL]]</f>
        <v>0</v>
      </c>
    </row>
    <row r="395" spans="1:63" x14ac:dyDescent="0.25">
      <c r="A395" t="s">
        <v>1217</v>
      </c>
      <c r="B395" t="s">
        <v>1227</v>
      </c>
      <c r="C395">
        <v>2302600394</v>
      </c>
      <c r="D395" t="s">
        <v>831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46233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5" s="42">
        <f>+AVANCE[[#This Row],[FECHA TERMINO  PLANIFICADO]]-AVANCE[[#This Row],[FECHA INICIO TEORICO]]</f>
        <v>30</v>
      </c>
      <c r="BK395" s="42">
        <f>+AVANCE[[#This Row],[FECHA TERMINO]]-AVANCE[[#This Row],[FECHA INICIO REAL]]</f>
        <v>0</v>
      </c>
    </row>
    <row r="396" spans="1:63" x14ac:dyDescent="0.25">
      <c r="A396" t="s">
        <v>1217</v>
      </c>
      <c r="B396" t="s">
        <v>1228</v>
      </c>
      <c r="C396">
        <v>2302600395</v>
      </c>
      <c r="D396" t="s">
        <v>831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46233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6" s="42">
        <f>+AVANCE[[#This Row],[FECHA TERMINO  PLANIFICADO]]-AVANCE[[#This Row],[FECHA INICIO TEORICO]]</f>
        <v>30</v>
      </c>
      <c r="BK396" s="42">
        <f>+AVANCE[[#This Row],[FECHA TERMINO]]-AVANCE[[#This Row],[FECHA INICIO REAL]]</f>
        <v>0</v>
      </c>
    </row>
    <row r="397" spans="1:63" x14ac:dyDescent="0.25">
      <c r="A397" t="s">
        <v>1217</v>
      </c>
      <c r="B397" t="s">
        <v>1229</v>
      </c>
      <c r="C397">
        <v>2282600396</v>
      </c>
      <c r="D397" t="s">
        <v>830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46233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7" s="42">
        <f>+AVANCE[[#This Row],[FECHA TERMINO  PLANIFICADO]]-AVANCE[[#This Row],[FECHA INICIO TEORICO]]</f>
        <v>20</v>
      </c>
      <c r="BK397" s="42">
        <f>+AVANCE[[#This Row],[FECHA TERMINO]]-AVANCE[[#This Row],[FECHA INICIO REAL]]</f>
        <v>0</v>
      </c>
    </row>
    <row r="398" spans="1:63" x14ac:dyDescent="0.25">
      <c r="A398" t="s">
        <v>1217</v>
      </c>
      <c r="B398" t="s">
        <v>1230</v>
      </c>
      <c r="C398">
        <v>2282600397</v>
      </c>
      <c r="D398" t="s">
        <v>830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46233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8" s="42">
        <f>+AVANCE[[#This Row],[FECHA TERMINO  PLANIFICADO]]-AVANCE[[#This Row],[FECHA INICIO TEORICO]]</f>
        <v>20</v>
      </c>
      <c r="BK398" s="42">
        <f>+AVANCE[[#This Row],[FECHA TERMINO]]-AVANCE[[#This Row],[FECHA INICIO REAL]]</f>
        <v>0</v>
      </c>
    </row>
    <row r="399" spans="1:63" x14ac:dyDescent="0.25">
      <c r="A399" t="s">
        <v>1217</v>
      </c>
      <c r="B399" t="s">
        <v>1231</v>
      </c>
      <c r="C399">
        <v>2302600398</v>
      </c>
      <c r="D399" t="s">
        <v>831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46233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9" s="42">
        <f>+AVANCE[[#This Row],[FECHA TERMINO  PLANIFICADO]]-AVANCE[[#This Row],[FECHA INICIO TEORICO]]</f>
        <v>30</v>
      </c>
      <c r="BK399" s="42">
        <f>+AVANCE[[#This Row],[FECHA TERMINO]]-AVANCE[[#This Row],[FECHA INICIO REAL]]</f>
        <v>0</v>
      </c>
    </row>
    <row r="400" spans="1:63" x14ac:dyDescent="0.25">
      <c r="A400" t="s">
        <v>1217</v>
      </c>
      <c r="B400" t="s">
        <v>1232</v>
      </c>
      <c r="C400">
        <v>2302600399</v>
      </c>
      <c r="D400" t="s">
        <v>831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46233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0" s="42">
        <f>+AVANCE[[#This Row],[FECHA TERMINO  PLANIFICADO]]-AVANCE[[#This Row],[FECHA INICIO TEORICO]]</f>
        <v>30</v>
      </c>
      <c r="BK400" s="42">
        <f>+AVANCE[[#This Row],[FECHA TERMINO]]-AVANCE[[#This Row],[FECHA INICIO REAL]]</f>
        <v>0</v>
      </c>
    </row>
    <row r="401" spans="1:63" x14ac:dyDescent="0.25">
      <c r="A401" t="s">
        <v>1217</v>
      </c>
      <c r="B401" t="s">
        <v>1233</v>
      </c>
      <c r="C401">
        <v>2282600400</v>
      </c>
      <c r="D401" t="s">
        <v>830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46233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1" s="42">
        <f>+AVANCE[[#This Row],[FECHA TERMINO  PLANIFICADO]]-AVANCE[[#This Row],[FECHA INICIO TEORICO]]</f>
        <v>20</v>
      </c>
      <c r="BK401" s="42">
        <f>+AVANCE[[#This Row],[FECHA TERMINO]]-AVANCE[[#This Row],[FECHA INICIO REAL]]</f>
        <v>0</v>
      </c>
    </row>
    <row r="402" spans="1:63" x14ac:dyDescent="0.25">
      <c r="A402" t="s">
        <v>1217</v>
      </c>
      <c r="B402" t="s">
        <v>1234</v>
      </c>
      <c r="C402">
        <v>2282600401</v>
      </c>
      <c r="D402" t="s">
        <v>830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46233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2" s="42">
        <f>+AVANCE[[#This Row],[FECHA TERMINO  PLANIFICADO]]-AVANCE[[#This Row],[FECHA INICIO TEORICO]]</f>
        <v>20</v>
      </c>
      <c r="BK402" s="42">
        <f>+AVANCE[[#This Row],[FECHA TERMINO]]-AVANCE[[#This Row],[FECHA INICIO REAL]]</f>
        <v>0</v>
      </c>
    </row>
    <row r="403" spans="1:63" x14ac:dyDescent="0.25">
      <c r="A403" t="s">
        <v>1217</v>
      </c>
      <c r="B403" t="s">
        <v>1235</v>
      </c>
      <c r="C403">
        <v>2302600402</v>
      </c>
      <c r="D403" t="s">
        <v>831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46233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3" s="42">
        <f>+AVANCE[[#This Row],[FECHA TERMINO  PLANIFICADO]]-AVANCE[[#This Row],[FECHA INICIO TEORICO]]</f>
        <v>30</v>
      </c>
      <c r="BK403" s="42">
        <f>+AVANCE[[#This Row],[FECHA TERMINO]]-AVANCE[[#This Row],[FECHA INICIO REAL]]</f>
        <v>0</v>
      </c>
    </row>
    <row r="404" spans="1:63" x14ac:dyDescent="0.25">
      <c r="A404" t="s">
        <v>1217</v>
      </c>
      <c r="B404" t="s">
        <v>1236</v>
      </c>
      <c r="C404">
        <v>2302600403</v>
      </c>
      <c r="D404" t="s">
        <v>831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46233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4" s="42">
        <f>+AVANCE[[#This Row],[FECHA TERMINO  PLANIFICADO]]-AVANCE[[#This Row],[FECHA INICIO TEORICO]]</f>
        <v>30</v>
      </c>
      <c r="BK404" s="42">
        <f>+AVANCE[[#This Row],[FECHA TERMINO]]-AVANCE[[#This Row],[FECHA INICIO REAL]]</f>
        <v>0</v>
      </c>
    </row>
    <row r="405" spans="1:63" x14ac:dyDescent="0.25">
      <c r="A405" t="s">
        <v>1217</v>
      </c>
      <c r="B405" t="s">
        <v>1237</v>
      </c>
      <c r="C405">
        <v>2282600404</v>
      </c>
      <c r="D405" t="s">
        <v>830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46233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5" s="42">
        <f>+AVANCE[[#This Row],[FECHA TERMINO  PLANIFICADO]]-AVANCE[[#This Row],[FECHA INICIO TEORICO]]</f>
        <v>20</v>
      </c>
      <c r="BK405" s="42">
        <f>+AVANCE[[#This Row],[FECHA TERMINO]]-AVANCE[[#This Row],[FECHA INICIO REAL]]</f>
        <v>0</v>
      </c>
    </row>
    <row r="406" spans="1:63" x14ac:dyDescent="0.25">
      <c r="A406" t="s">
        <v>1217</v>
      </c>
      <c r="B406" t="s">
        <v>1238</v>
      </c>
      <c r="C406">
        <v>2282600405</v>
      </c>
      <c r="D406" t="s">
        <v>830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46233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6" s="42">
        <f>+AVANCE[[#This Row],[FECHA TERMINO  PLANIFICADO]]-AVANCE[[#This Row],[FECHA INICIO TEORICO]]</f>
        <v>20</v>
      </c>
      <c r="BK406" s="42">
        <f>+AVANCE[[#This Row],[FECHA TERMINO]]-AVANCE[[#This Row],[FECHA INICIO REAL]]</f>
        <v>0</v>
      </c>
    </row>
    <row r="407" spans="1:63" x14ac:dyDescent="0.25">
      <c r="A407" t="s">
        <v>1217</v>
      </c>
      <c r="B407" t="s">
        <v>1239</v>
      </c>
      <c r="C407">
        <v>2302600406</v>
      </c>
      <c r="D407" t="s">
        <v>831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46233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7" s="42">
        <f>+AVANCE[[#This Row],[FECHA TERMINO  PLANIFICADO]]-AVANCE[[#This Row],[FECHA INICIO TEORICO]]</f>
        <v>30</v>
      </c>
      <c r="BK407" s="42">
        <f>+AVANCE[[#This Row],[FECHA TERMINO]]-AVANCE[[#This Row],[FECHA INICIO REAL]]</f>
        <v>0</v>
      </c>
    </row>
    <row r="408" spans="1:63" x14ac:dyDescent="0.25">
      <c r="A408" t="s">
        <v>1217</v>
      </c>
      <c r="B408" t="s">
        <v>1240</v>
      </c>
      <c r="C408">
        <v>2302600407</v>
      </c>
      <c r="D408" t="s">
        <v>831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46233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8" s="42">
        <f>+AVANCE[[#This Row],[FECHA TERMINO  PLANIFICADO]]-AVANCE[[#This Row],[FECHA INICIO TEORICO]]</f>
        <v>30</v>
      </c>
      <c r="BK408" s="42">
        <f>+AVANCE[[#This Row],[FECHA TERMINO]]-AVANCE[[#This Row],[FECHA INICIO REAL]]</f>
        <v>0</v>
      </c>
    </row>
    <row r="409" spans="1:63" x14ac:dyDescent="0.25">
      <c r="A409" t="s">
        <v>1217</v>
      </c>
      <c r="B409" t="s">
        <v>1241</v>
      </c>
      <c r="C409">
        <v>2282600408</v>
      </c>
      <c r="D409" t="s">
        <v>830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46233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9" s="42">
        <f>+AVANCE[[#This Row],[FECHA TERMINO  PLANIFICADO]]-AVANCE[[#This Row],[FECHA INICIO TEORICO]]</f>
        <v>20</v>
      </c>
      <c r="BK409" s="42">
        <f>+AVANCE[[#This Row],[FECHA TERMINO]]-AVANCE[[#This Row],[FECHA INICIO REAL]]</f>
        <v>0</v>
      </c>
    </row>
    <row r="410" spans="1:63" x14ac:dyDescent="0.25">
      <c r="A410" t="s">
        <v>1217</v>
      </c>
      <c r="B410" t="s">
        <v>1242</v>
      </c>
      <c r="C410">
        <v>2282600409</v>
      </c>
      <c r="D410" t="s">
        <v>830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46233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0" s="42">
        <f>+AVANCE[[#This Row],[FECHA TERMINO  PLANIFICADO]]-AVANCE[[#This Row],[FECHA INICIO TEORICO]]</f>
        <v>20</v>
      </c>
      <c r="BK410" s="42">
        <f>+AVANCE[[#This Row],[FECHA TERMINO]]-AVANCE[[#This Row],[FECHA INICIO REAL]]</f>
        <v>0</v>
      </c>
    </row>
    <row r="411" spans="1:63" x14ac:dyDescent="0.25">
      <c r="A411" t="s">
        <v>1217</v>
      </c>
      <c r="B411" t="s">
        <v>1243</v>
      </c>
      <c r="C411">
        <v>2302600410</v>
      </c>
      <c r="D411" t="s">
        <v>831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46233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1" s="42">
        <f>+AVANCE[[#This Row],[FECHA TERMINO  PLANIFICADO]]-AVANCE[[#This Row],[FECHA INICIO TEORICO]]</f>
        <v>30</v>
      </c>
      <c r="BK411" s="42">
        <f>+AVANCE[[#This Row],[FECHA TERMINO]]-AVANCE[[#This Row],[FECHA INICIO REAL]]</f>
        <v>0</v>
      </c>
    </row>
    <row r="412" spans="1:63" x14ac:dyDescent="0.25">
      <c r="A412" t="s">
        <v>1217</v>
      </c>
      <c r="B412" t="s">
        <v>1244</v>
      </c>
      <c r="C412">
        <v>2302600411</v>
      </c>
      <c r="D412" t="s">
        <v>831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46233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2" s="42">
        <f>+AVANCE[[#This Row],[FECHA TERMINO  PLANIFICADO]]-AVANCE[[#This Row],[FECHA INICIO TEORICO]]</f>
        <v>30</v>
      </c>
      <c r="BK412" s="42">
        <f>+AVANCE[[#This Row],[FECHA TERMINO]]-AVANCE[[#This Row],[FECHA INICIO REAL]]</f>
        <v>0</v>
      </c>
    </row>
    <row r="413" spans="1:63" x14ac:dyDescent="0.25">
      <c r="A413" t="s">
        <v>1217</v>
      </c>
      <c r="B413" t="s">
        <v>1245</v>
      </c>
      <c r="C413">
        <v>2282600412</v>
      </c>
      <c r="D413" t="s">
        <v>830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46233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3" s="42">
        <f>+AVANCE[[#This Row],[FECHA TERMINO  PLANIFICADO]]-AVANCE[[#This Row],[FECHA INICIO TEORICO]]</f>
        <v>20</v>
      </c>
      <c r="BK413" s="42">
        <f>+AVANCE[[#This Row],[FECHA TERMINO]]-AVANCE[[#This Row],[FECHA INICIO REAL]]</f>
        <v>0</v>
      </c>
    </row>
    <row r="414" spans="1:63" x14ac:dyDescent="0.25">
      <c r="A414" t="s">
        <v>1217</v>
      </c>
      <c r="B414" t="s">
        <v>1246</v>
      </c>
      <c r="C414">
        <v>2282600413</v>
      </c>
      <c r="D414" t="s">
        <v>830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46233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4" s="42">
        <f>+AVANCE[[#This Row],[FECHA TERMINO  PLANIFICADO]]-AVANCE[[#This Row],[FECHA INICIO TEORICO]]</f>
        <v>20</v>
      </c>
      <c r="BK414" s="42">
        <f>+AVANCE[[#This Row],[FECHA TERMINO]]-AVANCE[[#This Row],[FECHA INICIO REAL]]</f>
        <v>0</v>
      </c>
    </row>
    <row r="415" spans="1:63" x14ac:dyDescent="0.25">
      <c r="A415" t="s">
        <v>1217</v>
      </c>
      <c r="B415" t="s">
        <v>1247</v>
      </c>
      <c r="C415">
        <v>2302600414</v>
      </c>
      <c r="D415" t="s">
        <v>831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46233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5" s="42">
        <f>+AVANCE[[#This Row],[FECHA TERMINO  PLANIFICADO]]-AVANCE[[#This Row],[FECHA INICIO TEORICO]]</f>
        <v>30</v>
      </c>
      <c r="BK415" s="42">
        <f>+AVANCE[[#This Row],[FECHA TERMINO]]-AVANCE[[#This Row],[FECHA INICIO REAL]]</f>
        <v>0</v>
      </c>
    </row>
    <row r="416" spans="1:63" x14ac:dyDescent="0.25">
      <c r="A416" t="s">
        <v>1217</v>
      </c>
      <c r="B416" t="s">
        <v>1248</v>
      </c>
      <c r="C416">
        <v>2302600415</v>
      </c>
      <c r="D416" t="s">
        <v>831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46233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6" s="42">
        <f>+AVANCE[[#This Row],[FECHA TERMINO  PLANIFICADO]]-AVANCE[[#This Row],[FECHA INICIO TEORICO]]</f>
        <v>30</v>
      </c>
      <c r="BK416" s="42">
        <f>+AVANCE[[#This Row],[FECHA TERMINO]]-AVANCE[[#This Row],[FECHA INICIO REAL]]</f>
        <v>0</v>
      </c>
    </row>
    <row r="417" spans="1:63" x14ac:dyDescent="0.25">
      <c r="A417" t="s">
        <v>1217</v>
      </c>
      <c r="B417" t="s">
        <v>1249</v>
      </c>
      <c r="C417">
        <v>2282600416</v>
      </c>
      <c r="D417" t="s">
        <v>830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46233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7" s="42">
        <f>+AVANCE[[#This Row],[FECHA TERMINO  PLANIFICADO]]-AVANCE[[#This Row],[FECHA INICIO TEORICO]]</f>
        <v>20</v>
      </c>
      <c r="BK417" s="42">
        <f>+AVANCE[[#This Row],[FECHA TERMINO]]-AVANCE[[#This Row],[FECHA INICIO REAL]]</f>
        <v>0</v>
      </c>
    </row>
    <row r="418" spans="1:63" x14ac:dyDescent="0.25">
      <c r="A418" t="s">
        <v>1250</v>
      </c>
      <c r="B418" t="s">
        <v>1251</v>
      </c>
      <c r="C418">
        <v>2282600417</v>
      </c>
      <c r="D418" t="s">
        <v>830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46233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8" s="42">
        <f>+AVANCE[[#This Row],[FECHA TERMINO  PLANIFICADO]]-AVANCE[[#This Row],[FECHA INICIO TEORICO]]</f>
        <v>20</v>
      </c>
      <c r="BK418" s="42">
        <f>+AVANCE[[#This Row],[FECHA TERMINO]]-AVANCE[[#This Row],[FECHA INICIO REAL]]</f>
        <v>0</v>
      </c>
    </row>
    <row r="419" spans="1:63" x14ac:dyDescent="0.25">
      <c r="A419" t="s">
        <v>1250</v>
      </c>
      <c r="B419" t="s">
        <v>1252</v>
      </c>
      <c r="C419">
        <v>2302600418</v>
      </c>
      <c r="D419" t="s">
        <v>831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46233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9" s="42">
        <f>+AVANCE[[#This Row],[FECHA TERMINO  PLANIFICADO]]-AVANCE[[#This Row],[FECHA INICIO TEORICO]]</f>
        <v>30</v>
      </c>
      <c r="BK419" s="42">
        <f>+AVANCE[[#This Row],[FECHA TERMINO]]-AVANCE[[#This Row],[FECHA INICIO REAL]]</f>
        <v>0</v>
      </c>
    </row>
    <row r="420" spans="1:63" x14ac:dyDescent="0.25">
      <c r="A420" t="s">
        <v>1250</v>
      </c>
      <c r="B420" t="s">
        <v>1253</v>
      </c>
      <c r="C420">
        <v>2302600419</v>
      </c>
      <c r="D420" t="s">
        <v>831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46233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0" s="42">
        <f>+AVANCE[[#This Row],[FECHA TERMINO  PLANIFICADO]]-AVANCE[[#This Row],[FECHA INICIO TEORICO]]</f>
        <v>30</v>
      </c>
      <c r="BK420" s="42">
        <f>+AVANCE[[#This Row],[FECHA TERMINO]]-AVANCE[[#This Row],[FECHA INICIO REAL]]</f>
        <v>0</v>
      </c>
    </row>
    <row r="421" spans="1:63" x14ac:dyDescent="0.25">
      <c r="A421" t="s">
        <v>1250</v>
      </c>
      <c r="B421" t="s">
        <v>1254</v>
      </c>
      <c r="C421">
        <v>2282600420</v>
      </c>
      <c r="D421" t="s">
        <v>830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46233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1" s="42">
        <f>+AVANCE[[#This Row],[FECHA TERMINO  PLANIFICADO]]-AVANCE[[#This Row],[FECHA INICIO TEORICO]]</f>
        <v>20</v>
      </c>
      <c r="BK421" s="42">
        <f>+AVANCE[[#This Row],[FECHA TERMINO]]-AVANCE[[#This Row],[FECHA INICIO REAL]]</f>
        <v>0</v>
      </c>
    </row>
    <row r="422" spans="1:63" x14ac:dyDescent="0.25">
      <c r="A422" t="s">
        <v>1250</v>
      </c>
      <c r="B422" t="s">
        <v>1255</v>
      </c>
      <c r="C422">
        <v>2282600421</v>
      </c>
      <c r="D422" t="s">
        <v>830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46233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2" s="42">
        <f>+AVANCE[[#This Row],[FECHA TERMINO  PLANIFICADO]]-AVANCE[[#This Row],[FECHA INICIO TEORICO]]</f>
        <v>20</v>
      </c>
      <c r="BK422" s="42">
        <f>+AVANCE[[#This Row],[FECHA TERMINO]]-AVANCE[[#This Row],[FECHA INICIO REAL]]</f>
        <v>0</v>
      </c>
    </row>
    <row r="423" spans="1:63" x14ac:dyDescent="0.25">
      <c r="A423" t="s">
        <v>1250</v>
      </c>
      <c r="B423" t="s">
        <v>1256</v>
      </c>
      <c r="C423">
        <v>2302600422</v>
      </c>
      <c r="D423" t="s">
        <v>831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46233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3" s="42">
        <f>+AVANCE[[#This Row],[FECHA TERMINO  PLANIFICADO]]-AVANCE[[#This Row],[FECHA INICIO TEORICO]]</f>
        <v>30</v>
      </c>
      <c r="BK423" s="42">
        <f>+AVANCE[[#This Row],[FECHA TERMINO]]-AVANCE[[#This Row],[FECHA INICIO REAL]]</f>
        <v>0</v>
      </c>
    </row>
    <row r="424" spans="1:63" x14ac:dyDescent="0.25">
      <c r="A424" t="s">
        <v>1250</v>
      </c>
      <c r="B424" t="s">
        <v>1257</v>
      </c>
      <c r="C424">
        <v>2302600423</v>
      </c>
      <c r="D424" t="s">
        <v>831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46233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4" s="42">
        <f>+AVANCE[[#This Row],[FECHA TERMINO  PLANIFICADO]]-AVANCE[[#This Row],[FECHA INICIO TEORICO]]</f>
        <v>30</v>
      </c>
      <c r="BK424" s="42">
        <f>+AVANCE[[#This Row],[FECHA TERMINO]]-AVANCE[[#This Row],[FECHA INICIO REAL]]</f>
        <v>0</v>
      </c>
    </row>
    <row r="425" spans="1:63" x14ac:dyDescent="0.25">
      <c r="A425" t="s">
        <v>1250</v>
      </c>
      <c r="B425" t="s">
        <v>1258</v>
      </c>
      <c r="C425">
        <v>2282600424</v>
      </c>
      <c r="D425" t="s">
        <v>830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46233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5" s="42">
        <f>+AVANCE[[#This Row],[FECHA TERMINO  PLANIFICADO]]-AVANCE[[#This Row],[FECHA INICIO TEORICO]]</f>
        <v>20</v>
      </c>
      <c r="BK425" s="42">
        <f>+AVANCE[[#This Row],[FECHA TERMINO]]-AVANCE[[#This Row],[FECHA INICIO REAL]]</f>
        <v>0</v>
      </c>
    </row>
    <row r="426" spans="1:63" x14ac:dyDescent="0.25">
      <c r="A426" t="s">
        <v>1250</v>
      </c>
      <c r="B426" t="s">
        <v>1259</v>
      </c>
      <c r="C426">
        <v>2282600425</v>
      </c>
      <c r="D426" t="s">
        <v>830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46233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6" s="42">
        <f>+AVANCE[[#This Row],[FECHA TERMINO  PLANIFICADO]]-AVANCE[[#This Row],[FECHA INICIO TEORICO]]</f>
        <v>20</v>
      </c>
      <c r="BK426" s="42">
        <f>+AVANCE[[#This Row],[FECHA TERMINO]]-AVANCE[[#This Row],[FECHA INICIO REAL]]</f>
        <v>0</v>
      </c>
    </row>
    <row r="427" spans="1:63" x14ac:dyDescent="0.25">
      <c r="A427" t="s">
        <v>1250</v>
      </c>
      <c r="B427" t="s">
        <v>1260</v>
      </c>
      <c r="C427">
        <v>2302600426</v>
      </c>
      <c r="D427" t="s">
        <v>831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46233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7" s="42">
        <f>+AVANCE[[#This Row],[FECHA TERMINO  PLANIFICADO]]-AVANCE[[#This Row],[FECHA INICIO TEORICO]]</f>
        <v>30</v>
      </c>
      <c r="BK427" s="42">
        <f>+AVANCE[[#This Row],[FECHA TERMINO]]-AVANCE[[#This Row],[FECHA INICIO REAL]]</f>
        <v>0</v>
      </c>
    </row>
    <row r="428" spans="1:63" x14ac:dyDescent="0.25">
      <c r="A428" t="s">
        <v>1250</v>
      </c>
      <c r="B428" t="s">
        <v>1261</v>
      </c>
      <c r="C428">
        <v>2302600427</v>
      </c>
      <c r="D428" t="s">
        <v>831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46233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8" s="42">
        <f>+AVANCE[[#This Row],[FECHA TERMINO  PLANIFICADO]]-AVANCE[[#This Row],[FECHA INICIO TEORICO]]</f>
        <v>30</v>
      </c>
      <c r="BK428" s="42">
        <f>+AVANCE[[#This Row],[FECHA TERMINO]]-AVANCE[[#This Row],[FECHA INICIO REAL]]</f>
        <v>0</v>
      </c>
    </row>
    <row r="429" spans="1:63" x14ac:dyDescent="0.25">
      <c r="A429" t="s">
        <v>1250</v>
      </c>
      <c r="B429" t="s">
        <v>1262</v>
      </c>
      <c r="C429">
        <v>2282600428</v>
      </c>
      <c r="D429" t="s">
        <v>830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46233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9" s="42">
        <f>+AVANCE[[#This Row],[FECHA TERMINO  PLANIFICADO]]-AVANCE[[#This Row],[FECHA INICIO TEORICO]]</f>
        <v>20</v>
      </c>
      <c r="BK429" s="42">
        <f>+AVANCE[[#This Row],[FECHA TERMINO]]-AVANCE[[#This Row],[FECHA INICIO REAL]]</f>
        <v>0</v>
      </c>
    </row>
    <row r="430" spans="1:63" x14ac:dyDescent="0.25">
      <c r="A430" t="s">
        <v>1250</v>
      </c>
      <c r="B430" t="s">
        <v>1263</v>
      </c>
      <c r="C430">
        <v>2282600429</v>
      </c>
      <c r="D430" t="s">
        <v>830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46233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0" s="42">
        <f>+AVANCE[[#This Row],[FECHA TERMINO  PLANIFICADO]]-AVANCE[[#This Row],[FECHA INICIO TEORICO]]</f>
        <v>20</v>
      </c>
      <c r="BK430" s="42">
        <f>+AVANCE[[#This Row],[FECHA TERMINO]]-AVANCE[[#This Row],[FECHA INICIO REAL]]</f>
        <v>0</v>
      </c>
    </row>
    <row r="431" spans="1:63" x14ac:dyDescent="0.25">
      <c r="A431" t="s">
        <v>1250</v>
      </c>
      <c r="B431" t="s">
        <v>1264</v>
      </c>
      <c r="C431">
        <v>2302600430</v>
      </c>
      <c r="D431" t="s">
        <v>831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46233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1" s="42">
        <f>+AVANCE[[#This Row],[FECHA TERMINO  PLANIFICADO]]-AVANCE[[#This Row],[FECHA INICIO TEORICO]]</f>
        <v>30</v>
      </c>
      <c r="BK431" s="42">
        <f>+AVANCE[[#This Row],[FECHA TERMINO]]-AVANCE[[#This Row],[FECHA INICIO REAL]]</f>
        <v>0</v>
      </c>
    </row>
    <row r="432" spans="1:63" x14ac:dyDescent="0.25">
      <c r="A432" t="s">
        <v>1250</v>
      </c>
      <c r="B432" t="s">
        <v>1265</v>
      </c>
      <c r="C432">
        <v>2302600431</v>
      </c>
      <c r="D432" t="s">
        <v>831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46233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2" s="42">
        <f>+AVANCE[[#This Row],[FECHA TERMINO  PLANIFICADO]]-AVANCE[[#This Row],[FECHA INICIO TEORICO]]</f>
        <v>30</v>
      </c>
      <c r="BK432" s="42">
        <f>+AVANCE[[#This Row],[FECHA TERMINO]]-AVANCE[[#This Row],[FECHA INICIO REAL]]</f>
        <v>0</v>
      </c>
    </row>
    <row r="433" spans="1:63" x14ac:dyDescent="0.25">
      <c r="A433" t="s">
        <v>1250</v>
      </c>
      <c r="B433" t="s">
        <v>1266</v>
      </c>
      <c r="C433">
        <v>2282600432</v>
      </c>
      <c r="D433" t="s">
        <v>830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46233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3" s="42">
        <f>+AVANCE[[#This Row],[FECHA TERMINO  PLANIFICADO]]-AVANCE[[#This Row],[FECHA INICIO TEORICO]]</f>
        <v>20</v>
      </c>
      <c r="BK433" s="42">
        <f>+AVANCE[[#This Row],[FECHA TERMINO]]-AVANCE[[#This Row],[FECHA INICIO REAL]]</f>
        <v>0</v>
      </c>
    </row>
    <row r="434" spans="1:63" x14ac:dyDescent="0.25">
      <c r="A434" t="s">
        <v>1250</v>
      </c>
      <c r="B434" t="s">
        <v>1267</v>
      </c>
      <c r="C434">
        <v>2282600433</v>
      </c>
      <c r="D434" t="s">
        <v>830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46233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4" s="42">
        <f>+AVANCE[[#This Row],[FECHA TERMINO  PLANIFICADO]]-AVANCE[[#This Row],[FECHA INICIO TEORICO]]</f>
        <v>20</v>
      </c>
      <c r="BK434" s="42">
        <f>+AVANCE[[#This Row],[FECHA TERMINO]]-AVANCE[[#This Row],[FECHA INICIO REAL]]</f>
        <v>0</v>
      </c>
    </row>
    <row r="435" spans="1:63" x14ac:dyDescent="0.25">
      <c r="A435" t="s">
        <v>1250</v>
      </c>
      <c r="B435" t="s">
        <v>1268</v>
      </c>
      <c r="C435">
        <v>2302600434</v>
      </c>
      <c r="D435" t="s">
        <v>831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46233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5" s="42">
        <f>+AVANCE[[#This Row],[FECHA TERMINO  PLANIFICADO]]-AVANCE[[#This Row],[FECHA INICIO TEORICO]]</f>
        <v>30</v>
      </c>
      <c r="BK435" s="42">
        <f>+AVANCE[[#This Row],[FECHA TERMINO]]-AVANCE[[#This Row],[FECHA INICIO REAL]]</f>
        <v>0</v>
      </c>
    </row>
    <row r="436" spans="1:63" x14ac:dyDescent="0.25">
      <c r="A436" t="s">
        <v>1250</v>
      </c>
      <c r="B436" t="s">
        <v>1269</v>
      </c>
      <c r="C436">
        <v>2302600435</v>
      </c>
      <c r="D436" t="s">
        <v>831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46233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6" s="42">
        <f>+AVANCE[[#This Row],[FECHA TERMINO  PLANIFICADO]]-AVANCE[[#This Row],[FECHA INICIO TEORICO]]</f>
        <v>30</v>
      </c>
      <c r="BK436" s="42">
        <f>+AVANCE[[#This Row],[FECHA TERMINO]]-AVANCE[[#This Row],[FECHA INICIO REAL]]</f>
        <v>0</v>
      </c>
    </row>
    <row r="437" spans="1:63" x14ac:dyDescent="0.25">
      <c r="A437" t="s">
        <v>1250</v>
      </c>
      <c r="B437" t="s">
        <v>1270</v>
      </c>
      <c r="C437">
        <v>2282600436</v>
      </c>
      <c r="D437" t="s">
        <v>830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46233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7" s="42">
        <f>+AVANCE[[#This Row],[FECHA TERMINO  PLANIFICADO]]-AVANCE[[#This Row],[FECHA INICIO TEORICO]]</f>
        <v>20</v>
      </c>
      <c r="BK437" s="42">
        <f>+AVANCE[[#This Row],[FECHA TERMINO]]-AVANCE[[#This Row],[FECHA INICIO REAL]]</f>
        <v>0</v>
      </c>
    </row>
    <row r="438" spans="1:63" x14ac:dyDescent="0.25">
      <c r="A438" t="s">
        <v>1250</v>
      </c>
      <c r="B438" t="s">
        <v>1271</v>
      </c>
      <c r="C438">
        <v>2282600437</v>
      </c>
      <c r="D438" t="s">
        <v>830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46233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8" s="42">
        <f>+AVANCE[[#This Row],[FECHA TERMINO  PLANIFICADO]]-AVANCE[[#This Row],[FECHA INICIO TEORICO]]</f>
        <v>20</v>
      </c>
      <c r="BK438" s="42">
        <f>+AVANCE[[#This Row],[FECHA TERMINO]]-AVANCE[[#This Row],[FECHA INICIO REAL]]</f>
        <v>0</v>
      </c>
    </row>
    <row r="439" spans="1:63" x14ac:dyDescent="0.25">
      <c r="A439" t="s">
        <v>1250</v>
      </c>
      <c r="B439" t="s">
        <v>1272</v>
      </c>
      <c r="C439">
        <v>2302600438</v>
      </c>
      <c r="D439" t="s">
        <v>831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46233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9" s="42">
        <f>+AVANCE[[#This Row],[FECHA TERMINO  PLANIFICADO]]-AVANCE[[#This Row],[FECHA INICIO TEORICO]]</f>
        <v>30</v>
      </c>
      <c r="BK439" s="42">
        <f>+AVANCE[[#This Row],[FECHA TERMINO]]-AVANCE[[#This Row],[FECHA INICIO REAL]]</f>
        <v>0</v>
      </c>
    </row>
    <row r="440" spans="1:63" x14ac:dyDescent="0.25">
      <c r="A440" t="s">
        <v>1250</v>
      </c>
      <c r="B440" t="s">
        <v>1273</v>
      </c>
      <c r="C440">
        <v>2302600439</v>
      </c>
      <c r="D440" t="s">
        <v>831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46233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0" s="42">
        <f>+AVANCE[[#This Row],[FECHA TERMINO  PLANIFICADO]]-AVANCE[[#This Row],[FECHA INICIO TEORICO]]</f>
        <v>30</v>
      </c>
      <c r="BK440" s="42">
        <f>+AVANCE[[#This Row],[FECHA TERMINO]]-AVANCE[[#This Row],[FECHA INICIO REAL]]</f>
        <v>0</v>
      </c>
    </row>
    <row r="441" spans="1:63" x14ac:dyDescent="0.25">
      <c r="A441" t="s">
        <v>1250</v>
      </c>
      <c r="B441" t="s">
        <v>1274</v>
      </c>
      <c r="C441">
        <v>2282600440</v>
      </c>
      <c r="D441" t="s">
        <v>830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46233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1" s="42">
        <f>+AVANCE[[#This Row],[FECHA TERMINO  PLANIFICADO]]-AVANCE[[#This Row],[FECHA INICIO TEORICO]]</f>
        <v>20</v>
      </c>
      <c r="BK441" s="42">
        <f>+AVANCE[[#This Row],[FECHA TERMINO]]-AVANCE[[#This Row],[FECHA INICIO REAL]]</f>
        <v>0</v>
      </c>
    </row>
    <row r="442" spans="1:63" x14ac:dyDescent="0.25">
      <c r="A442" t="s">
        <v>1250</v>
      </c>
      <c r="B442" t="s">
        <v>1275</v>
      </c>
      <c r="C442">
        <v>2282600441</v>
      </c>
      <c r="D442" t="s">
        <v>830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46233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2" s="42">
        <f>+AVANCE[[#This Row],[FECHA TERMINO  PLANIFICADO]]-AVANCE[[#This Row],[FECHA INICIO TEORICO]]</f>
        <v>20</v>
      </c>
      <c r="BK442" s="42">
        <f>+AVANCE[[#This Row],[FECHA TERMINO]]-AVANCE[[#This Row],[FECHA INICIO REAL]]</f>
        <v>0</v>
      </c>
    </row>
    <row r="443" spans="1:63" x14ac:dyDescent="0.25">
      <c r="A443" t="s">
        <v>1250</v>
      </c>
      <c r="B443" t="s">
        <v>1276</v>
      </c>
      <c r="C443">
        <v>2302600442</v>
      </c>
      <c r="D443" t="s">
        <v>831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46233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3" s="42">
        <f>+AVANCE[[#This Row],[FECHA TERMINO  PLANIFICADO]]-AVANCE[[#This Row],[FECHA INICIO TEORICO]]</f>
        <v>30</v>
      </c>
      <c r="BK443" s="42">
        <f>+AVANCE[[#This Row],[FECHA TERMINO]]-AVANCE[[#This Row],[FECHA INICIO REAL]]</f>
        <v>0</v>
      </c>
    </row>
    <row r="444" spans="1:63" x14ac:dyDescent="0.25">
      <c r="A444" t="s">
        <v>1250</v>
      </c>
      <c r="B444" t="s">
        <v>1277</v>
      </c>
      <c r="C444">
        <v>2302600443</v>
      </c>
      <c r="D444" t="s">
        <v>831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46233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4" s="42">
        <f>+AVANCE[[#This Row],[FECHA TERMINO  PLANIFICADO]]-AVANCE[[#This Row],[FECHA INICIO TEORICO]]</f>
        <v>30</v>
      </c>
      <c r="BK444" s="42">
        <f>+AVANCE[[#This Row],[FECHA TERMINO]]-AVANCE[[#This Row],[FECHA INICIO REAL]]</f>
        <v>0</v>
      </c>
    </row>
    <row r="445" spans="1:63" x14ac:dyDescent="0.25">
      <c r="A445" t="s">
        <v>1250</v>
      </c>
      <c r="B445" t="s">
        <v>1278</v>
      </c>
      <c r="C445">
        <v>2282600444</v>
      </c>
      <c r="D445" t="s">
        <v>830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46233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5" s="42">
        <f>+AVANCE[[#This Row],[FECHA TERMINO  PLANIFICADO]]-AVANCE[[#This Row],[FECHA INICIO TEORICO]]</f>
        <v>20</v>
      </c>
      <c r="BK445" s="42">
        <f>+AVANCE[[#This Row],[FECHA TERMINO]]-AVANCE[[#This Row],[FECHA INICIO REAL]]</f>
        <v>0</v>
      </c>
    </row>
    <row r="446" spans="1:63" x14ac:dyDescent="0.25">
      <c r="A446" t="s">
        <v>1250</v>
      </c>
      <c r="B446" t="s">
        <v>1279</v>
      </c>
      <c r="C446">
        <v>2282600445</v>
      </c>
      <c r="D446" t="s">
        <v>830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46233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6" s="42">
        <f>+AVANCE[[#This Row],[FECHA TERMINO  PLANIFICADO]]-AVANCE[[#This Row],[FECHA INICIO TEORICO]]</f>
        <v>20</v>
      </c>
      <c r="BK446" s="42">
        <f>+AVANCE[[#This Row],[FECHA TERMINO]]-AVANCE[[#This Row],[FECHA INICIO REAL]]</f>
        <v>0</v>
      </c>
    </row>
    <row r="447" spans="1:63" x14ac:dyDescent="0.25">
      <c r="A447" t="s">
        <v>1250</v>
      </c>
      <c r="B447" t="s">
        <v>1280</v>
      </c>
      <c r="C447">
        <v>2302600446</v>
      </c>
      <c r="D447" t="s">
        <v>831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46233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7" s="42">
        <f>+AVANCE[[#This Row],[FECHA TERMINO  PLANIFICADO]]-AVANCE[[#This Row],[FECHA INICIO TEORICO]]</f>
        <v>30</v>
      </c>
      <c r="BK447" s="42">
        <f>+AVANCE[[#This Row],[FECHA TERMINO]]-AVANCE[[#This Row],[FECHA INICIO REAL]]</f>
        <v>0</v>
      </c>
    </row>
    <row r="448" spans="1:63" x14ac:dyDescent="0.25">
      <c r="A448" t="s">
        <v>1250</v>
      </c>
      <c r="B448" t="s">
        <v>1281</v>
      </c>
      <c r="C448">
        <v>2302600447</v>
      </c>
      <c r="D448" t="s">
        <v>831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46233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8" s="42">
        <f>+AVANCE[[#This Row],[FECHA TERMINO  PLANIFICADO]]-AVANCE[[#This Row],[FECHA INICIO TEORICO]]</f>
        <v>30</v>
      </c>
      <c r="BK448" s="42">
        <f>+AVANCE[[#This Row],[FECHA TERMINO]]-AVANCE[[#This Row],[FECHA INICIO REAL]]</f>
        <v>0</v>
      </c>
    </row>
    <row r="449" spans="1:63" x14ac:dyDescent="0.25">
      <c r="A449" t="s">
        <v>1250</v>
      </c>
      <c r="B449" t="s">
        <v>1282</v>
      </c>
      <c r="C449">
        <v>2282600448</v>
      </c>
      <c r="D449" t="s">
        <v>830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46233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9" s="42">
        <f>+AVANCE[[#This Row],[FECHA TERMINO  PLANIFICADO]]-AVANCE[[#This Row],[FECHA INICIO TEORICO]]</f>
        <v>20</v>
      </c>
      <c r="BK449" s="42">
        <f>+AVANCE[[#This Row],[FECHA TERMINO]]-AVANCE[[#This Row],[FECHA INICIO REAL]]</f>
        <v>0</v>
      </c>
    </row>
    <row r="450" spans="1:63" x14ac:dyDescent="0.25">
      <c r="A450" t="s">
        <v>1283</v>
      </c>
      <c r="B450" t="s">
        <v>1284</v>
      </c>
      <c r="C450">
        <v>2282600449</v>
      </c>
      <c r="D450" t="s">
        <v>830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46233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0" s="42">
        <f>+AVANCE[[#This Row],[FECHA TERMINO  PLANIFICADO]]-AVANCE[[#This Row],[FECHA INICIO TEORICO]]</f>
        <v>20</v>
      </c>
      <c r="BK450" s="42">
        <f>+AVANCE[[#This Row],[FECHA TERMINO]]-AVANCE[[#This Row],[FECHA INICIO REAL]]</f>
        <v>0</v>
      </c>
    </row>
    <row r="451" spans="1:63" x14ac:dyDescent="0.25">
      <c r="A451" t="s">
        <v>1283</v>
      </c>
      <c r="B451" t="s">
        <v>1285</v>
      </c>
      <c r="C451">
        <v>2302600450</v>
      </c>
      <c r="D451" t="s">
        <v>831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46233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1" s="42">
        <f>+AVANCE[[#This Row],[FECHA TERMINO  PLANIFICADO]]-AVANCE[[#This Row],[FECHA INICIO TEORICO]]</f>
        <v>30</v>
      </c>
      <c r="BK451" s="42">
        <f>+AVANCE[[#This Row],[FECHA TERMINO]]-AVANCE[[#This Row],[FECHA INICIO REAL]]</f>
        <v>0</v>
      </c>
    </row>
    <row r="452" spans="1:63" x14ac:dyDescent="0.25">
      <c r="A452" t="s">
        <v>1283</v>
      </c>
      <c r="B452" t="s">
        <v>1286</v>
      </c>
      <c r="C452">
        <v>2302600451</v>
      </c>
      <c r="D452" t="s">
        <v>831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46233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2" s="42">
        <f>+AVANCE[[#This Row],[FECHA TERMINO  PLANIFICADO]]-AVANCE[[#This Row],[FECHA INICIO TEORICO]]</f>
        <v>30</v>
      </c>
      <c r="BK452" s="42">
        <f>+AVANCE[[#This Row],[FECHA TERMINO]]-AVANCE[[#This Row],[FECHA INICIO REAL]]</f>
        <v>0</v>
      </c>
    </row>
    <row r="453" spans="1:63" x14ac:dyDescent="0.25">
      <c r="A453" t="s">
        <v>1283</v>
      </c>
      <c r="B453" t="s">
        <v>1287</v>
      </c>
      <c r="C453">
        <v>2282600452</v>
      </c>
      <c r="D453" t="s">
        <v>830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46233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3" s="42">
        <f>+AVANCE[[#This Row],[FECHA TERMINO  PLANIFICADO]]-AVANCE[[#This Row],[FECHA INICIO TEORICO]]</f>
        <v>20</v>
      </c>
      <c r="BK453" s="42">
        <f>+AVANCE[[#This Row],[FECHA TERMINO]]-AVANCE[[#This Row],[FECHA INICIO REAL]]</f>
        <v>0</v>
      </c>
    </row>
    <row r="454" spans="1:63" x14ac:dyDescent="0.25">
      <c r="A454" t="s">
        <v>1283</v>
      </c>
      <c r="B454" t="s">
        <v>1288</v>
      </c>
      <c r="C454">
        <v>2282600453</v>
      </c>
      <c r="D454" t="s">
        <v>830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46233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4" s="42">
        <f>+AVANCE[[#This Row],[FECHA TERMINO  PLANIFICADO]]-AVANCE[[#This Row],[FECHA INICIO TEORICO]]</f>
        <v>20</v>
      </c>
      <c r="BK454" s="42">
        <f>+AVANCE[[#This Row],[FECHA TERMINO]]-AVANCE[[#This Row],[FECHA INICIO REAL]]</f>
        <v>0</v>
      </c>
    </row>
    <row r="455" spans="1:63" x14ac:dyDescent="0.25">
      <c r="A455" t="s">
        <v>1283</v>
      </c>
      <c r="B455" t="s">
        <v>1289</v>
      </c>
      <c r="C455">
        <v>2302600454</v>
      </c>
      <c r="D455" t="s">
        <v>831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46233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5" s="42">
        <f>+AVANCE[[#This Row],[FECHA TERMINO  PLANIFICADO]]-AVANCE[[#This Row],[FECHA INICIO TEORICO]]</f>
        <v>30</v>
      </c>
      <c r="BK455" s="42">
        <f>+AVANCE[[#This Row],[FECHA TERMINO]]-AVANCE[[#This Row],[FECHA INICIO REAL]]</f>
        <v>0</v>
      </c>
    </row>
    <row r="456" spans="1:63" x14ac:dyDescent="0.25">
      <c r="A456" t="s">
        <v>1283</v>
      </c>
      <c r="B456" t="s">
        <v>1290</v>
      </c>
      <c r="C456">
        <v>2302600455</v>
      </c>
      <c r="D456" t="s">
        <v>831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46233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6" s="42">
        <f>+AVANCE[[#This Row],[FECHA TERMINO  PLANIFICADO]]-AVANCE[[#This Row],[FECHA INICIO TEORICO]]</f>
        <v>30</v>
      </c>
      <c r="BK456" s="42">
        <f>+AVANCE[[#This Row],[FECHA TERMINO]]-AVANCE[[#This Row],[FECHA INICIO REAL]]</f>
        <v>0</v>
      </c>
    </row>
    <row r="457" spans="1:63" x14ac:dyDescent="0.25">
      <c r="A457" t="s">
        <v>1283</v>
      </c>
      <c r="B457" t="s">
        <v>1291</v>
      </c>
      <c r="C457">
        <v>2282600456</v>
      </c>
      <c r="D457" t="s">
        <v>830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46233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7" s="42">
        <f>+AVANCE[[#This Row],[FECHA TERMINO  PLANIFICADO]]-AVANCE[[#This Row],[FECHA INICIO TEORICO]]</f>
        <v>20</v>
      </c>
      <c r="BK457" s="42">
        <f>+AVANCE[[#This Row],[FECHA TERMINO]]-AVANCE[[#This Row],[FECHA INICIO REAL]]</f>
        <v>0</v>
      </c>
    </row>
    <row r="458" spans="1:63" x14ac:dyDescent="0.25">
      <c r="A458" t="s">
        <v>1283</v>
      </c>
      <c r="B458" t="s">
        <v>1292</v>
      </c>
      <c r="C458">
        <v>2282600457</v>
      </c>
      <c r="D458" t="s">
        <v>830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46233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8" s="42">
        <f>+AVANCE[[#This Row],[FECHA TERMINO  PLANIFICADO]]-AVANCE[[#This Row],[FECHA INICIO TEORICO]]</f>
        <v>20</v>
      </c>
      <c r="BK458" s="42">
        <f>+AVANCE[[#This Row],[FECHA TERMINO]]-AVANCE[[#This Row],[FECHA INICIO REAL]]</f>
        <v>0</v>
      </c>
    </row>
    <row r="459" spans="1:63" x14ac:dyDescent="0.25">
      <c r="A459" t="s">
        <v>1283</v>
      </c>
      <c r="B459" t="s">
        <v>1293</v>
      </c>
      <c r="C459">
        <v>2302600458</v>
      </c>
      <c r="D459" t="s">
        <v>831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46233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9" s="42">
        <f>+AVANCE[[#This Row],[FECHA TERMINO  PLANIFICADO]]-AVANCE[[#This Row],[FECHA INICIO TEORICO]]</f>
        <v>30</v>
      </c>
      <c r="BK459" s="42">
        <f>+AVANCE[[#This Row],[FECHA TERMINO]]-AVANCE[[#This Row],[FECHA INICIO REAL]]</f>
        <v>0</v>
      </c>
    </row>
    <row r="460" spans="1:63" x14ac:dyDescent="0.25">
      <c r="A460" t="s">
        <v>1283</v>
      </c>
      <c r="B460" t="s">
        <v>1294</v>
      </c>
      <c r="C460">
        <v>2302600459</v>
      </c>
      <c r="D460" t="s">
        <v>831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46233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0" s="42">
        <f>+AVANCE[[#This Row],[FECHA TERMINO  PLANIFICADO]]-AVANCE[[#This Row],[FECHA INICIO TEORICO]]</f>
        <v>30</v>
      </c>
      <c r="BK460" s="42">
        <f>+AVANCE[[#This Row],[FECHA TERMINO]]-AVANCE[[#This Row],[FECHA INICIO REAL]]</f>
        <v>0</v>
      </c>
    </row>
    <row r="461" spans="1:63" x14ac:dyDescent="0.25">
      <c r="A461" t="s">
        <v>1283</v>
      </c>
      <c r="B461" t="s">
        <v>1295</v>
      </c>
      <c r="C461">
        <v>2282600460</v>
      </c>
      <c r="D461" t="s">
        <v>830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46233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1" s="42">
        <f>+AVANCE[[#This Row],[FECHA TERMINO  PLANIFICADO]]-AVANCE[[#This Row],[FECHA INICIO TEORICO]]</f>
        <v>20</v>
      </c>
      <c r="BK461" s="42">
        <f>+AVANCE[[#This Row],[FECHA TERMINO]]-AVANCE[[#This Row],[FECHA INICIO REAL]]</f>
        <v>0</v>
      </c>
    </row>
    <row r="462" spans="1:63" x14ac:dyDescent="0.25">
      <c r="A462" t="s">
        <v>1283</v>
      </c>
      <c r="B462" t="s">
        <v>1296</v>
      </c>
      <c r="C462">
        <v>2282600461</v>
      </c>
      <c r="D462" t="s">
        <v>830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46233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2" s="42">
        <f>+AVANCE[[#This Row],[FECHA TERMINO  PLANIFICADO]]-AVANCE[[#This Row],[FECHA INICIO TEORICO]]</f>
        <v>20</v>
      </c>
      <c r="BK462" s="42">
        <f>+AVANCE[[#This Row],[FECHA TERMINO]]-AVANCE[[#This Row],[FECHA INICIO REAL]]</f>
        <v>0</v>
      </c>
    </row>
    <row r="463" spans="1:63" x14ac:dyDescent="0.25">
      <c r="A463" t="s">
        <v>1283</v>
      </c>
      <c r="B463" t="s">
        <v>1297</v>
      </c>
      <c r="C463">
        <v>2302600462</v>
      </c>
      <c r="D463" t="s">
        <v>831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46233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3" s="42">
        <f>+AVANCE[[#This Row],[FECHA TERMINO  PLANIFICADO]]-AVANCE[[#This Row],[FECHA INICIO TEORICO]]</f>
        <v>30</v>
      </c>
      <c r="BK463" s="42">
        <f>+AVANCE[[#This Row],[FECHA TERMINO]]-AVANCE[[#This Row],[FECHA INICIO REAL]]</f>
        <v>0</v>
      </c>
    </row>
    <row r="464" spans="1:63" x14ac:dyDescent="0.25">
      <c r="A464" t="s">
        <v>1283</v>
      </c>
      <c r="B464" t="s">
        <v>1298</v>
      </c>
      <c r="C464">
        <v>2302600463</v>
      </c>
      <c r="D464" t="s">
        <v>831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46233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4" s="42">
        <f>+AVANCE[[#This Row],[FECHA TERMINO  PLANIFICADO]]-AVANCE[[#This Row],[FECHA INICIO TEORICO]]</f>
        <v>30</v>
      </c>
      <c r="BK464" s="42">
        <f>+AVANCE[[#This Row],[FECHA TERMINO]]-AVANCE[[#This Row],[FECHA INICIO REAL]]</f>
        <v>0</v>
      </c>
    </row>
    <row r="465" spans="1:63" x14ac:dyDescent="0.25">
      <c r="A465" t="s">
        <v>1283</v>
      </c>
      <c r="B465" t="s">
        <v>1299</v>
      </c>
      <c r="C465">
        <v>2282600464</v>
      </c>
      <c r="D465" t="s">
        <v>830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46233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5" s="42">
        <f>+AVANCE[[#This Row],[FECHA TERMINO  PLANIFICADO]]-AVANCE[[#This Row],[FECHA INICIO TEORICO]]</f>
        <v>20</v>
      </c>
      <c r="BK465" s="42">
        <f>+AVANCE[[#This Row],[FECHA TERMINO]]-AVANCE[[#This Row],[FECHA INICIO REAL]]</f>
        <v>0</v>
      </c>
    </row>
    <row r="466" spans="1:63" x14ac:dyDescent="0.25">
      <c r="A466" t="s">
        <v>1283</v>
      </c>
      <c r="B466" t="s">
        <v>1300</v>
      </c>
      <c r="C466">
        <v>2282600465</v>
      </c>
      <c r="D466" t="s">
        <v>830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46233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6" s="42">
        <f>+AVANCE[[#This Row],[FECHA TERMINO  PLANIFICADO]]-AVANCE[[#This Row],[FECHA INICIO TEORICO]]</f>
        <v>20</v>
      </c>
      <c r="BK466" s="42">
        <f>+AVANCE[[#This Row],[FECHA TERMINO]]-AVANCE[[#This Row],[FECHA INICIO REAL]]</f>
        <v>0</v>
      </c>
    </row>
    <row r="467" spans="1:63" x14ac:dyDescent="0.25">
      <c r="A467" t="s">
        <v>1283</v>
      </c>
      <c r="B467" t="s">
        <v>1301</v>
      </c>
      <c r="C467">
        <v>2302600466</v>
      </c>
      <c r="D467" t="s">
        <v>831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46233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7" s="42">
        <f>+AVANCE[[#This Row],[FECHA TERMINO  PLANIFICADO]]-AVANCE[[#This Row],[FECHA INICIO TEORICO]]</f>
        <v>30</v>
      </c>
      <c r="BK467" s="42">
        <f>+AVANCE[[#This Row],[FECHA TERMINO]]-AVANCE[[#This Row],[FECHA INICIO REAL]]</f>
        <v>0</v>
      </c>
    </row>
    <row r="468" spans="1:63" x14ac:dyDescent="0.25">
      <c r="A468" t="s">
        <v>1283</v>
      </c>
      <c r="B468" t="s">
        <v>1302</v>
      </c>
      <c r="C468">
        <v>2302600467</v>
      </c>
      <c r="D468" t="s">
        <v>831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46233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8" s="42">
        <f>+AVANCE[[#This Row],[FECHA TERMINO  PLANIFICADO]]-AVANCE[[#This Row],[FECHA INICIO TEORICO]]</f>
        <v>30</v>
      </c>
      <c r="BK468" s="42">
        <f>+AVANCE[[#This Row],[FECHA TERMINO]]-AVANCE[[#This Row],[FECHA INICIO REAL]]</f>
        <v>0</v>
      </c>
    </row>
    <row r="469" spans="1:63" x14ac:dyDescent="0.25">
      <c r="A469" t="s">
        <v>1283</v>
      </c>
      <c r="B469" t="s">
        <v>1303</v>
      </c>
      <c r="C469">
        <v>2282600468</v>
      </c>
      <c r="D469" t="s">
        <v>830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46233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9" s="42">
        <f>+AVANCE[[#This Row],[FECHA TERMINO  PLANIFICADO]]-AVANCE[[#This Row],[FECHA INICIO TEORICO]]</f>
        <v>20</v>
      </c>
      <c r="BK469" s="42">
        <f>+AVANCE[[#This Row],[FECHA TERMINO]]-AVANCE[[#This Row],[FECHA INICIO REAL]]</f>
        <v>0</v>
      </c>
    </row>
    <row r="470" spans="1:63" x14ac:dyDescent="0.25">
      <c r="A470" t="s">
        <v>1283</v>
      </c>
      <c r="B470" t="s">
        <v>1304</v>
      </c>
      <c r="C470">
        <v>2282600469</v>
      </c>
      <c r="D470" t="s">
        <v>830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46233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0" s="42">
        <f>+AVANCE[[#This Row],[FECHA TERMINO  PLANIFICADO]]-AVANCE[[#This Row],[FECHA INICIO TEORICO]]</f>
        <v>20</v>
      </c>
      <c r="BK470" s="42">
        <f>+AVANCE[[#This Row],[FECHA TERMINO]]-AVANCE[[#This Row],[FECHA INICIO REAL]]</f>
        <v>0</v>
      </c>
    </row>
    <row r="471" spans="1:63" x14ac:dyDescent="0.25">
      <c r="A471" t="s">
        <v>1283</v>
      </c>
      <c r="B471" t="s">
        <v>1305</v>
      </c>
      <c r="C471">
        <v>2302600470</v>
      </c>
      <c r="D471" t="s">
        <v>831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46233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1" s="42">
        <f>+AVANCE[[#This Row],[FECHA TERMINO  PLANIFICADO]]-AVANCE[[#This Row],[FECHA INICIO TEORICO]]</f>
        <v>30</v>
      </c>
      <c r="BK471" s="42">
        <f>+AVANCE[[#This Row],[FECHA TERMINO]]-AVANCE[[#This Row],[FECHA INICIO REAL]]</f>
        <v>0</v>
      </c>
    </row>
    <row r="472" spans="1:63" x14ac:dyDescent="0.25">
      <c r="A472" t="s">
        <v>1283</v>
      </c>
      <c r="B472" t="s">
        <v>1306</v>
      </c>
      <c r="C472">
        <v>2302600471</v>
      </c>
      <c r="D472" t="s">
        <v>831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46233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2" s="42">
        <f>+AVANCE[[#This Row],[FECHA TERMINO  PLANIFICADO]]-AVANCE[[#This Row],[FECHA INICIO TEORICO]]</f>
        <v>30</v>
      </c>
      <c r="BK472" s="42">
        <f>+AVANCE[[#This Row],[FECHA TERMINO]]-AVANCE[[#This Row],[FECHA INICIO REAL]]</f>
        <v>0</v>
      </c>
    </row>
    <row r="473" spans="1:63" x14ac:dyDescent="0.25">
      <c r="A473" t="s">
        <v>1283</v>
      </c>
      <c r="B473" t="s">
        <v>1307</v>
      </c>
      <c r="C473">
        <v>2282600472</v>
      </c>
      <c r="D473" t="s">
        <v>830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46233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3" s="42">
        <f>+AVANCE[[#This Row],[FECHA TERMINO  PLANIFICADO]]-AVANCE[[#This Row],[FECHA INICIO TEORICO]]</f>
        <v>20</v>
      </c>
      <c r="BK473" s="42">
        <f>+AVANCE[[#This Row],[FECHA TERMINO]]-AVANCE[[#This Row],[FECHA INICIO REAL]]</f>
        <v>0</v>
      </c>
    </row>
    <row r="474" spans="1:63" x14ac:dyDescent="0.25">
      <c r="A474" t="s">
        <v>1283</v>
      </c>
      <c r="B474" t="s">
        <v>1308</v>
      </c>
      <c r="C474">
        <v>2282600473</v>
      </c>
      <c r="D474" t="s">
        <v>830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46233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4" s="42">
        <f>+AVANCE[[#This Row],[FECHA TERMINO  PLANIFICADO]]-AVANCE[[#This Row],[FECHA INICIO TEORICO]]</f>
        <v>20</v>
      </c>
      <c r="BK474" s="42">
        <f>+AVANCE[[#This Row],[FECHA TERMINO]]-AVANCE[[#This Row],[FECHA INICIO REAL]]</f>
        <v>0</v>
      </c>
    </row>
    <row r="475" spans="1:63" x14ac:dyDescent="0.25">
      <c r="A475" t="s">
        <v>1283</v>
      </c>
      <c r="B475" t="s">
        <v>1309</v>
      </c>
      <c r="C475">
        <v>2302600474</v>
      </c>
      <c r="D475" t="s">
        <v>831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46233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5" s="42">
        <f>+AVANCE[[#This Row],[FECHA TERMINO  PLANIFICADO]]-AVANCE[[#This Row],[FECHA INICIO TEORICO]]</f>
        <v>30</v>
      </c>
      <c r="BK475" s="42">
        <f>+AVANCE[[#This Row],[FECHA TERMINO]]-AVANCE[[#This Row],[FECHA INICIO REAL]]</f>
        <v>0</v>
      </c>
    </row>
    <row r="476" spans="1:63" x14ac:dyDescent="0.25">
      <c r="A476" t="s">
        <v>1283</v>
      </c>
      <c r="B476" t="s">
        <v>1310</v>
      </c>
      <c r="C476">
        <v>2302600475</v>
      </c>
      <c r="D476" t="s">
        <v>831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46233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6" s="42">
        <f>+AVANCE[[#This Row],[FECHA TERMINO  PLANIFICADO]]-AVANCE[[#This Row],[FECHA INICIO TEORICO]]</f>
        <v>30</v>
      </c>
      <c r="BK476" s="42">
        <f>+AVANCE[[#This Row],[FECHA TERMINO]]-AVANCE[[#This Row],[FECHA INICIO REAL]]</f>
        <v>0</v>
      </c>
    </row>
    <row r="477" spans="1:63" x14ac:dyDescent="0.25">
      <c r="A477" t="s">
        <v>1283</v>
      </c>
      <c r="B477" t="s">
        <v>1311</v>
      </c>
      <c r="C477">
        <v>2282600476</v>
      </c>
      <c r="D477" t="s">
        <v>830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46233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7" s="42">
        <f>+AVANCE[[#This Row],[FECHA TERMINO  PLANIFICADO]]-AVANCE[[#This Row],[FECHA INICIO TEORICO]]</f>
        <v>20</v>
      </c>
      <c r="BK477" s="42">
        <f>+AVANCE[[#This Row],[FECHA TERMINO]]-AVANCE[[#This Row],[FECHA INICIO REAL]]</f>
        <v>0</v>
      </c>
    </row>
    <row r="478" spans="1:63" x14ac:dyDescent="0.25">
      <c r="A478" t="s">
        <v>1283</v>
      </c>
      <c r="B478" t="s">
        <v>1312</v>
      </c>
      <c r="C478">
        <v>2282600477</v>
      </c>
      <c r="D478" t="s">
        <v>830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46233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8" s="42">
        <f>+AVANCE[[#This Row],[FECHA TERMINO  PLANIFICADO]]-AVANCE[[#This Row],[FECHA INICIO TEORICO]]</f>
        <v>20</v>
      </c>
      <c r="BK478" s="42">
        <f>+AVANCE[[#This Row],[FECHA TERMINO]]-AVANCE[[#This Row],[FECHA INICIO REAL]]</f>
        <v>0</v>
      </c>
    </row>
    <row r="479" spans="1:63" x14ac:dyDescent="0.25">
      <c r="A479" t="s">
        <v>1283</v>
      </c>
      <c r="B479" t="s">
        <v>1313</v>
      </c>
      <c r="C479">
        <v>2302600478</v>
      </c>
      <c r="D479" t="s">
        <v>831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46233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9" s="42">
        <f>+AVANCE[[#This Row],[FECHA TERMINO  PLANIFICADO]]-AVANCE[[#This Row],[FECHA INICIO TEORICO]]</f>
        <v>30</v>
      </c>
      <c r="BK479" s="42">
        <f>+AVANCE[[#This Row],[FECHA TERMINO]]-AVANCE[[#This Row],[FECHA INICIO REAL]]</f>
        <v>0</v>
      </c>
    </row>
    <row r="480" spans="1:63" x14ac:dyDescent="0.25">
      <c r="A480" t="s">
        <v>1283</v>
      </c>
      <c r="B480" t="s">
        <v>1314</v>
      </c>
      <c r="C480">
        <v>2302600479</v>
      </c>
      <c r="D480" t="s">
        <v>831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46233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0" s="42">
        <f>+AVANCE[[#This Row],[FECHA TERMINO  PLANIFICADO]]-AVANCE[[#This Row],[FECHA INICIO TEORICO]]</f>
        <v>30</v>
      </c>
      <c r="BK480" s="42">
        <f>+AVANCE[[#This Row],[FECHA TERMINO]]-AVANCE[[#This Row],[FECHA INICIO REAL]]</f>
        <v>0</v>
      </c>
    </row>
    <row r="481" spans="1:63" x14ac:dyDescent="0.25">
      <c r="A481" t="s">
        <v>1283</v>
      </c>
      <c r="B481" t="s">
        <v>1315</v>
      </c>
      <c r="C481">
        <v>2282600480</v>
      </c>
      <c r="D481" t="s">
        <v>830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46233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1" s="42">
        <f>+AVANCE[[#This Row],[FECHA TERMINO  PLANIFICADO]]-AVANCE[[#This Row],[FECHA INICIO TEORICO]]</f>
        <v>20</v>
      </c>
      <c r="BK481" s="42">
        <f>+AVANCE[[#This Row],[FECHA TERMINO]]-AVANCE[[#This Row],[FECHA INICIO REAL]]</f>
        <v>0</v>
      </c>
    </row>
    <row r="482" spans="1:63" x14ac:dyDescent="0.25">
      <c r="A482" t="s">
        <v>1316</v>
      </c>
      <c r="B482" t="s">
        <v>1317</v>
      </c>
      <c r="C482">
        <v>2282600481</v>
      </c>
      <c r="D482" t="s">
        <v>830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46233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2" s="42">
        <f>+AVANCE[[#This Row],[FECHA TERMINO  PLANIFICADO]]-AVANCE[[#This Row],[FECHA INICIO TEORICO]]</f>
        <v>20</v>
      </c>
      <c r="BK482" s="42">
        <f>+AVANCE[[#This Row],[FECHA TERMINO]]-AVANCE[[#This Row],[FECHA INICIO REAL]]</f>
        <v>0</v>
      </c>
    </row>
    <row r="483" spans="1:63" x14ac:dyDescent="0.25">
      <c r="A483" t="s">
        <v>1316</v>
      </c>
      <c r="B483" t="s">
        <v>1318</v>
      </c>
      <c r="C483">
        <v>2302600482</v>
      </c>
      <c r="D483" t="s">
        <v>831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46233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3" s="42">
        <f>+AVANCE[[#This Row],[FECHA TERMINO  PLANIFICADO]]-AVANCE[[#This Row],[FECHA INICIO TEORICO]]</f>
        <v>30</v>
      </c>
      <c r="BK483" s="42">
        <f>+AVANCE[[#This Row],[FECHA TERMINO]]-AVANCE[[#This Row],[FECHA INICIO REAL]]</f>
        <v>0</v>
      </c>
    </row>
    <row r="484" spans="1:63" x14ac:dyDescent="0.25">
      <c r="A484" t="s">
        <v>1316</v>
      </c>
      <c r="B484" t="s">
        <v>1319</v>
      </c>
      <c r="C484">
        <v>2302600483</v>
      </c>
      <c r="D484" t="s">
        <v>831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46233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4" s="42">
        <f>+AVANCE[[#This Row],[FECHA TERMINO  PLANIFICADO]]-AVANCE[[#This Row],[FECHA INICIO TEORICO]]</f>
        <v>30</v>
      </c>
      <c r="BK484" s="42">
        <f>+AVANCE[[#This Row],[FECHA TERMINO]]-AVANCE[[#This Row],[FECHA INICIO REAL]]</f>
        <v>0</v>
      </c>
    </row>
    <row r="485" spans="1:63" x14ac:dyDescent="0.25">
      <c r="A485" t="s">
        <v>1316</v>
      </c>
      <c r="B485" t="s">
        <v>1320</v>
      </c>
      <c r="C485">
        <v>2282600484</v>
      </c>
      <c r="D485" t="s">
        <v>830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46233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5" s="42">
        <f>+AVANCE[[#This Row],[FECHA TERMINO  PLANIFICADO]]-AVANCE[[#This Row],[FECHA INICIO TEORICO]]</f>
        <v>20</v>
      </c>
      <c r="BK485" s="42">
        <f>+AVANCE[[#This Row],[FECHA TERMINO]]-AVANCE[[#This Row],[FECHA INICIO REAL]]</f>
        <v>0</v>
      </c>
    </row>
    <row r="486" spans="1:63" x14ac:dyDescent="0.25">
      <c r="A486" t="s">
        <v>1316</v>
      </c>
      <c r="B486" t="s">
        <v>1321</v>
      </c>
      <c r="C486">
        <v>2282600485</v>
      </c>
      <c r="D486" t="s">
        <v>830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46233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6" s="42">
        <f>+AVANCE[[#This Row],[FECHA TERMINO  PLANIFICADO]]-AVANCE[[#This Row],[FECHA INICIO TEORICO]]</f>
        <v>20</v>
      </c>
      <c r="BK486" s="42">
        <f>+AVANCE[[#This Row],[FECHA TERMINO]]-AVANCE[[#This Row],[FECHA INICIO REAL]]</f>
        <v>0</v>
      </c>
    </row>
    <row r="487" spans="1:63" x14ac:dyDescent="0.25">
      <c r="A487" t="s">
        <v>1316</v>
      </c>
      <c r="B487" t="s">
        <v>1322</v>
      </c>
      <c r="C487">
        <v>2302600486</v>
      </c>
      <c r="D487" t="s">
        <v>831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46233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7" s="42">
        <f>+AVANCE[[#This Row],[FECHA TERMINO  PLANIFICADO]]-AVANCE[[#This Row],[FECHA INICIO TEORICO]]</f>
        <v>30</v>
      </c>
      <c r="BK487" s="42">
        <f>+AVANCE[[#This Row],[FECHA TERMINO]]-AVANCE[[#This Row],[FECHA INICIO REAL]]</f>
        <v>0</v>
      </c>
    </row>
    <row r="488" spans="1:63" x14ac:dyDescent="0.25">
      <c r="A488" t="s">
        <v>1316</v>
      </c>
      <c r="B488" t="s">
        <v>1323</v>
      </c>
      <c r="C488">
        <v>2302600487</v>
      </c>
      <c r="D488" t="s">
        <v>831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46233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8" s="42">
        <f>+AVANCE[[#This Row],[FECHA TERMINO  PLANIFICADO]]-AVANCE[[#This Row],[FECHA INICIO TEORICO]]</f>
        <v>30</v>
      </c>
      <c r="BK488" s="42">
        <f>+AVANCE[[#This Row],[FECHA TERMINO]]-AVANCE[[#This Row],[FECHA INICIO REAL]]</f>
        <v>0</v>
      </c>
    </row>
    <row r="489" spans="1:63" x14ac:dyDescent="0.25">
      <c r="A489" t="s">
        <v>1316</v>
      </c>
      <c r="B489" t="s">
        <v>1324</v>
      </c>
      <c r="C489">
        <v>2282600488</v>
      </c>
      <c r="D489" t="s">
        <v>830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46233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9" s="42">
        <f>+AVANCE[[#This Row],[FECHA TERMINO  PLANIFICADO]]-AVANCE[[#This Row],[FECHA INICIO TEORICO]]</f>
        <v>20</v>
      </c>
      <c r="BK489" s="42">
        <f>+AVANCE[[#This Row],[FECHA TERMINO]]-AVANCE[[#This Row],[FECHA INICIO REAL]]</f>
        <v>0</v>
      </c>
    </row>
    <row r="490" spans="1:63" x14ac:dyDescent="0.25">
      <c r="A490" t="s">
        <v>1316</v>
      </c>
      <c r="B490" t="s">
        <v>1325</v>
      </c>
      <c r="C490">
        <v>2282600489</v>
      </c>
      <c r="D490" t="s">
        <v>830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46233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0" s="42">
        <f>+AVANCE[[#This Row],[FECHA TERMINO  PLANIFICADO]]-AVANCE[[#This Row],[FECHA INICIO TEORICO]]</f>
        <v>20</v>
      </c>
      <c r="BK490" s="42">
        <f>+AVANCE[[#This Row],[FECHA TERMINO]]-AVANCE[[#This Row],[FECHA INICIO REAL]]</f>
        <v>0</v>
      </c>
    </row>
    <row r="491" spans="1:63" x14ac:dyDescent="0.25">
      <c r="A491" t="s">
        <v>1316</v>
      </c>
      <c r="B491" t="s">
        <v>1326</v>
      </c>
      <c r="C491">
        <v>2302600490</v>
      </c>
      <c r="D491" t="s">
        <v>831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46233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1" s="42">
        <f>+AVANCE[[#This Row],[FECHA TERMINO  PLANIFICADO]]-AVANCE[[#This Row],[FECHA INICIO TEORICO]]</f>
        <v>30</v>
      </c>
      <c r="BK491" s="42">
        <f>+AVANCE[[#This Row],[FECHA TERMINO]]-AVANCE[[#This Row],[FECHA INICIO REAL]]</f>
        <v>0</v>
      </c>
    </row>
    <row r="492" spans="1:63" x14ac:dyDescent="0.25">
      <c r="A492" t="s">
        <v>1316</v>
      </c>
      <c r="B492" t="s">
        <v>1327</v>
      </c>
      <c r="C492">
        <v>2302600491</v>
      </c>
      <c r="D492" t="s">
        <v>831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46233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2" s="42">
        <f>+AVANCE[[#This Row],[FECHA TERMINO  PLANIFICADO]]-AVANCE[[#This Row],[FECHA INICIO TEORICO]]</f>
        <v>30</v>
      </c>
      <c r="BK492" s="42">
        <f>+AVANCE[[#This Row],[FECHA TERMINO]]-AVANCE[[#This Row],[FECHA INICIO REAL]]</f>
        <v>0</v>
      </c>
    </row>
    <row r="493" spans="1:63" x14ac:dyDescent="0.25">
      <c r="A493" t="s">
        <v>1316</v>
      </c>
      <c r="B493" t="s">
        <v>1328</v>
      </c>
      <c r="C493">
        <v>2282600492</v>
      </c>
      <c r="D493" t="s">
        <v>830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46233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3" s="42">
        <f>+AVANCE[[#This Row],[FECHA TERMINO  PLANIFICADO]]-AVANCE[[#This Row],[FECHA INICIO TEORICO]]</f>
        <v>20</v>
      </c>
      <c r="BK493" s="42">
        <f>+AVANCE[[#This Row],[FECHA TERMINO]]-AVANCE[[#This Row],[FECHA INICIO REAL]]</f>
        <v>0</v>
      </c>
    </row>
    <row r="494" spans="1:63" x14ac:dyDescent="0.25">
      <c r="A494" t="s">
        <v>1316</v>
      </c>
      <c r="B494" t="s">
        <v>1329</v>
      </c>
      <c r="C494">
        <v>2282600493</v>
      </c>
      <c r="D494" t="s">
        <v>830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46233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4" s="42">
        <f>+AVANCE[[#This Row],[FECHA TERMINO  PLANIFICADO]]-AVANCE[[#This Row],[FECHA INICIO TEORICO]]</f>
        <v>20</v>
      </c>
      <c r="BK494" s="42">
        <f>+AVANCE[[#This Row],[FECHA TERMINO]]-AVANCE[[#This Row],[FECHA INICIO REAL]]</f>
        <v>0</v>
      </c>
    </row>
    <row r="495" spans="1:63" x14ac:dyDescent="0.25">
      <c r="A495" t="s">
        <v>1316</v>
      </c>
      <c r="B495" t="s">
        <v>1330</v>
      </c>
      <c r="C495">
        <v>2302600494</v>
      </c>
      <c r="D495" t="s">
        <v>831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46233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5" s="42">
        <f>+AVANCE[[#This Row],[FECHA TERMINO  PLANIFICADO]]-AVANCE[[#This Row],[FECHA INICIO TEORICO]]</f>
        <v>30</v>
      </c>
      <c r="BK495" s="42">
        <f>+AVANCE[[#This Row],[FECHA TERMINO]]-AVANCE[[#This Row],[FECHA INICIO REAL]]</f>
        <v>0</v>
      </c>
    </row>
    <row r="496" spans="1:63" x14ac:dyDescent="0.25">
      <c r="A496" t="s">
        <v>1316</v>
      </c>
      <c r="B496" t="s">
        <v>1331</v>
      </c>
      <c r="C496">
        <v>2302600495</v>
      </c>
      <c r="D496" t="s">
        <v>831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46233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6" s="42">
        <f>+AVANCE[[#This Row],[FECHA TERMINO  PLANIFICADO]]-AVANCE[[#This Row],[FECHA INICIO TEORICO]]</f>
        <v>30</v>
      </c>
      <c r="BK496" s="42">
        <f>+AVANCE[[#This Row],[FECHA TERMINO]]-AVANCE[[#This Row],[FECHA INICIO REAL]]</f>
        <v>0</v>
      </c>
    </row>
    <row r="497" spans="1:63" x14ac:dyDescent="0.25">
      <c r="A497" t="s">
        <v>1316</v>
      </c>
      <c r="B497" t="s">
        <v>1332</v>
      </c>
      <c r="C497">
        <v>2282600496</v>
      </c>
      <c r="D497" t="s">
        <v>830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46233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7" s="42">
        <f>+AVANCE[[#This Row],[FECHA TERMINO  PLANIFICADO]]-AVANCE[[#This Row],[FECHA INICIO TEORICO]]</f>
        <v>20</v>
      </c>
      <c r="BK497" s="42">
        <f>+AVANCE[[#This Row],[FECHA TERMINO]]-AVANCE[[#This Row],[FECHA INICIO REAL]]</f>
        <v>0</v>
      </c>
    </row>
    <row r="498" spans="1:63" x14ac:dyDescent="0.25">
      <c r="A498" t="s">
        <v>1316</v>
      </c>
      <c r="B498" t="s">
        <v>1333</v>
      </c>
      <c r="C498">
        <v>2282600497</v>
      </c>
      <c r="D498" t="s">
        <v>830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46233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8" s="42">
        <f>+AVANCE[[#This Row],[FECHA TERMINO  PLANIFICADO]]-AVANCE[[#This Row],[FECHA INICIO TEORICO]]</f>
        <v>20</v>
      </c>
      <c r="BK498" s="42">
        <f>+AVANCE[[#This Row],[FECHA TERMINO]]-AVANCE[[#This Row],[FECHA INICIO REAL]]</f>
        <v>0</v>
      </c>
    </row>
    <row r="499" spans="1:63" x14ac:dyDescent="0.25">
      <c r="A499" t="s">
        <v>1316</v>
      </c>
      <c r="B499" t="s">
        <v>1334</v>
      </c>
      <c r="C499">
        <v>2302600498</v>
      </c>
      <c r="D499" t="s">
        <v>831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46233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9" s="42">
        <f>+AVANCE[[#This Row],[FECHA TERMINO  PLANIFICADO]]-AVANCE[[#This Row],[FECHA INICIO TEORICO]]</f>
        <v>30</v>
      </c>
      <c r="BK499" s="42">
        <f>+AVANCE[[#This Row],[FECHA TERMINO]]-AVANCE[[#This Row],[FECHA INICIO REAL]]</f>
        <v>0</v>
      </c>
    </row>
    <row r="500" spans="1:63" x14ac:dyDescent="0.25">
      <c r="A500" t="s">
        <v>1316</v>
      </c>
      <c r="B500" t="s">
        <v>1335</v>
      </c>
      <c r="C500">
        <v>2302600499</v>
      </c>
      <c r="D500" t="s">
        <v>831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46233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0" s="42">
        <f>+AVANCE[[#This Row],[FECHA TERMINO  PLANIFICADO]]-AVANCE[[#This Row],[FECHA INICIO TEORICO]]</f>
        <v>30</v>
      </c>
      <c r="BK500" s="42">
        <f>+AVANCE[[#This Row],[FECHA TERMINO]]-AVANCE[[#This Row],[FECHA INICIO REAL]]</f>
        <v>0</v>
      </c>
    </row>
    <row r="501" spans="1:63" x14ac:dyDescent="0.25">
      <c r="A501" t="s">
        <v>1316</v>
      </c>
      <c r="B501" t="s">
        <v>1336</v>
      </c>
      <c r="C501">
        <v>2282600500</v>
      </c>
      <c r="D501" t="s">
        <v>830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46233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1" s="42">
        <f>+AVANCE[[#This Row],[FECHA TERMINO  PLANIFICADO]]-AVANCE[[#This Row],[FECHA INICIO TEORICO]]</f>
        <v>20</v>
      </c>
      <c r="BK501" s="42">
        <f>+AVANCE[[#This Row],[FECHA TERMINO]]-AVANCE[[#This Row],[FECHA INICIO REAL]]</f>
        <v>0</v>
      </c>
    </row>
    <row r="502" spans="1:63" x14ac:dyDescent="0.25">
      <c r="A502" t="s">
        <v>1316</v>
      </c>
      <c r="B502" t="s">
        <v>1337</v>
      </c>
      <c r="C502">
        <v>2282600501</v>
      </c>
      <c r="D502" t="s">
        <v>830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46233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2" s="42">
        <f>+AVANCE[[#This Row],[FECHA TERMINO  PLANIFICADO]]-AVANCE[[#This Row],[FECHA INICIO TEORICO]]</f>
        <v>20</v>
      </c>
      <c r="BK502" s="42">
        <f>+AVANCE[[#This Row],[FECHA TERMINO]]-AVANCE[[#This Row],[FECHA INICIO REAL]]</f>
        <v>0</v>
      </c>
    </row>
    <row r="503" spans="1:63" x14ac:dyDescent="0.25">
      <c r="A503" t="s">
        <v>1316</v>
      </c>
      <c r="B503" t="s">
        <v>1338</v>
      </c>
      <c r="C503">
        <v>2302600502</v>
      </c>
      <c r="D503" t="s">
        <v>831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46233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3" s="42">
        <f>+AVANCE[[#This Row],[FECHA TERMINO  PLANIFICADO]]-AVANCE[[#This Row],[FECHA INICIO TEORICO]]</f>
        <v>30</v>
      </c>
      <c r="BK503" s="42">
        <f>+AVANCE[[#This Row],[FECHA TERMINO]]-AVANCE[[#This Row],[FECHA INICIO REAL]]</f>
        <v>0</v>
      </c>
    </row>
    <row r="504" spans="1:63" x14ac:dyDescent="0.25">
      <c r="A504" t="s">
        <v>1316</v>
      </c>
      <c r="B504" t="s">
        <v>1339</v>
      </c>
      <c r="C504">
        <v>2302600503</v>
      </c>
      <c r="D504" t="s">
        <v>831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46233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4" s="42">
        <f>+AVANCE[[#This Row],[FECHA TERMINO  PLANIFICADO]]-AVANCE[[#This Row],[FECHA INICIO TEORICO]]</f>
        <v>30</v>
      </c>
      <c r="BK504" s="42">
        <f>+AVANCE[[#This Row],[FECHA TERMINO]]-AVANCE[[#This Row],[FECHA INICIO REAL]]</f>
        <v>0</v>
      </c>
    </row>
    <row r="505" spans="1:63" x14ac:dyDescent="0.25">
      <c r="A505" t="s">
        <v>1316</v>
      </c>
      <c r="B505" t="s">
        <v>1340</v>
      </c>
      <c r="C505">
        <v>2282600504</v>
      </c>
      <c r="D505" t="s">
        <v>830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46233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5" s="42">
        <f>+AVANCE[[#This Row],[FECHA TERMINO  PLANIFICADO]]-AVANCE[[#This Row],[FECHA INICIO TEORICO]]</f>
        <v>20</v>
      </c>
      <c r="BK505" s="42">
        <f>+AVANCE[[#This Row],[FECHA TERMINO]]-AVANCE[[#This Row],[FECHA INICIO REAL]]</f>
        <v>0</v>
      </c>
    </row>
    <row r="506" spans="1:63" x14ac:dyDescent="0.25">
      <c r="A506" t="s">
        <v>1316</v>
      </c>
      <c r="B506" t="s">
        <v>1341</v>
      </c>
      <c r="C506">
        <v>2282600505</v>
      </c>
      <c r="D506" t="s">
        <v>830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46233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6" s="42">
        <f>+AVANCE[[#This Row],[FECHA TERMINO  PLANIFICADO]]-AVANCE[[#This Row],[FECHA INICIO TEORICO]]</f>
        <v>20</v>
      </c>
      <c r="BK506" s="42">
        <f>+AVANCE[[#This Row],[FECHA TERMINO]]-AVANCE[[#This Row],[FECHA INICIO REAL]]</f>
        <v>0</v>
      </c>
    </row>
    <row r="507" spans="1:63" x14ac:dyDescent="0.25">
      <c r="A507" t="s">
        <v>1316</v>
      </c>
      <c r="B507" t="s">
        <v>1342</v>
      </c>
      <c r="C507">
        <v>2302600506</v>
      </c>
      <c r="D507" t="s">
        <v>831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46233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7" s="42">
        <f>+AVANCE[[#This Row],[FECHA TERMINO  PLANIFICADO]]-AVANCE[[#This Row],[FECHA INICIO TEORICO]]</f>
        <v>30</v>
      </c>
      <c r="BK507" s="42">
        <f>+AVANCE[[#This Row],[FECHA TERMINO]]-AVANCE[[#This Row],[FECHA INICIO REAL]]</f>
        <v>0</v>
      </c>
    </row>
    <row r="508" spans="1:63" x14ac:dyDescent="0.25">
      <c r="A508" t="s">
        <v>1316</v>
      </c>
      <c r="B508" t="s">
        <v>1343</v>
      </c>
      <c r="C508">
        <v>2302600507</v>
      </c>
      <c r="D508" t="s">
        <v>831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46233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8" s="42">
        <f>+AVANCE[[#This Row],[FECHA TERMINO  PLANIFICADO]]-AVANCE[[#This Row],[FECHA INICIO TEORICO]]</f>
        <v>30</v>
      </c>
      <c r="BK508" s="42">
        <f>+AVANCE[[#This Row],[FECHA TERMINO]]-AVANCE[[#This Row],[FECHA INICIO REAL]]</f>
        <v>0</v>
      </c>
    </row>
    <row r="509" spans="1:63" x14ac:dyDescent="0.25">
      <c r="A509" t="s">
        <v>1316</v>
      </c>
      <c r="B509" t="s">
        <v>1344</v>
      </c>
      <c r="C509">
        <v>2282600508</v>
      </c>
      <c r="D509" t="s">
        <v>830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46233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9" s="42">
        <f>+AVANCE[[#This Row],[FECHA TERMINO  PLANIFICADO]]-AVANCE[[#This Row],[FECHA INICIO TEORICO]]</f>
        <v>20</v>
      </c>
      <c r="BK509" s="42">
        <f>+AVANCE[[#This Row],[FECHA TERMINO]]-AVANCE[[#This Row],[FECHA INICIO REAL]]</f>
        <v>0</v>
      </c>
    </row>
    <row r="510" spans="1:63" x14ac:dyDescent="0.25">
      <c r="A510" t="s">
        <v>1316</v>
      </c>
      <c r="B510" t="s">
        <v>1345</v>
      </c>
      <c r="C510">
        <v>2282600509</v>
      </c>
      <c r="D510" t="s">
        <v>830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46233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0" s="42">
        <f>+AVANCE[[#This Row],[FECHA TERMINO  PLANIFICADO]]-AVANCE[[#This Row],[FECHA INICIO TEORICO]]</f>
        <v>20</v>
      </c>
      <c r="BK510" s="42">
        <f>+AVANCE[[#This Row],[FECHA TERMINO]]-AVANCE[[#This Row],[FECHA INICIO REAL]]</f>
        <v>0</v>
      </c>
    </row>
    <row r="511" spans="1:63" x14ac:dyDescent="0.25">
      <c r="A511" t="s">
        <v>1316</v>
      </c>
      <c r="B511" t="s">
        <v>1346</v>
      </c>
      <c r="C511">
        <v>2302600510</v>
      </c>
      <c r="D511" t="s">
        <v>831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46233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1" s="42">
        <f>+AVANCE[[#This Row],[FECHA TERMINO  PLANIFICADO]]-AVANCE[[#This Row],[FECHA INICIO TEORICO]]</f>
        <v>30</v>
      </c>
      <c r="BK511" s="42">
        <f>+AVANCE[[#This Row],[FECHA TERMINO]]-AVANCE[[#This Row],[FECHA INICIO REAL]]</f>
        <v>0</v>
      </c>
    </row>
    <row r="512" spans="1:63" x14ac:dyDescent="0.25">
      <c r="A512" t="s">
        <v>1316</v>
      </c>
      <c r="B512" t="s">
        <v>1347</v>
      </c>
      <c r="C512">
        <v>2302600511</v>
      </c>
      <c r="D512" t="s">
        <v>831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46233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2" s="42">
        <f>+AVANCE[[#This Row],[FECHA TERMINO  PLANIFICADO]]-AVANCE[[#This Row],[FECHA INICIO TEORICO]]</f>
        <v>30</v>
      </c>
      <c r="BK512" s="42">
        <f>+AVANCE[[#This Row],[FECHA TERMINO]]-AVANCE[[#This Row],[FECHA INICIO REAL]]</f>
        <v>0</v>
      </c>
    </row>
    <row r="513" spans="1:63" x14ac:dyDescent="0.25">
      <c r="A513" t="s">
        <v>1316</v>
      </c>
      <c r="B513" t="s">
        <v>1348</v>
      </c>
      <c r="C513">
        <v>2282600512</v>
      </c>
      <c r="D513" t="s">
        <v>830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46233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3" s="42">
        <f>+AVANCE[[#This Row],[FECHA TERMINO  PLANIFICADO]]-AVANCE[[#This Row],[FECHA INICIO TEORICO]]</f>
        <v>20</v>
      </c>
      <c r="BK513" s="42">
        <f>+AVANCE[[#This Row],[FECHA TERMINO]]-AVANCE[[#This Row],[FECHA INICIO REAL]]</f>
        <v>0</v>
      </c>
    </row>
    <row r="514" spans="1:63" x14ac:dyDescent="0.25">
      <c r="A514" t="s">
        <v>1349</v>
      </c>
      <c r="B514" t="s">
        <v>1350</v>
      </c>
      <c r="C514">
        <v>2282600513</v>
      </c>
      <c r="D514" t="s">
        <v>830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46233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4" s="42">
        <f>+AVANCE[[#This Row],[FECHA TERMINO  PLANIFICADO]]-AVANCE[[#This Row],[FECHA INICIO TEORICO]]</f>
        <v>20</v>
      </c>
      <c r="BK514" s="42">
        <f>+AVANCE[[#This Row],[FECHA TERMINO]]-AVANCE[[#This Row],[FECHA INICIO REAL]]</f>
        <v>0</v>
      </c>
    </row>
    <row r="515" spans="1:63" x14ac:dyDescent="0.25">
      <c r="A515" t="s">
        <v>1349</v>
      </c>
      <c r="B515" t="s">
        <v>1351</v>
      </c>
      <c r="C515">
        <v>2302600514</v>
      </c>
      <c r="D515" t="s">
        <v>831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46233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5" s="42">
        <f>+AVANCE[[#This Row],[FECHA TERMINO  PLANIFICADO]]-AVANCE[[#This Row],[FECHA INICIO TEORICO]]</f>
        <v>30</v>
      </c>
      <c r="BK515" s="42">
        <f>+AVANCE[[#This Row],[FECHA TERMINO]]-AVANCE[[#This Row],[FECHA INICIO REAL]]</f>
        <v>0</v>
      </c>
    </row>
    <row r="516" spans="1:63" x14ac:dyDescent="0.25">
      <c r="A516" t="s">
        <v>1349</v>
      </c>
      <c r="B516" t="s">
        <v>1352</v>
      </c>
      <c r="C516">
        <v>2302600515</v>
      </c>
      <c r="D516" t="s">
        <v>831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46233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6" s="42">
        <f>+AVANCE[[#This Row],[FECHA TERMINO  PLANIFICADO]]-AVANCE[[#This Row],[FECHA INICIO TEORICO]]</f>
        <v>30</v>
      </c>
      <c r="BK516" s="42">
        <f>+AVANCE[[#This Row],[FECHA TERMINO]]-AVANCE[[#This Row],[FECHA INICIO REAL]]</f>
        <v>0</v>
      </c>
    </row>
    <row r="517" spans="1:63" x14ac:dyDescent="0.25">
      <c r="A517" t="s">
        <v>1349</v>
      </c>
      <c r="B517" t="s">
        <v>1353</v>
      </c>
      <c r="C517">
        <v>2282600516</v>
      </c>
      <c r="D517" t="s">
        <v>830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46233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7" s="42">
        <f>+AVANCE[[#This Row],[FECHA TERMINO  PLANIFICADO]]-AVANCE[[#This Row],[FECHA INICIO TEORICO]]</f>
        <v>20</v>
      </c>
      <c r="BK517" s="42">
        <f>+AVANCE[[#This Row],[FECHA TERMINO]]-AVANCE[[#This Row],[FECHA INICIO REAL]]</f>
        <v>0</v>
      </c>
    </row>
    <row r="518" spans="1:63" x14ac:dyDescent="0.25">
      <c r="A518" t="s">
        <v>1349</v>
      </c>
      <c r="B518" t="s">
        <v>1354</v>
      </c>
      <c r="C518">
        <v>2282600517</v>
      </c>
      <c r="D518" t="s">
        <v>830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46233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8" s="42">
        <f>+AVANCE[[#This Row],[FECHA TERMINO  PLANIFICADO]]-AVANCE[[#This Row],[FECHA INICIO TEORICO]]</f>
        <v>20</v>
      </c>
      <c r="BK518" s="42">
        <f>+AVANCE[[#This Row],[FECHA TERMINO]]-AVANCE[[#This Row],[FECHA INICIO REAL]]</f>
        <v>0</v>
      </c>
    </row>
    <row r="519" spans="1:63" x14ac:dyDescent="0.25">
      <c r="A519" t="s">
        <v>1349</v>
      </c>
      <c r="B519" t="s">
        <v>1355</v>
      </c>
      <c r="C519">
        <v>2302600518</v>
      </c>
      <c r="D519" t="s">
        <v>831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46233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9" s="42">
        <f>+AVANCE[[#This Row],[FECHA TERMINO  PLANIFICADO]]-AVANCE[[#This Row],[FECHA INICIO TEORICO]]</f>
        <v>30</v>
      </c>
      <c r="BK519" s="42">
        <f>+AVANCE[[#This Row],[FECHA TERMINO]]-AVANCE[[#This Row],[FECHA INICIO REAL]]</f>
        <v>0</v>
      </c>
    </row>
    <row r="520" spans="1:63" x14ac:dyDescent="0.25">
      <c r="A520" t="s">
        <v>1349</v>
      </c>
      <c r="B520" t="s">
        <v>1356</v>
      </c>
      <c r="C520">
        <v>2302600519</v>
      </c>
      <c r="D520" t="s">
        <v>831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46233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0" s="42">
        <f>+AVANCE[[#This Row],[FECHA TERMINO  PLANIFICADO]]-AVANCE[[#This Row],[FECHA INICIO TEORICO]]</f>
        <v>30</v>
      </c>
      <c r="BK520" s="42">
        <f>+AVANCE[[#This Row],[FECHA TERMINO]]-AVANCE[[#This Row],[FECHA INICIO REAL]]</f>
        <v>0</v>
      </c>
    </row>
    <row r="521" spans="1:63" x14ac:dyDescent="0.25">
      <c r="A521" t="s">
        <v>1349</v>
      </c>
      <c r="B521" t="s">
        <v>1357</v>
      </c>
      <c r="C521">
        <v>2282600520</v>
      </c>
      <c r="D521" t="s">
        <v>830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46233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1" s="42">
        <f>+AVANCE[[#This Row],[FECHA TERMINO  PLANIFICADO]]-AVANCE[[#This Row],[FECHA INICIO TEORICO]]</f>
        <v>20</v>
      </c>
      <c r="BK521" s="42">
        <f>+AVANCE[[#This Row],[FECHA TERMINO]]-AVANCE[[#This Row],[FECHA INICIO REAL]]</f>
        <v>0</v>
      </c>
    </row>
    <row r="522" spans="1:63" x14ac:dyDescent="0.25">
      <c r="A522" t="s">
        <v>1349</v>
      </c>
      <c r="B522" t="s">
        <v>1358</v>
      </c>
      <c r="C522">
        <v>2282600521</v>
      </c>
      <c r="D522" t="s">
        <v>830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46233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2" s="42">
        <f>+AVANCE[[#This Row],[FECHA TERMINO  PLANIFICADO]]-AVANCE[[#This Row],[FECHA INICIO TEORICO]]</f>
        <v>20</v>
      </c>
      <c r="BK522" s="42">
        <f>+AVANCE[[#This Row],[FECHA TERMINO]]-AVANCE[[#This Row],[FECHA INICIO REAL]]</f>
        <v>0</v>
      </c>
    </row>
    <row r="523" spans="1:63" x14ac:dyDescent="0.25">
      <c r="A523" t="s">
        <v>1349</v>
      </c>
      <c r="B523" t="s">
        <v>1359</v>
      </c>
      <c r="C523">
        <v>2302600522</v>
      </c>
      <c r="D523" t="s">
        <v>831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46233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3" s="42">
        <f>+AVANCE[[#This Row],[FECHA TERMINO  PLANIFICADO]]-AVANCE[[#This Row],[FECHA INICIO TEORICO]]</f>
        <v>30</v>
      </c>
      <c r="BK523" s="42">
        <f>+AVANCE[[#This Row],[FECHA TERMINO]]-AVANCE[[#This Row],[FECHA INICIO REAL]]</f>
        <v>0</v>
      </c>
    </row>
    <row r="524" spans="1:63" x14ac:dyDescent="0.25">
      <c r="A524" t="s">
        <v>1349</v>
      </c>
      <c r="B524" t="s">
        <v>1360</v>
      </c>
      <c r="C524">
        <v>2302600523</v>
      </c>
      <c r="D524" t="s">
        <v>831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46233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4" s="42">
        <f>+AVANCE[[#This Row],[FECHA TERMINO  PLANIFICADO]]-AVANCE[[#This Row],[FECHA INICIO TEORICO]]</f>
        <v>30</v>
      </c>
      <c r="BK524" s="42">
        <f>+AVANCE[[#This Row],[FECHA TERMINO]]-AVANCE[[#This Row],[FECHA INICIO REAL]]</f>
        <v>0</v>
      </c>
    </row>
    <row r="525" spans="1:63" x14ac:dyDescent="0.25">
      <c r="A525" t="s">
        <v>1349</v>
      </c>
      <c r="B525" t="s">
        <v>1361</v>
      </c>
      <c r="C525">
        <v>2282600524</v>
      </c>
      <c r="D525" t="s">
        <v>830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46233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5" s="42">
        <f>+AVANCE[[#This Row],[FECHA TERMINO  PLANIFICADO]]-AVANCE[[#This Row],[FECHA INICIO TEORICO]]</f>
        <v>20</v>
      </c>
      <c r="BK525" s="42">
        <f>+AVANCE[[#This Row],[FECHA TERMINO]]-AVANCE[[#This Row],[FECHA INICIO REAL]]</f>
        <v>0</v>
      </c>
    </row>
    <row r="526" spans="1:63" x14ac:dyDescent="0.25">
      <c r="A526" t="s">
        <v>1349</v>
      </c>
      <c r="B526" t="s">
        <v>1362</v>
      </c>
      <c r="C526">
        <v>2282600525</v>
      </c>
      <c r="D526" t="s">
        <v>830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46233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6" s="42">
        <f>+AVANCE[[#This Row],[FECHA TERMINO  PLANIFICADO]]-AVANCE[[#This Row],[FECHA INICIO TEORICO]]</f>
        <v>20</v>
      </c>
      <c r="BK526" s="42">
        <f>+AVANCE[[#This Row],[FECHA TERMINO]]-AVANCE[[#This Row],[FECHA INICIO REAL]]</f>
        <v>0</v>
      </c>
    </row>
    <row r="527" spans="1:63" x14ac:dyDescent="0.25">
      <c r="A527" t="s">
        <v>1349</v>
      </c>
      <c r="B527" t="s">
        <v>1363</v>
      </c>
      <c r="C527">
        <v>2302600526</v>
      </c>
      <c r="D527" t="s">
        <v>831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46233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7" s="42">
        <f>+AVANCE[[#This Row],[FECHA TERMINO  PLANIFICADO]]-AVANCE[[#This Row],[FECHA INICIO TEORICO]]</f>
        <v>30</v>
      </c>
      <c r="BK527" s="42">
        <f>+AVANCE[[#This Row],[FECHA TERMINO]]-AVANCE[[#This Row],[FECHA INICIO REAL]]</f>
        <v>0</v>
      </c>
    </row>
    <row r="528" spans="1:63" x14ac:dyDescent="0.25">
      <c r="A528" t="s">
        <v>1349</v>
      </c>
      <c r="B528" t="s">
        <v>1364</v>
      </c>
      <c r="C528">
        <v>2302600527</v>
      </c>
      <c r="D528" t="s">
        <v>831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46233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8" s="42">
        <f>+AVANCE[[#This Row],[FECHA TERMINO  PLANIFICADO]]-AVANCE[[#This Row],[FECHA INICIO TEORICO]]</f>
        <v>30</v>
      </c>
      <c r="BK528" s="42">
        <f>+AVANCE[[#This Row],[FECHA TERMINO]]-AVANCE[[#This Row],[FECHA INICIO REAL]]</f>
        <v>0</v>
      </c>
    </row>
    <row r="529" spans="1:63" x14ac:dyDescent="0.25">
      <c r="A529" t="s">
        <v>1349</v>
      </c>
      <c r="B529" t="s">
        <v>1365</v>
      </c>
      <c r="C529">
        <v>2282600528</v>
      </c>
      <c r="D529" t="s">
        <v>830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46233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9" s="42">
        <f>+AVANCE[[#This Row],[FECHA TERMINO  PLANIFICADO]]-AVANCE[[#This Row],[FECHA INICIO TEORICO]]</f>
        <v>20</v>
      </c>
      <c r="BK529" s="42">
        <f>+AVANCE[[#This Row],[FECHA TERMINO]]-AVANCE[[#This Row],[FECHA INICIO REAL]]</f>
        <v>0</v>
      </c>
    </row>
    <row r="530" spans="1:63" x14ac:dyDescent="0.25">
      <c r="A530" t="s">
        <v>1349</v>
      </c>
      <c r="B530" t="s">
        <v>1366</v>
      </c>
      <c r="C530">
        <v>2282600529</v>
      </c>
      <c r="D530" t="s">
        <v>830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46233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0" s="42">
        <f>+AVANCE[[#This Row],[FECHA TERMINO  PLANIFICADO]]-AVANCE[[#This Row],[FECHA INICIO TEORICO]]</f>
        <v>20</v>
      </c>
      <c r="BK530" s="42">
        <f>+AVANCE[[#This Row],[FECHA TERMINO]]-AVANCE[[#This Row],[FECHA INICIO REAL]]</f>
        <v>0</v>
      </c>
    </row>
    <row r="531" spans="1:63" x14ac:dyDescent="0.25">
      <c r="A531" t="s">
        <v>1349</v>
      </c>
      <c r="B531" t="s">
        <v>1367</v>
      </c>
      <c r="C531">
        <v>2302600530</v>
      </c>
      <c r="D531" t="s">
        <v>831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46233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1" s="42">
        <f>+AVANCE[[#This Row],[FECHA TERMINO  PLANIFICADO]]-AVANCE[[#This Row],[FECHA INICIO TEORICO]]</f>
        <v>30</v>
      </c>
      <c r="BK531" s="42">
        <f>+AVANCE[[#This Row],[FECHA TERMINO]]-AVANCE[[#This Row],[FECHA INICIO REAL]]</f>
        <v>0</v>
      </c>
    </row>
    <row r="532" spans="1:63" x14ac:dyDescent="0.25">
      <c r="A532" t="s">
        <v>1349</v>
      </c>
      <c r="B532" t="s">
        <v>1368</v>
      </c>
      <c r="C532">
        <v>2302600531</v>
      </c>
      <c r="D532" t="s">
        <v>831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46233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2" s="42">
        <f>+AVANCE[[#This Row],[FECHA TERMINO  PLANIFICADO]]-AVANCE[[#This Row],[FECHA INICIO TEORICO]]</f>
        <v>30</v>
      </c>
      <c r="BK532" s="42">
        <f>+AVANCE[[#This Row],[FECHA TERMINO]]-AVANCE[[#This Row],[FECHA INICIO REAL]]</f>
        <v>0</v>
      </c>
    </row>
    <row r="533" spans="1:63" x14ac:dyDescent="0.25">
      <c r="A533" t="s">
        <v>1349</v>
      </c>
      <c r="B533" t="s">
        <v>1369</v>
      </c>
      <c r="C533">
        <v>2282600532</v>
      </c>
      <c r="D533" t="s">
        <v>830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46233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3" s="42">
        <f>+AVANCE[[#This Row],[FECHA TERMINO  PLANIFICADO]]-AVANCE[[#This Row],[FECHA INICIO TEORICO]]</f>
        <v>20</v>
      </c>
      <c r="BK533" s="42">
        <f>+AVANCE[[#This Row],[FECHA TERMINO]]-AVANCE[[#This Row],[FECHA INICIO REAL]]</f>
        <v>0</v>
      </c>
    </row>
    <row r="534" spans="1:63" x14ac:dyDescent="0.25">
      <c r="A534" t="s">
        <v>1349</v>
      </c>
      <c r="B534" t="s">
        <v>1370</v>
      </c>
      <c r="C534">
        <v>2282600533</v>
      </c>
      <c r="D534" t="s">
        <v>830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46233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4" s="42">
        <f>+AVANCE[[#This Row],[FECHA TERMINO  PLANIFICADO]]-AVANCE[[#This Row],[FECHA INICIO TEORICO]]</f>
        <v>20</v>
      </c>
      <c r="BK534" s="42">
        <f>+AVANCE[[#This Row],[FECHA TERMINO]]-AVANCE[[#This Row],[FECHA INICIO REAL]]</f>
        <v>0</v>
      </c>
    </row>
    <row r="535" spans="1:63" x14ac:dyDescent="0.25">
      <c r="A535" t="s">
        <v>1349</v>
      </c>
      <c r="B535" t="s">
        <v>1371</v>
      </c>
      <c r="C535">
        <v>2302600534</v>
      </c>
      <c r="D535" t="s">
        <v>831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46233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5" s="42">
        <f>+AVANCE[[#This Row],[FECHA TERMINO  PLANIFICADO]]-AVANCE[[#This Row],[FECHA INICIO TEORICO]]</f>
        <v>30</v>
      </c>
      <c r="BK535" s="42">
        <f>+AVANCE[[#This Row],[FECHA TERMINO]]-AVANCE[[#This Row],[FECHA INICIO REAL]]</f>
        <v>0</v>
      </c>
    </row>
    <row r="536" spans="1:63" x14ac:dyDescent="0.25">
      <c r="A536" t="s">
        <v>1349</v>
      </c>
      <c r="B536" t="s">
        <v>1372</v>
      </c>
      <c r="C536">
        <v>2302600535</v>
      </c>
      <c r="D536" t="s">
        <v>831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46233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6" s="42">
        <f>+AVANCE[[#This Row],[FECHA TERMINO  PLANIFICADO]]-AVANCE[[#This Row],[FECHA INICIO TEORICO]]</f>
        <v>30</v>
      </c>
      <c r="BK536" s="42">
        <f>+AVANCE[[#This Row],[FECHA TERMINO]]-AVANCE[[#This Row],[FECHA INICIO REAL]]</f>
        <v>0</v>
      </c>
    </row>
    <row r="537" spans="1:63" x14ac:dyDescent="0.25">
      <c r="A537" t="s">
        <v>1349</v>
      </c>
      <c r="B537" t="s">
        <v>1373</v>
      </c>
      <c r="C537">
        <v>2282600536</v>
      </c>
      <c r="D537" t="s">
        <v>830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46233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7" s="42">
        <f>+AVANCE[[#This Row],[FECHA TERMINO  PLANIFICADO]]-AVANCE[[#This Row],[FECHA INICIO TEORICO]]</f>
        <v>20</v>
      </c>
      <c r="BK537" s="42">
        <f>+AVANCE[[#This Row],[FECHA TERMINO]]-AVANCE[[#This Row],[FECHA INICIO REAL]]</f>
        <v>0</v>
      </c>
    </row>
    <row r="538" spans="1:63" x14ac:dyDescent="0.25">
      <c r="A538" t="s">
        <v>1349</v>
      </c>
      <c r="B538" t="s">
        <v>1374</v>
      </c>
      <c r="C538">
        <v>2282600537</v>
      </c>
      <c r="D538" t="s">
        <v>830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46233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8" s="42">
        <f>+AVANCE[[#This Row],[FECHA TERMINO  PLANIFICADO]]-AVANCE[[#This Row],[FECHA INICIO TEORICO]]</f>
        <v>20</v>
      </c>
      <c r="BK538" s="42">
        <f>+AVANCE[[#This Row],[FECHA TERMINO]]-AVANCE[[#This Row],[FECHA INICIO REAL]]</f>
        <v>0</v>
      </c>
    </row>
    <row r="539" spans="1:63" x14ac:dyDescent="0.25">
      <c r="A539" t="s">
        <v>1349</v>
      </c>
      <c r="B539" t="s">
        <v>1375</v>
      </c>
      <c r="C539">
        <v>2302600538</v>
      </c>
      <c r="D539" t="s">
        <v>831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46233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9" s="42">
        <f>+AVANCE[[#This Row],[FECHA TERMINO  PLANIFICADO]]-AVANCE[[#This Row],[FECHA INICIO TEORICO]]</f>
        <v>30</v>
      </c>
      <c r="BK539" s="42">
        <f>+AVANCE[[#This Row],[FECHA TERMINO]]-AVANCE[[#This Row],[FECHA INICIO REAL]]</f>
        <v>0</v>
      </c>
    </row>
    <row r="540" spans="1:63" x14ac:dyDescent="0.25">
      <c r="A540" t="s">
        <v>1349</v>
      </c>
      <c r="B540" t="s">
        <v>1376</v>
      </c>
      <c r="C540">
        <v>2302600539</v>
      </c>
      <c r="D540" t="s">
        <v>831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46233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0" s="42">
        <f>+AVANCE[[#This Row],[FECHA TERMINO  PLANIFICADO]]-AVANCE[[#This Row],[FECHA INICIO TEORICO]]</f>
        <v>30</v>
      </c>
      <c r="BK540" s="42">
        <f>+AVANCE[[#This Row],[FECHA TERMINO]]-AVANCE[[#This Row],[FECHA INICIO REAL]]</f>
        <v>0</v>
      </c>
    </row>
    <row r="541" spans="1:63" x14ac:dyDescent="0.25">
      <c r="A541" t="s">
        <v>1349</v>
      </c>
      <c r="B541" t="s">
        <v>1377</v>
      </c>
      <c r="C541">
        <v>2282600540</v>
      </c>
      <c r="D541" t="s">
        <v>830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46233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1" s="42">
        <f>+AVANCE[[#This Row],[FECHA TERMINO  PLANIFICADO]]-AVANCE[[#This Row],[FECHA INICIO TEORICO]]</f>
        <v>20</v>
      </c>
      <c r="BK541" s="42">
        <f>+AVANCE[[#This Row],[FECHA TERMINO]]-AVANCE[[#This Row],[FECHA INICIO REAL]]</f>
        <v>0</v>
      </c>
    </row>
    <row r="542" spans="1:63" x14ac:dyDescent="0.25">
      <c r="A542" t="s">
        <v>1349</v>
      </c>
      <c r="B542" t="s">
        <v>1378</v>
      </c>
      <c r="C542">
        <v>2282600541</v>
      </c>
      <c r="D542" t="s">
        <v>830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46233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2" s="42">
        <f>+AVANCE[[#This Row],[FECHA TERMINO  PLANIFICADO]]-AVANCE[[#This Row],[FECHA INICIO TEORICO]]</f>
        <v>20</v>
      </c>
      <c r="BK542" s="42">
        <f>+AVANCE[[#This Row],[FECHA TERMINO]]-AVANCE[[#This Row],[FECHA INICIO REAL]]</f>
        <v>0</v>
      </c>
    </row>
    <row r="543" spans="1:63" x14ac:dyDescent="0.25">
      <c r="A543" t="s">
        <v>1349</v>
      </c>
      <c r="B543" t="s">
        <v>1379</v>
      </c>
      <c r="C543">
        <v>2302600542</v>
      </c>
      <c r="D543" t="s">
        <v>831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46233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3" s="42">
        <f>+AVANCE[[#This Row],[FECHA TERMINO  PLANIFICADO]]-AVANCE[[#This Row],[FECHA INICIO TEORICO]]</f>
        <v>30</v>
      </c>
      <c r="BK543" s="42">
        <f>+AVANCE[[#This Row],[FECHA TERMINO]]-AVANCE[[#This Row],[FECHA INICIO REAL]]</f>
        <v>0</v>
      </c>
    </row>
    <row r="544" spans="1:63" x14ac:dyDescent="0.25">
      <c r="A544" t="s">
        <v>1349</v>
      </c>
      <c r="B544" t="s">
        <v>1380</v>
      </c>
      <c r="C544">
        <v>2302600543</v>
      </c>
      <c r="D544" t="s">
        <v>831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46233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4" s="42">
        <f>+AVANCE[[#This Row],[FECHA TERMINO  PLANIFICADO]]-AVANCE[[#This Row],[FECHA INICIO TEORICO]]</f>
        <v>30</v>
      </c>
      <c r="BK544" s="42">
        <f>+AVANCE[[#This Row],[FECHA TERMINO]]-AVANCE[[#This Row],[FECHA INICIO REAL]]</f>
        <v>0</v>
      </c>
    </row>
    <row r="545" spans="1:63" x14ac:dyDescent="0.25">
      <c r="A545" t="s">
        <v>1349</v>
      </c>
      <c r="B545" t="s">
        <v>1381</v>
      </c>
      <c r="C545">
        <v>2282600544</v>
      </c>
      <c r="D545" t="s">
        <v>830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46233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5" s="42">
        <f>+AVANCE[[#This Row],[FECHA TERMINO  PLANIFICADO]]-AVANCE[[#This Row],[FECHA INICIO TEORICO]]</f>
        <v>20</v>
      </c>
      <c r="BK545" s="42">
        <f>+AVANCE[[#This Row],[FECHA TERMINO]]-AVANCE[[#This Row],[FECHA INICIO REAL]]</f>
        <v>0</v>
      </c>
    </row>
    <row r="546" spans="1:63" x14ac:dyDescent="0.25">
      <c r="A546" t="s">
        <v>1382</v>
      </c>
      <c r="B546" t="s">
        <v>1383</v>
      </c>
      <c r="C546">
        <v>2282600545</v>
      </c>
      <c r="D546" t="s">
        <v>830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46233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6" s="42">
        <f>+AVANCE[[#This Row],[FECHA TERMINO  PLANIFICADO]]-AVANCE[[#This Row],[FECHA INICIO TEORICO]]</f>
        <v>20</v>
      </c>
      <c r="BK546" s="42">
        <f>+AVANCE[[#This Row],[FECHA TERMINO]]-AVANCE[[#This Row],[FECHA INICIO REAL]]</f>
        <v>0</v>
      </c>
    </row>
    <row r="547" spans="1:63" x14ac:dyDescent="0.25">
      <c r="A547" t="s">
        <v>1382</v>
      </c>
      <c r="B547" t="s">
        <v>1384</v>
      </c>
      <c r="C547">
        <v>2302600546</v>
      </c>
      <c r="D547" t="s">
        <v>831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46233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7" s="42">
        <f>+AVANCE[[#This Row],[FECHA TERMINO  PLANIFICADO]]-AVANCE[[#This Row],[FECHA INICIO TEORICO]]</f>
        <v>30</v>
      </c>
      <c r="BK547" s="42">
        <f>+AVANCE[[#This Row],[FECHA TERMINO]]-AVANCE[[#This Row],[FECHA INICIO REAL]]</f>
        <v>0</v>
      </c>
    </row>
    <row r="548" spans="1:63" x14ac:dyDescent="0.25">
      <c r="A548" t="s">
        <v>1382</v>
      </c>
      <c r="B548" t="s">
        <v>1385</v>
      </c>
      <c r="C548">
        <v>2302600547</v>
      </c>
      <c r="D548" t="s">
        <v>831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46233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8" s="42">
        <f>+AVANCE[[#This Row],[FECHA TERMINO  PLANIFICADO]]-AVANCE[[#This Row],[FECHA INICIO TEORICO]]</f>
        <v>30</v>
      </c>
      <c r="BK548" s="42">
        <f>+AVANCE[[#This Row],[FECHA TERMINO]]-AVANCE[[#This Row],[FECHA INICIO REAL]]</f>
        <v>0</v>
      </c>
    </row>
    <row r="549" spans="1:63" x14ac:dyDescent="0.25">
      <c r="A549" t="s">
        <v>1382</v>
      </c>
      <c r="B549" t="s">
        <v>1386</v>
      </c>
      <c r="C549">
        <v>2282600548</v>
      </c>
      <c r="D549" t="s">
        <v>830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46233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9" s="42">
        <f>+AVANCE[[#This Row],[FECHA TERMINO  PLANIFICADO]]-AVANCE[[#This Row],[FECHA INICIO TEORICO]]</f>
        <v>20</v>
      </c>
      <c r="BK549" s="42">
        <f>+AVANCE[[#This Row],[FECHA TERMINO]]-AVANCE[[#This Row],[FECHA INICIO REAL]]</f>
        <v>0</v>
      </c>
    </row>
    <row r="550" spans="1:63" x14ac:dyDescent="0.25">
      <c r="A550" t="s">
        <v>1382</v>
      </c>
      <c r="B550" t="s">
        <v>1387</v>
      </c>
      <c r="C550">
        <v>2282600549</v>
      </c>
      <c r="D550" t="s">
        <v>830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46233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0" s="42">
        <f>+AVANCE[[#This Row],[FECHA TERMINO  PLANIFICADO]]-AVANCE[[#This Row],[FECHA INICIO TEORICO]]</f>
        <v>20</v>
      </c>
      <c r="BK550" s="42">
        <f>+AVANCE[[#This Row],[FECHA TERMINO]]-AVANCE[[#This Row],[FECHA INICIO REAL]]</f>
        <v>0</v>
      </c>
    </row>
    <row r="551" spans="1:63" x14ac:dyDescent="0.25">
      <c r="A551" t="s">
        <v>1382</v>
      </c>
      <c r="B551" t="s">
        <v>1388</v>
      </c>
      <c r="C551">
        <v>2302600550</v>
      </c>
      <c r="D551" t="s">
        <v>831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46233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1" s="42">
        <f>+AVANCE[[#This Row],[FECHA TERMINO  PLANIFICADO]]-AVANCE[[#This Row],[FECHA INICIO TEORICO]]</f>
        <v>30</v>
      </c>
      <c r="BK551" s="42">
        <f>+AVANCE[[#This Row],[FECHA TERMINO]]-AVANCE[[#This Row],[FECHA INICIO REAL]]</f>
        <v>0</v>
      </c>
    </row>
    <row r="552" spans="1:63" x14ac:dyDescent="0.25">
      <c r="A552" t="s">
        <v>1382</v>
      </c>
      <c r="B552" t="s">
        <v>1389</v>
      </c>
      <c r="C552">
        <v>2302600551</v>
      </c>
      <c r="D552" t="s">
        <v>831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46233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2" s="42">
        <f>+AVANCE[[#This Row],[FECHA TERMINO  PLANIFICADO]]-AVANCE[[#This Row],[FECHA INICIO TEORICO]]</f>
        <v>30</v>
      </c>
      <c r="BK552" s="42">
        <f>+AVANCE[[#This Row],[FECHA TERMINO]]-AVANCE[[#This Row],[FECHA INICIO REAL]]</f>
        <v>0</v>
      </c>
    </row>
    <row r="553" spans="1:63" x14ac:dyDescent="0.25">
      <c r="A553" t="s">
        <v>1382</v>
      </c>
      <c r="B553" t="s">
        <v>1390</v>
      </c>
      <c r="C553">
        <v>2282600552</v>
      </c>
      <c r="D553" t="s">
        <v>830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46233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3" s="42">
        <f>+AVANCE[[#This Row],[FECHA TERMINO  PLANIFICADO]]-AVANCE[[#This Row],[FECHA INICIO TEORICO]]</f>
        <v>20</v>
      </c>
      <c r="BK553" s="42">
        <f>+AVANCE[[#This Row],[FECHA TERMINO]]-AVANCE[[#This Row],[FECHA INICIO REAL]]</f>
        <v>0</v>
      </c>
    </row>
    <row r="554" spans="1:63" x14ac:dyDescent="0.25">
      <c r="A554" t="s">
        <v>1382</v>
      </c>
      <c r="B554" t="s">
        <v>1391</v>
      </c>
      <c r="C554">
        <v>2282600553</v>
      </c>
      <c r="D554" t="s">
        <v>830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46233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4" s="42">
        <f>+AVANCE[[#This Row],[FECHA TERMINO  PLANIFICADO]]-AVANCE[[#This Row],[FECHA INICIO TEORICO]]</f>
        <v>20</v>
      </c>
      <c r="BK554" s="42">
        <f>+AVANCE[[#This Row],[FECHA TERMINO]]-AVANCE[[#This Row],[FECHA INICIO REAL]]</f>
        <v>0</v>
      </c>
    </row>
    <row r="555" spans="1:63" x14ac:dyDescent="0.25">
      <c r="A555" t="s">
        <v>1382</v>
      </c>
      <c r="B555" t="s">
        <v>1392</v>
      </c>
      <c r="C555">
        <v>2302600554</v>
      </c>
      <c r="D555" t="s">
        <v>831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46233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5" s="42">
        <f>+AVANCE[[#This Row],[FECHA TERMINO  PLANIFICADO]]-AVANCE[[#This Row],[FECHA INICIO TEORICO]]</f>
        <v>30</v>
      </c>
      <c r="BK555" s="42">
        <f>+AVANCE[[#This Row],[FECHA TERMINO]]-AVANCE[[#This Row],[FECHA INICIO REAL]]</f>
        <v>0</v>
      </c>
    </row>
    <row r="556" spans="1:63" x14ac:dyDescent="0.25">
      <c r="A556" t="s">
        <v>1382</v>
      </c>
      <c r="B556" t="s">
        <v>1393</v>
      </c>
      <c r="C556">
        <v>2302600555</v>
      </c>
      <c r="D556" t="s">
        <v>831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46233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6" s="42">
        <f>+AVANCE[[#This Row],[FECHA TERMINO  PLANIFICADO]]-AVANCE[[#This Row],[FECHA INICIO TEORICO]]</f>
        <v>30</v>
      </c>
      <c r="BK556" s="42">
        <f>+AVANCE[[#This Row],[FECHA TERMINO]]-AVANCE[[#This Row],[FECHA INICIO REAL]]</f>
        <v>0</v>
      </c>
    </row>
    <row r="557" spans="1:63" x14ac:dyDescent="0.25">
      <c r="A557" t="s">
        <v>1382</v>
      </c>
      <c r="B557" t="s">
        <v>1394</v>
      </c>
      <c r="C557">
        <v>2282600556</v>
      </c>
      <c r="D557" t="s">
        <v>830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46233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7" s="42">
        <f>+AVANCE[[#This Row],[FECHA TERMINO  PLANIFICADO]]-AVANCE[[#This Row],[FECHA INICIO TEORICO]]</f>
        <v>20</v>
      </c>
      <c r="BK557" s="42">
        <f>+AVANCE[[#This Row],[FECHA TERMINO]]-AVANCE[[#This Row],[FECHA INICIO REAL]]</f>
        <v>0</v>
      </c>
    </row>
    <row r="558" spans="1:63" x14ac:dyDescent="0.25">
      <c r="A558" t="s">
        <v>1382</v>
      </c>
      <c r="B558" t="s">
        <v>1395</v>
      </c>
      <c r="C558">
        <v>2282600557</v>
      </c>
      <c r="D558" t="s">
        <v>830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46233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8" s="42">
        <f>+AVANCE[[#This Row],[FECHA TERMINO  PLANIFICADO]]-AVANCE[[#This Row],[FECHA INICIO TEORICO]]</f>
        <v>20</v>
      </c>
      <c r="BK558" s="42">
        <f>+AVANCE[[#This Row],[FECHA TERMINO]]-AVANCE[[#This Row],[FECHA INICIO REAL]]</f>
        <v>0</v>
      </c>
    </row>
    <row r="559" spans="1:63" x14ac:dyDescent="0.25">
      <c r="A559" t="s">
        <v>1382</v>
      </c>
      <c r="B559" t="s">
        <v>1396</v>
      </c>
      <c r="C559">
        <v>2302600558</v>
      </c>
      <c r="D559" t="s">
        <v>831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46233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9" s="42">
        <f>+AVANCE[[#This Row],[FECHA TERMINO  PLANIFICADO]]-AVANCE[[#This Row],[FECHA INICIO TEORICO]]</f>
        <v>30</v>
      </c>
      <c r="BK559" s="42">
        <f>+AVANCE[[#This Row],[FECHA TERMINO]]-AVANCE[[#This Row],[FECHA INICIO REAL]]</f>
        <v>0</v>
      </c>
    </row>
    <row r="560" spans="1:63" x14ac:dyDescent="0.25">
      <c r="A560" t="s">
        <v>1382</v>
      </c>
      <c r="B560" t="s">
        <v>1397</v>
      </c>
      <c r="C560">
        <v>2302600559</v>
      </c>
      <c r="D560" t="s">
        <v>831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46233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0" s="42">
        <f>+AVANCE[[#This Row],[FECHA TERMINO  PLANIFICADO]]-AVANCE[[#This Row],[FECHA INICIO TEORICO]]</f>
        <v>30</v>
      </c>
      <c r="BK560" s="42">
        <f>+AVANCE[[#This Row],[FECHA TERMINO]]-AVANCE[[#This Row],[FECHA INICIO REAL]]</f>
        <v>0</v>
      </c>
    </row>
    <row r="561" spans="1:63" x14ac:dyDescent="0.25">
      <c r="A561" t="s">
        <v>1382</v>
      </c>
      <c r="B561" t="s">
        <v>1398</v>
      </c>
      <c r="C561">
        <v>2282600560</v>
      </c>
      <c r="D561" t="s">
        <v>830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46233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1" s="42">
        <f>+AVANCE[[#This Row],[FECHA TERMINO  PLANIFICADO]]-AVANCE[[#This Row],[FECHA INICIO TEORICO]]</f>
        <v>20</v>
      </c>
      <c r="BK561" s="42">
        <f>+AVANCE[[#This Row],[FECHA TERMINO]]-AVANCE[[#This Row],[FECHA INICIO REAL]]</f>
        <v>0</v>
      </c>
    </row>
    <row r="562" spans="1:63" x14ac:dyDescent="0.25">
      <c r="A562" t="s">
        <v>1382</v>
      </c>
      <c r="B562" t="s">
        <v>1399</v>
      </c>
      <c r="C562">
        <v>2282600561</v>
      </c>
      <c r="D562" t="s">
        <v>830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46233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2" s="42">
        <f>+AVANCE[[#This Row],[FECHA TERMINO  PLANIFICADO]]-AVANCE[[#This Row],[FECHA INICIO TEORICO]]</f>
        <v>20</v>
      </c>
      <c r="BK562" s="42">
        <f>+AVANCE[[#This Row],[FECHA TERMINO]]-AVANCE[[#This Row],[FECHA INICIO REAL]]</f>
        <v>0</v>
      </c>
    </row>
    <row r="563" spans="1:63" x14ac:dyDescent="0.25">
      <c r="A563" t="s">
        <v>1382</v>
      </c>
      <c r="B563" t="s">
        <v>1400</v>
      </c>
      <c r="C563">
        <v>2302600562</v>
      </c>
      <c r="D563" t="s">
        <v>831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46233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3" s="42">
        <f>+AVANCE[[#This Row],[FECHA TERMINO  PLANIFICADO]]-AVANCE[[#This Row],[FECHA INICIO TEORICO]]</f>
        <v>30</v>
      </c>
      <c r="BK563" s="42">
        <f>+AVANCE[[#This Row],[FECHA TERMINO]]-AVANCE[[#This Row],[FECHA INICIO REAL]]</f>
        <v>0</v>
      </c>
    </row>
    <row r="564" spans="1:63" x14ac:dyDescent="0.25">
      <c r="A564" t="s">
        <v>1382</v>
      </c>
      <c r="B564" t="s">
        <v>1401</v>
      </c>
      <c r="C564">
        <v>2302600563</v>
      </c>
      <c r="D564" t="s">
        <v>831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46233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4" s="42">
        <f>+AVANCE[[#This Row],[FECHA TERMINO  PLANIFICADO]]-AVANCE[[#This Row],[FECHA INICIO TEORICO]]</f>
        <v>30</v>
      </c>
      <c r="BK564" s="42">
        <f>+AVANCE[[#This Row],[FECHA TERMINO]]-AVANCE[[#This Row],[FECHA INICIO REAL]]</f>
        <v>0</v>
      </c>
    </row>
    <row r="565" spans="1:63" x14ac:dyDescent="0.25">
      <c r="A565" t="s">
        <v>1382</v>
      </c>
      <c r="B565" t="s">
        <v>1402</v>
      </c>
      <c r="C565">
        <v>2282600564</v>
      </c>
      <c r="D565" t="s">
        <v>830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46233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5" s="42">
        <f>+AVANCE[[#This Row],[FECHA TERMINO  PLANIFICADO]]-AVANCE[[#This Row],[FECHA INICIO TEORICO]]</f>
        <v>20</v>
      </c>
      <c r="BK565" s="42">
        <f>+AVANCE[[#This Row],[FECHA TERMINO]]-AVANCE[[#This Row],[FECHA INICIO REAL]]</f>
        <v>0</v>
      </c>
    </row>
    <row r="566" spans="1:63" x14ac:dyDescent="0.25">
      <c r="A566" t="s">
        <v>1382</v>
      </c>
      <c r="B566" t="s">
        <v>1403</v>
      </c>
      <c r="C566">
        <v>2282600565</v>
      </c>
      <c r="D566" t="s">
        <v>830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46233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6" s="42">
        <f>+AVANCE[[#This Row],[FECHA TERMINO  PLANIFICADO]]-AVANCE[[#This Row],[FECHA INICIO TEORICO]]</f>
        <v>20</v>
      </c>
      <c r="BK566" s="42">
        <f>+AVANCE[[#This Row],[FECHA TERMINO]]-AVANCE[[#This Row],[FECHA INICIO REAL]]</f>
        <v>0</v>
      </c>
    </row>
    <row r="567" spans="1:63" x14ac:dyDescent="0.25">
      <c r="A567" t="s">
        <v>1382</v>
      </c>
      <c r="B567" t="s">
        <v>1404</v>
      </c>
      <c r="C567">
        <v>2302600566</v>
      </c>
      <c r="D567" t="s">
        <v>831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46233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7" s="42">
        <f>+AVANCE[[#This Row],[FECHA TERMINO  PLANIFICADO]]-AVANCE[[#This Row],[FECHA INICIO TEORICO]]</f>
        <v>30</v>
      </c>
      <c r="BK567" s="42">
        <f>+AVANCE[[#This Row],[FECHA TERMINO]]-AVANCE[[#This Row],[FECHA INICIO REAL]]</f>
        <v>0</v>
      </c>
    </row>
    <row r="568" spans="1:63" x14ac:dyDescent="0.25">
      <c r="A568" t="s">
        <v>1382</v>
      </c>
      <c r="B568" t="s">
        <v>1405</v>
      </c>
      <c r="C568">
        <v>2302600567</v>
      </c>
      <c r="D568" t="s">
        <v>831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46233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8" s="42">
        <f>+AVANCE[[#This Row],[FECHA TERMINO  PLANIFICADO]]-AVANCE[[#This Row],[FECHA INICIO TEORICO]]</f>
        <v>30</v>
      </c>
      <c r="BK568" s="42">
        <f>+AVANCE[[#This Row],[FECHA TERMINO]]-AVANCE[[#This Row],[FECHA INICIO REAL]]</f>
        <v>0</v>
      </c>
    </row>
    <row r="569" spans="1:63" x14ac:dyDescent="0.25">
      <c r="A569" t="s">
        <v>1382</v>
      </c>
      <c r="B569" t="s">
        <v>1406</v>
      </c>
      <c r="C569">
        <v>2282600568</v>
      </c>
      <c r="D569" t="s">
        <v>830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46233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9" s="42">
        <f>+AVANCE[[#This Row],[FECHA TERMINO  PLANIFICADO]]-AVANCE[[#This Row],[FECHA INICIO TEORICO]]</f>
        <v>20</v>
      </c>
      <c r="BK569" s="42">
        <f>+AVANCE[[#This Row],[FECHA TERMINO]]-AVANCE[[#This Row],[FECHA INICIO REAL]]</f>
        <v>0</v>
      </c>
    </row>
    <row r="570" spans="1:63" x14ac:dyDescent="0.25">
      <c r="A570" t="s">
        <v>1382</v>
      </c>
      <c r="B570" t="s">
        <v>1407</v>
      </c>
      <c r="C570">
        <v>2282600569</v>
      </c>
      <c r="D570" t="s">
        <v>830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46233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0" s="42">
        <f>+AVANCE[[#This Row],[FECHA TERMINO  PLANIFICADO]]-AVANCE[[#This Row],[FECHA INICIO TEORICO]]</f>
        <v>20</v>
      </c>
      <c r="BK570" s="42">
        <f>+AVANCE[[#This Row],[FECHA TERMINO]]-AVANCE[[#This Row],[FECHA INICIO REAL]]</f>
        <v>0</v>
      </c>
    </row>
    <row r="571" spans="1:63" x14ac:dyDescent="0.25">
      <c r="A571" t="s">
        <v>1382</v>
      </c>
      <c r="B571" t="s">
        <v>1408</v>
      </c>
      <c r="C571">
        <v>2302600570</v>
      </c>
      <c r="D571" t="s">
        <v>831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46233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1" s="42">
        <f>+AVANCE[[#This Row],[FECHA TERMINO  PLANIFICADO]]-AVANCE[[#This Row],[FECHA INICIO TEORICO]]</f>
        <v>30</v>
      </c>
      <c r="BK571" s="42">
        <f>+AVANCE[[#This Row],[FECHA TERMINO]]-AVANCE[[#This Row],[FECHA INICIO REAL]]</f>
        <v>0</v>
      </c>
    </row>
    <row r="572" spans="1:63" x14ac:dyDescent="0.25">
      <c r="A572" t="s">
        <v>1382</v>
      </c>
      <c r="B572" t="s">
        <v>1409</v>
      </c>
      <c r="C572">
        <v>2302600571</v>
      </c>
      <c r="D572" t="s">
        <v>831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46233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2" s="42">
        <f>+AVANCE[[#This Row],[FECHA TERMINO  PLANIFICADO]]-AVANCE[[#This Row],[FECHA INICIO TEORICO]]</f>
        <v>30</v>
      </c>
      <c r="BK572" s="42">
        <f>+AVANCE[[#This Row],[FECHA TERMINO]]-AVANCE[[#This Row],[FECHA INICIO REAL]]</f>
        <v>0</v>
      </c>
    </row>
    <row r="573" spans="1:63" x14ac:dyDescent="0.25">
      <c r="A573" t="s">
        <v>1382</v>
      </c>
      <c r="B573" t="s">
        <v>1410</v>
      </c>
      <c r="C573">
        <v>2282600572</v>
      </c>
      <c r="D573" t="s">
        <v>830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46233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3" s="42">
        <f>+AVANCE[[#This Row],[FECHA TERMINO  PLANIFICADO]]-AVANCE[[#This Row],[FECHA INICIO TEORICO]]</f>
        <v>20</v>
      </c>
      <c r="BK573" s="42">
        <f>+AVANCE[[#This Row],[FECHA TERMINO]]-AVANCE[[#This Row],[FECHA INICIO REAL]]</f>
        <v>0</v>
      </c>
    </row>
    <row r="574" spans="1:63" x14ac:dyDescent="0.25">
      <c r="A574" t="s">
        <v>1382</v>
      </c>
      <c r="B574" t="s">
        <v>1411</v>
      </c>
      <c r="C574">
        <v>2282600573</v>
      </c>
      <c r="D574" t="s">
        <v>830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46233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4" s="42">
        <f>+AVANCE[[#This Row],[FECHA TERMINO  PLANIFICADO]]-AVANCE[[#This Row],[FECHA INICIO TEORICO]]</f>
        <v>20</v>
      </c>
      <c r="BK574" s="42">
        <f>+AVANCE[[#This Row],[FECHA TERMINO]]-AVANCE[[#This Row],[FECHA INICIO REAL]]</f>
        <v>0</v>
      </c>
    </row>
    <row r="575" spans="1:63" x14ac:dyDescent="0.25">
      <c r="A575" t="s">
        <v>1382</v>
      </c>
      <c r="B575" t="s">
        <v>1412</v>
      </c>
      <c r="C575">
        <v>2302600574</v>
      </c>
      <c r="D575" t="s">
        <v>831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46233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5" s="42">
        <f>+AVANCE[[#This Row],[FECHA TERMINO  PLANIFICADO]]-AVANCE[[#This Row],[FECHA INICIO TEORICO]]</f>
        <v>30</v>
      </c>
      <c r="BK575" s="42">
        <f>+AVANCE[[#This Row],[FECHA TERMINO]]-AVANCE[[#This Row],[FECHA INICIO REAL]]</f>
        <v>0</v>
      </c>
    </row>
    <row r="576" spans="1:63" x14ac:dyDescent="0.25">
      <c r="A576" t="s">
        <v>1382</v>
      </c>
      <c r="B576" t="s">
        <v>1413</v>
      </c>
      <c r="C576">
        <v>2302600575</v>
      </c>
      <c r="D576" t="s">
        <v>831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46233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6" s="42">
        <f>+AVANCE[[#This Row],[FECHA TERMINO  PLANIFICADO]]-AVANCE[[#This Row],[FECHA INICIO TEORICO]]</f>
        <v>30</v>
      </c>
      <c r="BK576" s="42">
        <f>+AVANCE[[#This Row],[FECHA TERMINO]]-AVANCE[[#This Row],[FECHA INICIO REAL]]</f>
        <v>0</v>
      </c>
    </row>
    <row r="577" spans="1:63" x14ac:dyDescent="0.25">
      <c r="A577" t="s">
        <v>1382</v>
      </c>
      <c r="B577" t="s">
        <v>1414</v>
      </c>
      <c r="C577">
        <v>2282600576</v>
      </c>
      <c r="D577" t="s">
        <v>830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46233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7" s="42">
        <f>+AVANCE[[#This Row],[FECHA TERMINO  PLANIFICADO]]-AVANCE[[#This Row],[FECHA INICIO TEORICO]]</f>
        <v>20</v>
      </c>
      <c r="BK577" s="42">
        <f>+AVANCE[[#This Row],[FECHA TERMINO]]-AVANCE[[#This Row],[FECHA INICIO REAL]]</f>
        <v>0</v>
      </c>
    </row>
    <row r="578" spans="1:63" x14ac:dyDescent="0.25">
      <c r="A578" t="s">
        <v>1415</v>
      </c>
      <c r="B578" t="s">
        <v>1416</v>
      </c>
      <c r="C578">
        <v>2282600577</v>
      </c>
      <c r="D578" t="s">
        <v>830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46233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8" s="42">
        <f>+AVANCE[[#This Row],[FECHA TERMINO  PLANIFICADO]]-AVANCE[[#This Row],[FECHA INICIO TEORICO]]</f>
        <v>20</v>
      </c>
      <c r="BK578" s="42">
        <f>+AVANCE[[#This Row],[FECHA TERMINO]]-AVANCE[[#This Row],[FECHA INICIO REAL]]</f>
        <v>0</v>
      </c>
    </row>
    <row r="579" spans="1:63" x14ac:dyDescent="0.25">
      <c r="A579" t="s">
        <v>1415</v>
      </c>
      <c r="B579" t="s">
        <v>1417</v>
      </c>
      <c r="C579">
        <v>2302600578</v>
      </c>
      <c r="D579" t="s">
        <v>831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46233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9" s="42">
        <f>+AVANCE[[#This Row],[FECHA TERMINO  PLANIFICADO]]-AVANCE[[#This Row],[FECHA INICIO TEORICO]]</f>
        <v>30</v>
      </c>
      <c r="BK579" s="42">
        <f>+AVANCE[[#This Row],[FECHA TERMINO]]-AVANCE[[#This Row],[FECHA INICIO REAL]]</f>
        <v>0</v>
      </c>
    </row>
    <row r="580" spans="1:63" x14ac:dyDescent="0.25">
      <c r="A580" t="s">
        <v>1415</v>
      </c>
      <c r="B580" t="s">
        <v>1418</v>
      </c>
      <c r="C580">
        <v>2302600579</v>
      </c>
      <c r="D580" t="s">
        <v>831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46233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0" s="42">
        <f>+AVANCE[[#This Row],[FECHA TERMINO  PLANIFICADO]]-AVANCE[[#This Row],[FECHA INICIO TEORICO]]</f>
        <v>30</v>
      </c>
      <c r="BK580" s="42">
        <f>+AVANCE[[#This Row],[FECHA TERMINO]]-AVANCE[[#This Row],[FECHA INICIO REAL]]</f>
        <v>0</v>
      </c>
    </row>
    <row r="581" spans="1:63" x14ac:dyDescent="0.25">
      <c r="A581" t="s">
        <v>1415</v>
      </c>
      <c r="B581" t="s">
        <v>1419</v>
      </c>
      <c r="C581">
        <v>2282600580</v>
      </c>
      <c r="D581" t="s">
        <v>830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46233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1" s="42">
        <f>+AVANCE[[#This Row],[FECHA TERMINO  PLANIFICADO]]-AVANCE[[#This Row],[FECHA INICIO TEORICO]]</f>
        <v>20</v>
      </c>
      <c r="BK581" s="42">
        <f>+AVANCE[[#This Row],[FECHA TERMINO]]-AVANCE[[#This Row],[FECHA INICIO REAL]]</f>
        <v>0</v>
      </c>
    </row>
    <row r="582" spans="1:63" x14ac:dyDescent="0.25">
      <c r="A582" t="s">
        <v>1415</v>
      </c>
      <c r="B582" t="s">
        <v>1420</v>
      </c>
      <c r="C582">
        <v>2282600581</v>
      </c>
      <c r="D582" t="s">
        <v>830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46233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2" s="42">
        <f>+AVANCE[[#This Row],[FECHA TERMINO  PLANIFICADO]]-AVANCE[[#This Row],[FECHA INICIO TEORICO]]</f>
        <v>20</v>
      </c>
      <c r="BK582" s="42">
        <f>+AVANCE[[#This Row],[FECHA TERMINO]]-AVANCE[[#This Row],[FECHA INICIO REAL]]</f>
        <v>0</v>
      </c>
    </row>
    <row r="583" spans="1:63" x14ac:dyDescent="0.25">
      <c r="A583" t="s">
        <v>1415</v>
      </c>
      <c r="B583" t="s">
        <v>1421</v>
      </c>
      <c r="C583">
        <v>2302600582</v>
      </c>
      <c r="D583" t="s">
        <v>831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46233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3" s="42">
        <f>+AVANCE[[#This Row],[FECHA TERMINO  PLANIFICADO]]-AVANCE[[#This Row],[FECHA INICIO TEORICO]]</f>
        <v>30</v>
      </c>
      <c r="BK583" s="42">
        <f>+AVANCE[[#This Row],[FECHA TERMINO]]-AVANCE[[#This Row],[FECHA INICIO REAL]]</f>
        <v>0</v>
      </c>
    </row>
    <row r="584" spans="1:63" x14ac:dyDescent="0.25">
      <c r="A584" t="s">
        <v>1415</v>
      </c>
      <c r="B584" t="s">
        <v>1422</v>
      </c>
      <c r="C584">
        <v>2302600583</v>
      </c>
      <c r="D584" t="s">
        <v>831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46233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4" s="42">
        <f>+AVANCE[[#This Row],[FECHA TERMINO  PLANIFICADO]]-AVANCE[[#This Row],[FECHA INICIO TEORICO]]</f>
        <v>30</v>
      </c>
      <c r="BK584" s="42">
        <f>+AVANCE[[#This Row],[FECHA TERMINO]]-AVANCE[[#This Row],[FECHA INICIO REAL]]</f>
        <v>0</v>
      </c>
    </row>
    <row r="585" spans="1:63" x14ac:dyDescent="0.25">
      <c r="A585" t="s">
        <v>1415</v>
      </c>
      <c r="B585" t="s">
        <v>1423</v>
      </c>
      <c r="C585">
        <v>2282600584</v>
      </c>
      <c r="D585" t="s">
        <v>830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46233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5" s="42">
        <f>+AVANCE[[#This Row],[FECHA TERMINO  PLANIFICADO]]-AVANCE[[#This Row],[FECHA INICIO TEORICO]]</f>
        <v>20</v>
      </c>
      <c r="BK585" s="42">
        <f>+AVANCE[[#This Row],[FECHA TERMINO]]-AVANCE[[#This Row],[FECHA INICIO REAL]]</f>
        <v>0</v>
      </c>
    </row>
    <row r="586" spans="1:63" x14ac:dyDescent="0.25">
      <c r="A586" t="s">
        <v>1415</v>
      </c>
      <c r="B586" t="s">
        <v>1424</v>
      </c>
      <c r="C586">
        <v>2282600585</v>
      </c>
      <c r="D586" t="s">
        <v>830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46233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6" s="42">
        <f>+AVANCE[[#This Row],[FECHA TERMINO  PLANIFICADO]]-AVANCE[[#This Row],[FECHA INICIO TEORICO]]</f>
        <v>20</v>
      </c>
      <c r="BK586" s="42">
        <f>+AVANCE[[#This Row],[FECHA TERMINO]]-AVANCE[[#This Row],[FECHA INICIO REAL]]</f>
        <v>0</v>
      </c>
    </row>
    <row r="587" spans="1:63" x14ac:dyDescent="0.25">
      <c r="A587" t="s">
        <v>1415</v>
      </c>
      <c r="B587" t="s">
        <v>1425</v>
      </c>
      <c r="C587">
        <v>2302600586</v>
      </c>
      <c r="D587" t="s">
        <v>831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46233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7" s="42">
        <f>+AVANCE[[#This Row],[FECHA TERMINO  PLANIFICADO]]-AVANCE[[#This Row],[FECHA INICIO TEORICO]]</f>
        <v>30</v>
      </c>
      <c r="BK587" s="42">
        <f>+AVANCE[[#This Row],[FECHA TERMINO]]-AVANCE[[#This Row],[FECHA INICIO REAL]]</f>
        <v>0</v>
      </c>
    </row>
    <row r="588" spans="1:63" x14ac:dyDescent="0.25">
      <c r="A588" t="s">
        <v>1415</v>
      </c>
      <c r="B588" t="s">
        <v>1426</v>
      </c>
      <c r="C588">
        <v>2302600587</v>
      </c>
      <c r="D588" t="s">
        <v>831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46233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8" s="42">
        <f>+AVANCE[[#This Row],[FECHA TERMINO  PLANIFICADO]]-AVANCE[[#This Row],[FECHA INICIO TEORICO]]</f>
        <v>30</v>
      </c>
      <c r="BK588" s="42">
        <f>+AVANCE[[#This Row],[FECHA TERMINO]]-AVANCE[[#This Row],[FECHA INICIO REAL]]</f>
        <v>0</v>
      </c>
    </row>
    <row r="589" spans="1:63" x14ac:dyDescent="0.25">
      <c r="A589" t="s">
        <v>1415</v>
      </c>
      <c r="B589" t="s">
        <v>1427</v>
      </c>
      <c r="C589">
        <v>2282600588</v>
      </c>
      <c r="D589" t="s">
        <v>830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46233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9" s="42">
        <f>+AVANCE[[#This Row],[FECHA TERMINO  PLANIFICADO]]-AVANCE[[#This Row],[FECHA INICIO TEORICO]]</f>
        <v>20</v>
      </c>
      <c r="BK589" s="42">
        <f>+AVANCE[[#This Row],[FECHA TERMINO]]-AVANCE[[#This Row],[FECHA INICIO REAL]]</f>
        <v>0</v>
      </c>
    </row>
    <row r="590" spans="1:63" x14ac:dyDescent="0.25">
      <c r="A590" t="s">
        <v>1415</v>
      </c>
      <c r="B590" t="s">
        <v>1428</v>
      </c>
      <c r="C590">
        <v>2282600589</v>
      </c>
      <c r="D590" t="s">
        <v>830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46233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0" s="42">
        <f>+AVANCE[[#This Row],[FECHA TERMINO  PLANIFICADO]]-AVANCE[[#This Row],[FECHA INICIO TEORICO]]</f>
        <v>20</v>
      </c>
      <c r="BK590" s="42">
        <f>+AVANCE[[#This Row],[FECHA TERMINO]]-AVANCE[[#This Row],[FECHA INICIO REAL]]</f>
        <v>0</v>
      </c>
    </row>
    <row r="591" spans="1:63" x14ac:dyDescent="0.25">
      <c r="A591" t="s">
        <v>1415</v>
      </c>
      <c r="B591" t="s">
        <v>1429</v>
      </c>
      <c r="C591">
        <v>2302600590</v>
      </c>
      <c r="D591" t="s">
        <v>831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46233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1" s="42">
        <f>+AVANCE[[#This Row],[FECHA TERMINO  PLANIFICADO]]-AVANCE[[#This Row],[FECHA INICIO TEORICO]]</f>
        <v>30</v>
      </c>
      <c r="BK591" s="42">
        <f>+AVANCE[[#This Row],[FECHA TERMINO]]-AVANCE[[#This Row],[FECHA INICIO REAL]]</f>
        <v>0</v>
      </c>
    </row>
    <row r="592" spans="1:63" x14ac:dyDescent="0.25">
      <c r="A592" t="s">
        <v>1415</v>
      </c>
      <c r="B592" t="s">
        <v>1430</v>
      </c>
      <c r="C592">
        <v>2302600591</v>
      </c>
      <c r="D592" t="s">
        <v>831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46233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2" s="42">
        <f>+AVANCE[[#This Row],[FECHA TERMINO  PLANIFICADO]]-AVANCE[[#This Row],[FECHA INICIO TEORICO]]</f>
        <v>30</v>
      </c>
      <c r="BK592" s="42">
        <f>+AVANCE[[#This Row],[FECHA TERMINO]]-AVANCE[[#This Row],[FECHA INICIO REAL]]</f>
        <v>0</v>
      </c>
    </row>
    <row r="593" spans="1:63" x14ac:dyDescent="0.25">
      <c r="A593" t="s">
        <v>1415</v>
      </c>
      <c r="B593" t="s">
        <v>1431</v>
      </c>
      <c r="C593">
        <v>2282600592</v>
      </c>
      <c r="D593" t="s">
        <v>830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46233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3" s="42">
        <f>+AVANCE[[#This Row],[FECHA TERMINO  PLANIFICADO]]-AVANCE[[#This Row],[FECHA INICIO TEORICO]]</f>
        <v>20</v>
      </c>
      <c r="BK593" s="42">
        <f>+AVANCE[[#This Row],[FECHA TERMINO]]-AVANCE[[#This Row],[FECHA INICIO REAL]]</f>
        <v>0</v>
      </c>
    </row>
    <row r="594" spans="1:63" x14ac:dyDescent="0.25">
      <c r="A594" t="s">
        <v>1415</v>
      </c>
      <c r="B594" t="s">
        <v>1432</v>
      </c>
      <c r="C594">
        <v>2282600593</v>
      </c>
      <c r="D594" t="s">
        <v>830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46233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4" s="42">
        <f>+AVANCE[[#This Row],[FECHA TERMINO  PLANIFICADO]]-AVANCE[[#This Row],[FECHA INICIO TEORICO]]</f>
        <v>20</v>
      </c>
      <c r="BK594" s="42">
        <f>+AVANCE[[#This Row],[FECHA TERMINO]]-AVANCE[[#This Row],[FECHA INICIO REAL]]</f>
        <v>0</v>
      </c>
    </row>
    <row r="595" spans="1:63" x14ac:dyDescent="0.25">
      <c r="A595" t="s">
        <v>1415</v>
      </c>
      <c r="B595" t="s">
        <v>1433</v>
      </c>
      <c r="C595">
        <v>2302600594</v>
      </c>
      <c r="D595" t="s">
        <v>831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46233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5" s="42">
        <f>+AVANCE[[#This Row],[FECHA TERMINO  PLANIFICADO]]-AVANCE[[#This Row],[FECHA INICIO TEORICO]]</f>
        <v>30</v>
      </c>
      <c r="BK595" s="42">
        <f>+AVANCE[[#This Row],[FECHA TERMINO]]-AVANCE[[#This Row],[FECHA INICIO REAL]]</f>
        <v>0</v>
      </c>
    </row>
    <row r="596" spans="1:63" x14ac:dyDescent="0.25">
      <c r="A596" t="s">
        <v>1415</v>
      </c>
      <c r="B596" t="s">
        <v>1434</v>
      </c>
      <c r="C596">
        <v>2302600595</v>
      </c>
      <c r="D596" t="s">
        <v>831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46233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6" s="42">
        <f>+AVANCE[[#This Row],[FECHA TERMINO  PLANIFICADO]]-AVANCE[[#This Row],[FECHA INICIO TEORICO]]</f>
        <v>30</v>
      </c>
      <c r="BK596" s="42">
        <f>+AVANCE[[#This Row],[FECHA TERMINO]]-AVANCE[[#This Row],[FECHA INICIO REAL]]</f>
        <v>0</v>
      </c>
    </row>
    <row r="597" spans="1:63" x14ac:dyDescent="0.25">
      <c r="A597" t="s">
        <v>1415</v>
      </c>
      <c r="B597" t="s">
        <v>1435</v>
      </c>
      <c r="C597">
        <v>2282600596</v>
      </c>
      <c r="D597" t="s">
        <v>830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46233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7" s="42">
        <f>+AVANCE[[#This Row],[FECHA TERMINO  PLANIFICADO]]-AVANCE[[#This Row],[FECHA INICIO TEORICO]]</f>
        <v>20</v>
      </c>
      <c r="BK597" s="42">
        <f>+AVANCE[[#This Row],[FECHA TERMINO]]-AVANCE[[#This Row],[FECHA INICIO REAL]]</f>
        <v>0</v>
      </c>
    </row>
    <row r="598" spans="1:63" x14ac:dyDescent="0.25">
      <c r="A598" t="s">
        <v>1415</v>
      </c>
      <c r="B598" t="s">
        <v>1436</v>
      </c>
      <c r="C598">
        <v>2282600597</v>
      </c>
      <c r="D598" t="s">
        <v>830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46233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8" s="42">
        <f>+AVANCE[[#This Row],[FECHA TERMINO  PLANIFICADO]]-AVANCE[[#This Row],[FECHA INICIO TEORICO]]</f>
        <v>20</v>
      </c>
      <c r="BK598" s="42">
        <f>+AVANCE[[#This Row],[FECHA TERMINO]]-AVANCE[[#This Row],[FECHA INICIO REAL]]</f>
        <v>0</v>
      </c>
    </row>
    <row r="599" spans="1:63" x14ac:dyDescent="0.25">
      <c r="A599" t="s">
        <v>1415</v>
      </c>
      <c r="B599" t="s">
        <v>1437</v>
      </c>
      <c r="C599">
        <v>2302600598</v>
      </c>
      <c r="D599" t="s">
        <v>831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46233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9" s="42">
        <f>+AVANCE[[#This Row],[FECHA TERMINO  PLANIFICADO]]-AVANCE[[#This Row],[FECHA INICIO TEORICO]]</f>
        <v>30</v>
      </c>
      <c r="BK599" s="42">
        <f>+AVANCE[[#This Row],[FECHA TERMINO]]-AVANCE[[#This Row],[FECHA INICIO REAL]]</f>
        <v>0</v>
      </c>
    </row>
    <row r="600" spans="1:63" x14ac:dyDescent="0.25">
      <c r="A600" t="s">
        <v>1415</v>
      </c>
      <c r="B600" t="s">
        <v>1438</v>
      </c>
      <c r="C600">
        <v>2302600599</v>
      </c>
      <c r="D600" t="s">
        <v>831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46233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0" s="42">
        <f>+AVANCE[[#This Row],[FECHA TERMINO  PLANIFICADO]]-AVANCE[[#This Row],[FECHA INICIO TEORICO]]</f>
        <v>30</v>
      </c>
      <c r="BK600" s="42">
        <f>+AVANCE[[#This Row],[FECHA TERMINO]]-AVANCE[[#This Row],[FECHA INICIO REAL]]</f>
        <v>0</v>
      </c>
    </row>
    <row r="601" spans="1:63" x14ac:dyDescent="0.25">
      <c r="A601" t="s">
        <v>1415</v>
      </c>
      <c r="B601" t="s">
        <v>1439</v>
      </c>
      <c r="C601">
        <v>2282600600</v>
      </c>
      <c r="D601" t="s">
        <v>830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46233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1" s="42">
        <f>+AVANCE[[#This Row],[FECHA TERMINO  PLANIFICADO]]-AVANCE[[#This Row],[FECHA INICIO TEORICO]]</f>
        <v>20</v>
      </c>
      <c r="BK601" s="42">
        <f>+AVANCE[[#This Row],[FECHA TERMINO]]-AVANCE[[#This Row],[FECHA INICIO REAL]]</f>
        <v>0</v>
      </c>
    </row>
    <row r="602" spans="1:63" x14ac:dyDescent="0.25">
      <c r="A602" t="s">
        <v>1415</v>
      </c>
      <c r="B602" t="s">
        <v>1440</v>
      </c>
      <c r="C602">
        <v>2282600601</v>
      </c>
      <c r="D602" t="s">
        <v>830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46233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2" s="42">
        <f>+AVANCE[[#This Row],[FECHA TERMINO  PLANIFICADO]]-AVANCE[[#This Row],[FECHA INICIO TEORICO]]</f>
        <v>20</v>
      </c>
      <c r="BK602" s="42">
        <f>+AVANCE[[#This Row],[FECHA TERMINO]]-AVANCE[[#This Row],[FECHA INICIO REAL]]</f>
        <v>0</v>
      </c>
    </row>
    <row r="603" spans="1:63" x14ac:dyDescent="0.25">
      <c r="A603" t="s">
        <v>1415</v>
      </c>
      <c r="B603" t="s">
        <v>1441</v>
      </c>
      <c r="C603">
        <v>2302600602</v>
      </c>
      <c r="D603" t="s">
        <v>831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46233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3" s="42">
        <f>+AVANCE[[#This Row],[FECHA TERMINO  PLANIFICADO]]-AVANCE[[#This Row],[FECHA INICIO TEORICO]]</f>
        <v>30</v>
      </c>
      <c r="BK603" s="42">
        <f>+AVANCE[[#This Row],[FECHA TERMINO]]-AVANCE[[#This Row],[FECHA INICIO REAL]]</f>
        <v>0</v>
      </c>
    </row>
    <row r="604" spans="1:63" x14ac:dyDescent="0.25">
      <c r="A604" t="s">
        <v>1415</v>
      </c>
      <c r="B604" t="s">
        <v>1442</v>
      </c>
      <c r="C604">
        <v>2302600603</v>
      </c>
      <c r="D604" t="s">
        <v>831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46233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4" s="42">
        <f>+AVANCE[[#This Row],[FECHA TERMINO  PLANIFICADO]]-AVANCE[[#This Row],[FECHA INICIO TEORICO]]</f>
        <v>30</v>
      </c>
      <c r="BK604" s="42">
        <f>+AVANCE[[#This Row],[FECHA TERMINO]]-AVANCE[[#This Row],[FECHA INICIO REAL]]</f>
        <v>0</v>
      </c>
    </row>
    <row r="605" spans="1:63" x14ac:dyDescent="0.25">
      <c r="A605" t="s">
        <v>1415</v>
      </c>
      <c r="B605" t="s">
        <v>1443</v>
      </c>
      <c r="C605">
        <v>2282600604</v>
      </c>
      <c r="D605" t="s">
        <v>830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46233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5" s="42">
        <f>+AVANCE[[#This Row],[FECHA TERMINO  PLANIFICADO]]-AVANCE[[#This Row],[FECHA INICIO TEORICO]]</f>
        <v>20</v>
      </c>
      <c r="BK605" s="42">
        <f>+AVANCE[[#This Row],[FECHA TERMINO]]-AVANCE[[#This Row],[FECHA INICIO REAL]]</f>
        <v>0</v>
      </c>
    </row>
    <row r="606" spans="1:63" x14ac:dyDescent="0.25">
      <c r="A606" t="s">
        <v>1415</v>
      </c>
      <c r="B606" t="s">
        <v>1444</v>
      </c>
      <c r="C606">
        <v>2282600605</v>
      </c>
      <c r="D606" t="s">
        <v>830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46233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6" s="42">
        <f>+AVANCE[[#This Row],[FECHA TERMINO  PLANIFICADO]]-AVANCE[[#This Row],[FECHA INICIO TEORICO]]</f>
        <v>20</v>
      </c>
      <c r="BK606" s="42">
        <f>+AVANCE[[#This Row],[FECHA TERMINO]]-AVANCE[[#This Row],[FECHA INICIO REAL]]</f>
        <v>0</v>
      </c>
    </row>
    <row r="607" spans="1:63" x14ac:dyDescent="0.25">
      <c r="A607" t="s">
        <v>1415</v>
      </c>
      <c r="B607" t="s">
        <v>1445</v>
      </c>
      <c r="C607">
        <v>2302600606</v>
      </c>
      <c r="D607" t="s">
        <v>831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46233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7" s="42">
        <f>+AVANCE[[#This Row],[FECHA TERMINO  PLANIFICADO]]-AVANCE[[#This Row],[FECHA INICIO TEORICO]]</f>
        <v>30</v>
      </c>
      <c r="BK607" s="42">
        <f>+AVANCE[[#This Row],[FECHA TERMINO]]-AVANCE[[#This Row],[FECHA INICIO REAL]]</f>
        <v>0</v>
      </c>
    </row>
    <row r="608" spans="1:63" x14ac:dyDescent="0.25">
      <c r="A608" t="s">
        <v>1415</v>
      </c>
      <c r="B608" t="s">
        <v>1446</v>
      </c>
      <c r="C608">
        <v>2302600607</v>
      </c>
      <c r="D608" t="s">
        <v>831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46233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8" s="42">
        <f>+AVANCE[[#This Row],[FECHA TERMINO  PLANIFICADO]]-AVANCE[[#This Row],[FECHA INICIO TEORICO]]</f>
        <v>30</v>
      </c>
      <c r="BK608" s="42">
        <f>+AVANCE[[#This Row],[FECHA TERMINO]]-AVANCE[[#This Row],[FECHA INICIO REAL]]</f>
        <v>0</v>
      </c>
    </row>
    <row r="609" spans="1:63" x14ac:dyDescent="0.25">
      <c r="A609" t="s">
        <v>1415</v>
      </c>
      <c r="B609" t="s">
        <v>1447</v>
      </c>
      <c r="C609">
        <v>2282600608</v>
      </c>
      <c r="D609" t="s">
        <v>830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46233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9" s="42">
        <f>+AVANCE[[#This Row],[FECHA TERMINO  PLANIFICADO]]-AVANCE[[#This Row],[FECHA INICIO TEORICO]]</f>
        <v>20</v>
      </c>
      <c r="BK609" s="42">
        <f>+AVANCE[[#This Row],[FECHA TERMINO]]-AVANCE[[#This Row],[FECHA INICIO REAL]]</f>
        <v>0</v>
      </c>
    </row>
    <row r="610" spans="1:63" x14ac:dyDescent="0.25">
      <c r="A610" t="s">
        <v>1448</v>
      </c>
      <c r="B610" t="s">
        <v>1449</v>
      </c>
      <c r="C610">
        <v>2282600609</v>
      </c>
      <c r="D610" t="s">
        <v>830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46233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0" s="42">
        <f>+AVANCE[[#This Row],[FECHA TERMINO  PLANIFICADO]]-AVANCE[[#This Row],[FECHA INICIO TEORICO]]</f>
        <v>20</v>
      </c>
      <c r="BK610" s="42">
        <f>+AVANCE[[#This Row],[FECHA TERMINO]]-AVANCE[[#This Row],[FECHA INICIO REAL]]</f>
        <v>0</v>
      </c>
    </row>
    <row r="611" spans="1:63" x14ac:dyDescent="0.25">
      <c r="A611" t="s">
        <v>1448</v>
      </c>
      <c r="B611" t="s">
        <v>1450</v>
      </c>
      <c r="C611">
        <v>2302600610</v>
      </c>
      <c r="D611" t="s">
        <v>831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46233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1" s="42">
        <f>+AVANCE[[#This Row],[FECHA TERMINO  PLANIFICADO]]-AVANCE[[#This Row],[FECHA INICIO TEORICO]]</f>
        <v>30</v>
      </c>
      <c r="BK611" s="42">
        <f>+AVANCE[[#This Row],[FECHA TERMINO]]-AVANCE[[#This Row],[FECHA INICIO REAL]]</f>
        <v>0</v>
      </c>
    </row>
    <row r="612" spans="1:63" x14ac:dyDescent="0.25">
      <c r="A612" t="s">
        <v>1448</v>
      </c>
      <c r="B612" t="s">
        <v>1451</v>
      </c>
      <c r="C612">
        <v>2302600611</v>
      </c>
      <c r="D612" t="s">
        <v>831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46233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2" s="42">
        <f>+AVANCE[[#This Row],[FECHA TERMINO  PLANIFICADO]]-AVANCE[[#This Row],[FECHA INICIO TEORICO]]</f>
        <v>30</v>
      </c>
      <c r="BK612" s="42">
        <f>+AVANCE[[#This Row],[FECHA TERMINO]]-AVANCE[[#This Row],[FECHA INICIO REAL]]</f>
        <v>0</v>
      </c>
    </row>
    <row r="613" spans="1:63" x14ac:dyDescent="0.25">
      <c r="A613" t="s">
        <v>1448</v>
      </c>
      <c r="B613" t="s">
        <v>1452</v>
      </c>
      <c r="C613">
        <v>2282600612</v>
      </c>
      <c r="D613" t="s">
        <v>830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46233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3" s="42">
        <f>+AVANCE[[#This Row],[FECHA TERMINO  PLANIFICADO]]-AVANCE[[#This Row],[FECHA INICIO TEORICO]]</f>
        <v>20</v>
      </c>
      <c r="BK613" s="42">
        <f>+AVANCE[[#This Row],[FECHA TERMINO]]-AVANCE[[#This Row],[FECHA INICIO REAL]]</f>
        <v>0</v>
      </c>
    </row>
    <row r="614" spans="1:63" x14ac:dyDescent="0.25">
      <c r="A614" t="s">
        <v>1448</v>
      </c>
      <c r="B614" t="s">
        <v>1453</v>
      </c>
      <c r="C614">
        <v>2282600613</v>
      </c>
      <c r="D614" t="s">
        <v>830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46233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4" s="42">
        <f>+AVANCE[[#This Row],[FECHA TERMINO  PLANIFICADO]]-AVANCE[[#This Row],[FECHA INICIO TEORICO]]</f>
        <v>20</v>
      </c>
      <c r="BK614" s="42">
        <f>+AVANCE[[#This Row],[FECHA TERMINO]]-AVANCE[[#This Row],[FECHA INICIO REAL]]</f>
        <v>0</v>
      </c>
    </row>
    <row r="615" spans="1:63" x14ac:dyDescent="0.25">
      <c r="A615" t="s">
        <v>1448</v>
      </c>
      <c r="B615" t="s">
        <v>1454</v>
      </c>
      <c r="C615">
        <v>2302600614</v>
      </c>
      <c r="D615" t="s">
        <v>831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46233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5" s="42">
        <f>+AVANCE[[#This Row],[FECHA TERMINO  PLANIFICADO]]-AVANCE[[#This Row],[FECHA INICIO TEORICO]]</f>
        <v>30</v>
      </c>
      <c r="BK615" s="42">
        <f>+AVANCE[[#This Row],[FECHA TERMINO]]-AVANCE[[#This Row],[FECHA INICIO REAL]]</f>
        <v>0</v>
      </c>
    </row>
    <row r="616" spans="1:63" x14ac:dyDescent="0.25">
      <c r="A616" t="s">
        <v>1448</v>
      </c>
      <c r="B616" t="s">
        <v>1455</v>
      </c>
      <c r="C616">
        <v>2302600615</v>
      </c>
      <c r="D616" t="s">
        <v>831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46233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6" s="42">
        <f>+AVANCE[[#This Row],[FECHA TERMINO  PLANIFICADO]]-AVANCE[[#This Row],[FECHA INICIO TEORICO]]</f>
        <v>30</v>
      </c>
      <c r="BK616" s="42">
        <f>+AVANCE[[#This Row],[FECHA TERMINO]]-AVANCE[[#This Row],[FECHA INICIO REAL]]</f>
        <v>0</v>
      </c>
    </row>
    <row r="617" spans="1:63" x14ac:dyDescent="0.25">
      <c r="A617" t="s">
        <v>1448</v>
      </c>
      <c r="B617" t="s">
        <v>1456</v>
      </c>
      <c r="C617">
        <v>2282600616</v>
      </c>
      <c r="D617" t="s">
        <v>830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46233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7" s="42">
        <f>+AVANCE[[#This Row],[FECHA TERMINO  PLANIFICADO]]-AVANCE[[#This Row],[FECHA INICIO TEORICO]]</f>
        <v>20</v>
      </c>
      <c r="BK617" s="42">
        <f>+AVANCE[[#This Row],[FECHA TERMINO]]-AVANCE[[#This Row],[FECHA INICIO REAL]]</f>
        <v>0</v>
      </c>
    </row>
    <row r="618" spans="1:63" x14ac:dyDescent="0.25">
      <c r="A618" t="s">
        <v>1448</v>
      </c>
      <c r="B618" t="s">
        <v>1457</v>
      </c>
      <c r="C618">
        <v>2282600617</v>
      </c>
      <c r="D618" t="s">
        <v>830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46233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8" s="42">
        <f>+AVANCE[[#This Row],[FECHA TERMINO  PLANIFICADO]]-AVANCE[[#This Row],[FECHA INICIO TEORICO]]</f>
        <v>20</v>
      </c>
      <c r="BK618" s="42">
        <f>+AVANCE[[#This Row],[FECHA TERMINO]]-AVANCE[[#This Row],[FECHA INICIO REAL]]</f>
        <v>0</v>
      </c>
    </row>
    <row r="619" spans="1:63" x14ac:dyDescent="0.25">
      <c r="A619" t="s">
        <v>1448</v>
      </c>
      <c r="B619" t="s">
        <v>1458</v>
      </c>
      <c r="C619">
        <v>2302600618</v>
      </c>
      <c r="D619" t="s">
        <v>831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46233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9" s="42">
        <f>+AVANCE[[#This Row],[FECHA TERMINO  PLANIFICADO]]-AVANCE[[#This Row],[FECHA INICIO TEORICO]]</f>
        <v>30</v>
      </c>
      <c r="BK619" s="42">
        <f>+AVANCE[[#This Row],[FECHA TERMINO]]-AVANCE[[#This Row],[FECHA INICIO REAL]]</f>
        <v>0</v>
      </c>
    </row>
    <row r="620" spans="1:63" x14ac:dyDescent="0.25">
      <c r="A620" t="s">
        <v>1448</v>
      </c>
      <c r="B620" t="s">
        <v>1459</v>
      </c>
      <c r="C620">
        <v>2302600619</v>
      </c>
      <c r="D620" t="s">
        <v>831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46233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0" s="42">
        <f>+AVANCE[[#This Row],[FECHA TERMINO  PLANIFICADO]]-AVANCE[[#This Row],[FECHA INICIO TEORICO]]</f>
        <v>30</v>
      </c>
      <c r="BK620" s="42">
        <f>+AVANCE[[#This Row],[FECHA TERMINO]]-AVANCE[[#This Row],[FECHA INICIO REAL]]</f>
        <v>0</v>
      </c>
    </row>
    <row r="621" spans="1:63" x14ac:dyDescent="0.25">
      <c r="A621" t="s">
        <v>1448</v>
      </c>
      <c r="B621" t="s">
        <v>1460</v>
      </c>
      <c r="C621">
        <v>2282600620</v>
      </c>
      <c r="D621" t="s">
        <v>830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46233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1" s="42">
        <f>+AVANCE[[#This Row],[FECHA TERMINO  PLANIFICADO]]-AVANCE[[#This Row],[FECHA INICIO TEORICO]]</f>
        <v>20</v>
      </c>
      <c r="BK621" s="42">
        <f>+AVANCE[[#This Row],[FECHA TERMINO]]-AVANCE[[#This Row],[FECHA INICIO REAL]]</f>
        <v>0</v>
      </c>
    </row>
    <row r="622" spans="1:63" x14ac:dyDescent="0.25">
      <c r="A622" t="s">
        <v>1448</v>
      </c>
      <c r="B622" t="s">
        <v>1461</v>
      </c>
      <c r="C622">
        <v>2282600621</v>
      </c>
      <c r="D622" t="s">
        <v>830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46233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2" s="42">
        <f>+AVANCE[[#This Row],[FECHA TERMINO  PLANIFICADO]]-AVANCE[[#This Row],[FECHA INICIO TEORICO]]</f>
        <v>20</v>
      </c>
      <c r="BK622" s="42">
        <f>+AVANCE[[#This Row],[FECHA TERMINO]]-AVANCE[[#This Row],[FECHA INICIO REAL]]</f>
        <v>0</v>
      </c>
    </row>
    <row r="623" spans="1:63" x14ac:dyDescent="0.25">
      <c r="A623" t="s">
        <v>1448</v>
      </c>
      <c r="B623" t="s">
        <v>1462</v>
      </c>
      <c r="C623">
        <v>2302600622</v>
      </c>
      <c r="D623" t="s">
        <v>831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46233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3" s="42">
        <f>+AVANCE[[#This Row],[FECHA TERMINO  PLANIFICADO]]-AVANCE[[#This Row],[FECHA INICIO TEORICO]]</f>
        <v>30</v>
      </c>
      <c r="BK623" s="42">
        <f>+AVANCE[[#This Row],[FECHA TERMINO]]-AVANCE[[#This Row],[FECHA INICIO REAL]]</f>
        <v>0</v>
      </c>
    </row>
    <row r="624" spans="1:63" x14ac:dyDescent="0.25">
      <c r="A624" t="s">
        <v>1448</v>
      </c>
      <c r="B624" t="s">
        <v>1463</v>
      </c>
      <c r="C624">
        <v>2302600623</v>
      </c>
      <c r="D624" t="s">
        <v>831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46233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4" s="42">
        <f>+AVANCE[[#This Row],[FECHA TERMINO  PLANIFICADO]]-AVANCE[[#This Row],[FECHA INICIO TEORICO]]</f>
        <v>30</v>
      </c>
      <c r="BK624" s="42">
        <f>+AVANCE[[#This Row],[FECHA TERMINO]]-AVANCE[[#This Row],[FECHA INICIO REAL]]</f>
        <v>0</v>
      </c>
    </row>
    <row r="625" spans="1:63" x14ac:dyDescent="0.25">
      <c r="A625" t="s">
        <v>1448</v>
      </c>
      <c r="B625" t="s">
        <v>1464</v>
      </c>
      <c r="C625">
        <v>2282600624</v>
      </c>
      <c r="D625" t="s">
        <v>830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46233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5" s="42">
        <f>+AVANCE[[#This Row],[FECHA TERMINO  PLANIFICADO]]-AVANCE[[#This Row],[FECHA INICIO TEORICO]]</f>
        <v>20</v>
      </c>
      <c r="BK625" s="42">
        <f>+AVANCE[[#This Row],[FECHA TERMINO]]-AVANCE[[#This Row],[FECHA INICIO REAL]]</f>
        <v>0</v>
      </c>
    </row>
    <row r="626" spans="1:63" x14ac:dyDescent="0.25">
      <c r="A626" t="s">
        <v>1448</v>
      </c>
      <c r="B626" t="s">
        <v>1465</v>
      </c>
      <c r="C626">
        <v>2282600625</v>
      </c>
      <c r="D626" t="s">
        <v>830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46233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6" s="42">
        <f>+AVANCE[[#This Row],[FECHA TERMINO  PLANIFICADO]]-AVANCE[[#This Row],[FECHA INICIO TEORICO]]</f>
        <v>20</v>
      </c>
      <c r="BK626" s="42">
        <f>+AVANCE[[#This Row],[FECHA TERMINO]]-AVANCE[[#This Row],[FECHA INICIO REAL]]</f>
        <v>0</v>
      </c>
    </row>
    <row r="627" spans="1:63" x14ac:dyDescent="0.25">
      <c r="A627" t="s">
        <v>1448</v>
      </c>
      <c r="B627" t="s">
        <v>1466</v>
      </c>
      <c r="C627">
        <v>2302600626</v>
      </c>
      <c r="D627" t="s">
        <v>831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46233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7" s="42">
        <f>+AVANCE[[#This Row],[FECHA TERMINO  PLANIFICADO]]-AVANCE[[#This Row],[FECHA INICIO TEORICO]]</f>
        <v>30</v>
      </c>
      <c r="BK627" s="42">
        <f>+AVANCE[[#This Row],[FECHA TERMINO]]-AVANCE[[#This Row],[FECHA INICIO REAL]]</f>
        <v>0</v>
      </c>
    </row>
    <row r="628" spans="1:63" x14ac:dyDescent="0.25">
      <c r="A628" t="s">
        <v>1448</v>
      </c>
      <c r="B628" t="s">
        <v>1467</v>
      </c>
      <c r="C628">
        <v>2302600627</v>
      </c>
      <c r="D628" t="s">
        <v>831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46233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8" s="42">
        <f>+AVANCE[[#This Row],[FECHA TERMINO  PLANIFICADO]]-AVANCE[[#This Row],[FECHA INICIO TEORICO]]</f>
        <v>30</v>
      </c>
      <c r="BK628" s="42">
        <f>+AVANCE[[#This Row],[FECHA TERMINO]]-AVANCE[[#This Row],[FECHA INICIO REAL]]</f>
        <v>0</v>
      </c>
    </row>
    <row r="629" spans="1:63" x14ac:dyDescent="0.25">
      <c r="A629" t="s">
        <v>1448</v>
      </c>
      <c r="B629" t="s">
        <v>1468</v>
      </c>
      <c r="C629">
        <v>2282600628</v>
      </c>
      <c r="D629" t="s">
        <v>830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46233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9" s="42">
        <f>+AVANCE[[#This Row],[FECHA TERMINO  PLANIFICADO]]-AVANCE[[#This Row],[FECHA INICIO TEORICO]]</f>
        <v>20</v>
      </c>
      <c r="BK629" s="42">
        <f>+AVANCE[[#This Row],[FECHA TERMINO]]-AVANCE[[#This Row],[FECHA INICIO REAL]]</f>
        <v>0</v>
      </c>
    </row>
    <row r="630" spans="1:63" x14ac:dyDescent="0.25">
      <c r="A630" t="s">
        <v>1448</v>
      </c>
      <c r="B630" t="s">
        <v>1469</v>
      </c>
      <c r="C630">
        <v>2282600629</v>
      </c>
      <c r="D630" t="s">
        <v>830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46233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0" s="42">
        <f>+AVANCE[[#This Row],[FECHA TERMINO  PLANIFICADO]]-AVANCE[[#This Row],[FECHA INICIO TEORICO]]</f>
        <v>20</v>
      </c>
      <c r="BK630" s="42">
        <f>+AVANCE[[#This Row],[FECHA TERMINO]]-AVANCE[[#This Row],[FECHA INICIO REAL]]</f>
        <v>0</v>
      </c>
    </row>
    <row r="631" spans="1:63" x14ac:dyDescent="0.25">
      <c r="A631" t="s">
        <v>1448</v>
      </c>
      <c r="B631" t="s">
        <v>1470</v>
      </c>
      <c r="C631">
        <v>2302600630</v>
      </c>
      <c r="D631" t="s">
        <v>831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46233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1" s="42">
        <f>+AVANCE[[#This Row],[FECHA TERMINO  PLANIFICADO]]-AVANCE[[#This Row],[FECHA INICIO TEORICO]]</f>
        <v>30</v>
      </c>
      <c r="BK631" s="42">
        <f>+AVANCE[[#This Row],[FECHA TERMINO]]-AVANCE[[#This Row],[FECHA INICIO REAL]]</f>
        <v>0</v>
      </c>
    </row>
    <row r="632" spans="1:63" x14ac:dyDescent="0.25">
      <c r="A632" t="s">
        <v>1448</v>
      </c>
      <c r="B632" t="s">
        <v>1471</v>
      </c>
      <c r="C632">
        <v>2302600631</v>
      </c>
      <c r="D632" t="s">
        <v>831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46233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2" s="42">
        <f>+AVANCE[[#This Row],[FECHA TERMINO  PLANIFICADO]]-AVANCE[[#This Row],[FECHA INICIO TEORICO]]</f>
        <v>30</v>
      </c>
      <c r="BK632" s="42">
        <f>+AVANCE[[#This Row],[FECHA TERMINO]]-AVANCE[[#This Row],[FECHA INICIO REAL]]</f>
        <v>0</v>
      </c>
    </row>
    <row r="633" spans="1:63" x14ac:dyDescent="0.25">
      <c r="A633" t="s">
        <v>1448</v>
      </c>
      <c r="B633" t="s">
        <v>1472</v>
      </c>
      <c r="C633">
        <v>2282600632</v>
      </c>
      <c r="D633" t="s">
        <v>830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46233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3" s="42">
        <f>+AVANCE[[#This Row],[FECHA TERMINO  PLANIFICADO]]-AVANCE[[#This Row],[FECHA INICIO TEORICO]]</f>
        <v>20</v>
      </c>
      <c r="BK633" s="42">
        <f>+AVANCE[[#This Row],[FECHA TERMINO]]-AVANCE[[#This Row],[FECHA INICIO REAL]]</f>
        <v>0</v>
      </c>
    </row>
    <row r="634" spans="1:63" x14ac:dyDescent="0.25">
      <c r="A634" t="s">
        <v>1448</v>
      </c>
      <c r="B634" t="s">
        <v>1473</v>
      </c>
      <c r="C634">
        <v>2282600633</v>
      </c>
      <c r="D634" t="s">
        <v>830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46233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4" s="42">
        <f>+AVANCE[[#This Row],[FECHA TERMINO  PLANIFICADO]]-AVANCE[[#This Row],[FECHA INICIO TEORICO]]</f>
        <v>20</v>
      </c>
      <c r="BK634" s="42">
        <f>+AVANCE[[#This Row],[FECHA TERMINO]]-AVANCE[[#This Row],[FECHA INICIO REAL]]</f>
        <v>0</v>
      </c>
    </row>
    <row r="635" spans="1:63" x14ac:dyDescent="0.25">
      <c r="A635" t="s">
        <v>1448</v>
      </c>
      <c r="B635" t="s">
        <v>1474</v>
      </c>
      <c r="C635">
        <v>2302600634</v>
      </c>
      <c r="D635" t="s">
        <v>831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46233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5" s="42">
        <f>+AVANCE[[#This Row],[FECHA TERMINO  PLANIFICADO]]-AVANCE[[#This Row],[FECHA INICIO TEORICO]]</f>
        <v>30</v>
      </c>
      <c r="BK635" s="42">
        <f>+AVANCE[[#This Row],[FECHA TERMINO]]-AVANCE[[#This Row],[FECHA INICIO REAL]]</f>
        <v>0</v>
      </c>
    </row>
    <row r="636" spans="1:63" x14ac:dyDescent="0.25">
      <c r="A636" t="s">
        <v>1448</v>
      </c>
      <c r="B636" t="s">
        <v>1475</v>
      </c>
      <c r="C636">
        <v>2302600635</v>
      </c>
      <c r="D636" t="s">
        <v>831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46233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6" s="42">
        <f>+AVANCE[[#This Row],[FECHA TERMINO  PLANIFICADO]]-AVANCE[[#This Row],[FECHA INICIO TEORICO]]</f>
        <v>30</v>
      </c>
      <c r="BK636" s="42">
        <f>+AVANCE[[#This Row],[FECHA TERMINO]]-AVANCE[[#This Row],[FECHA INICIO REAL]]</f>
        <v>0</v>
      </c>
    </row>
    <row r="637" spans="1:63" x14ac:dyDescent="0.25">
      <c r="A637" t="s">
        <v>1448</v>
      </c>
      <c r="B637" t="s">
        <v>1476</v>
      </c>
      <c r="C637">
        <v>2282600636</v>
      </c>
      <c r="D637" t="s">
        <v>830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46233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7" s="42">
        <f>+AVANCE[[#This Row],[FECHA TERMINO  PLANIFICADO]]-AVANCE[[#This Row],[FECHA INICIO TEORICO]]</f>
        <v>20</v>
      </c>
      <c r="BK637" s="42">
        <f>+AVANCE[[#This Row],[FECHA TERMINO]]-AVANCE[[#This Row],[FECHA INICIO REAL]]</f>
        <v>0</v>
      </c>
    </row>
    <row r="638" spans="1:63" x14ac:dyDescent="0.25">
      <c r="A638" t="s">
        <v>1448</v>
      </c>
      <c r="B638" t="s">
        <v>1477</v>
      </c>
      <c r="C638">
        <v>2282600637</v>
      </c>
      <c r="D638" t="s">
        <v>830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46233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8" s="42">
        <f>+AVANCE[[#This Row],[FECHA TERMINO  PLANIFICADO]]-AVANCE[[#This Row],[FECHA INICIO TEORICO]]</f>
        <v>20</v>
      </c>
      <c r="BK638" s="42">
        <f>+AVANCE[[#This Row],[FECHA TERMINO]]-AVANCE[[#This Row],[FECHA INICIO REAL]]</f>
        <v>0</v>
      </c>
    </row>
    <row r="639" spans="1:63" x14ac:dyDescent="0.25">
      <c r="A639" t="s">
        <v>1448</v>
      </c>
      <c r="B639" t="s">
        <v>1478</v>
      </c>
      <c r="C639">
        <v>2302600638</v>
      </c>
      <c r="D639" t="s">
        <v>831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46233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9" s="42">
        <f>+AVANCE[[#This Row],[FECHA TERMINO  PLANIFICADO]]-AVANCE[[#This Row],[FECHA INICIO TEORICO]]</f>
        <v>30</v>
      </c>
      <c r="BK639" s="42">
        <f>+AVANCE[[#This Row],[FECHA TERMINO]]-AVANCE[[#This Row],[FECHA INICIO REAL]]</f>
        <v>0</v>
      </c>
    </row>
    <row r="640" spans="1:63" x14ac:dyDescent="0.25">
      <c r="A640" t="s">
        <v>1448</v>
      </c>
      <c r="B640" t="s">
        <v>1479</v>
      </c>
      <c r="C640">
        <v>2302600639</v>
      </c>
      <c r="D640" t="s">
        <v>831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46233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0" s="42">
        <f>+AVANCE[[#This Row],[FECHA TERMINO  PLANIFICADO]]-AVANCE[[#This Row],[FECHA INICIO TEORICO]]</f>
        <v>30</v>
      </c>
      <c r="BK640" s="42">
        <f>+AVANCE[[#This Row],[FECHA TERMINO]]-AVANCE[[#This Row],[FECHA INICIO REAL]]</f>
        <v>0</v>
      </c>
    </row>
    <row r="641" spans="1:63" x14ac:dyDescent="0.25">
      <c r="A641" t="s">
        <v>1448</v>
      </c>
      <c r="B641" t="s">
        <v>1480</v>
      </c>
      <c r="C641">
        <v>2282600640</v>
      </c>
      <c r="D641" t="s">
        <v>830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46233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1" s="42">
        <f>+AVANCE[[#This Row],[FECHA TERMINO  PLANIFICADO]]-AVANCE[[#This Row],[FECHA INICIO TEORICO]]</f>
        <v>20</v>
      </c>
      <c r="BK641" s="42">
        <f>+AVANCE[[#This Row],[FECHA TERMINO]]-AVANCE[[#This Row],[FECHA INICIO REAL]]</f>
        <v>0</v>
      </c>
    </row>
    <row r="642" spans="1:63" x14ac:dyDescent="0.25">
      <c r="A642" t="s">
        <v>1481</v>
      </c>
      <c r="B642" t="s">
        <v>1482</v>
      </c>
      <c r="C642">
        <v>2282600641</v>
      </c>
      <c r="D642" t="s">
        <v>830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46233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2" s="42">
        <f>+AVANCE[[#This Row],[FECHA TERMINO  PLANIFICADO]]-AVANCE[[#This Row],[FECHA INICIO TEORICO]]</f>
        <v>20</v>
      </c>
      <c r="BK642" s="42">
        <f>+AVANCE[[#This Row],[FECHA TERMINO]]-AVANCE[[#This Row],[FECHA INICIO REAL]]</f>
        <v>0</v>
      </c>
    </row>
    <row r="643" spans="1:63" x14ac:dyDescent="0.25">
      <c r="A643" t="s">
        <v>1481</v>
      </c>
      <c r="B643" t="s">
        <v>1483</v>
      </c>
      <c r="C643">
        <v>2302600642</v>
      </c>
      <c r="D643" t="s">
        <v>831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46233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3" s="42">
        <f>+AVANCE[[#This Row],[FECHA TERMINO  PLANIFICADO]]-AVANCE[[#This Row],[FECHA INICIO TEORICO]]</f>
        <v>30</v>
      </c>
      <c r="BK643" s="42">
        <f>+AVANCE[[#This Row],[FECHA TERMINO]]-AVANCE[[#This Row],[FECHA INICIO REAL]]</f>
        <v>0</v>
      </c>
    </row>
    <row r="644" spans="1:63" x14ac:dyDescent="0.25">
      <c r="A644" t="s">
        <v>1481</v>
      </c>
      <c r="B644" t="s">
        <v>1484</v>
      </c>
      <c r="C644">
        <v>2302600643</v>
      </c>
      <c r="D644" t="s">
        <v>831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46233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4" s="42">
        <f>+AVANCE[[#This Row],[FECHA TERMINO  PLANIFICADO]]-AVANCE[[#This Row],[FECHA INICIO TEORICO]]</f>
        <v>30</v>
      </c>
      <c r="BK644" s="42">
        <f>+AVANCE[[#This Row],[FECHA TERMINO]]-AVANCE[[#This Row],[FECHA INICIO REAL]]</f>
        <v>0</v>
      </c>
    </row>
    <row r="645" spans="1:63" x14ac:dyDescent="0.25">
      <c r="A645" t="s">
        <v>1481</v>
      </c>
      <c r="B645" t="s">
        <v>1485</v>
      </c>
      <c r="C645">
        <v>2282600644</v>
      </c>
      <c r="D645" t="s">
        <v>830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46233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5" s="42">
        <f>+AVANCE[[#This Row],[FECHA TERMINO  PLANIFICADO]]-AVANCE[[#This Row],[FECHA INICIO TEORICO]]</f>
        <v>20</v>
      </c>
      <c r="BK645" s="42">
        <f>+AVANCE[[#This Row],[FECHA TERMINO]]-AVANCE[[#This Row],[FECHA INICIO REAL]]</f>
        <v>0</v>
      </c>
    </row>
    <row r="646" spans="1:63" x14ac:dyDescent="0.25">
      <c r="A646" t="s">
        <v>1481</v>
      </c>
      <c r="B646" t="s">
        <v>1486</v>
      </c>
      <c r="C646">
        <v>2282600645</v>
      </c>
      <c r="D646" t="s">
        <v>830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46233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6" s="42">
        <f>+AVANCE[[#This Row],[FECHA TERMINO  PLANIFICADO]]-AVANCE[[#This Row],[FECHA INICIO TEORICO]]</f>
        <v>20</v>
      </c>
      <c r="BK646" s="42">
        <f>+AVANCE[[#This Row],[FECHA TERMINO]]-AVANCE[[#This Row],[FECHA INICIO REAL]]</f>
        <v>0</v>
      </c>
    </row>
    <row r="647" spans="1:63" x14ac:dyDescent="0.25">
      <c r="A647" t="s">
        <v>1481</v>
      </c>
      <c r="B647" t="s">
        <v>1487</v>
      </c>
      <c r="C647">
        <v>2302600646</v>
      </c>
      <c r="D647" t="s">
        <v>831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46233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7" s="42">
        <f>+AVANCE[[#This Row],[FECHA TERMINO  PLANIFICADO]]-AVANCE[[#This Row],[FECHA INICIO TEORICO]]</f>
        <v>30</v>
      </c>
      <c r="BK647" s="42">
        <f>+AVANCE[[#This Row],[FECHA TERMINO]]-AVANCE[[#This Row],[FECHA INICIO REAL]]</f>
        <v>0</v>
      </c>
    </row>
    <row r="648" spans="1:63" x14ac:dyDescent="0.25">
      <c r="A648" t="s">
        <v>1481</v>
      </c>
      <c r="B648" t="s">
        <v>1488</v>
      </c>
      <c r="C648">
        <v>2302600647</v>
      </c>
      <c r="D648" t="s">
        <v>831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46233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8" s="42">
        <f>+AVANCE[[#This Row],[FECHA TERMINO  PLANIFICADO]]-AVANCE[[#This Row],[FECHA INICIO TEORICO]]</f>
        <v>30</v>
      </c>
      <c r="BK648" s="42">
        <f>+AVANCE[[#This Row],[FECHA TERMINO]]-AVANCE[[#This Row],[FECHA INICIO REAL]]</f>
        <v>0</v>
      </c>
    </row>
    <row r="649" spans="1:63" x14ac:dyDescent="0.25">
      <c r="A649" t="s">
        <v>1481</v>
      </c>
      <c r="B649" t="s">
        <v>1489</v>
      </c>
      <c r="C649">
        <v>2282600648</v>
      </c>
      <c r="D649" t="s">
        <v>830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46233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9" s="42">
        <f>+AVANCE[[#This Row],[FECHA TERMINO  PLANIFICADO]]-AVANCE[[#This Row],[FECHA INICIO TEORICO]]</f>
        <v>20</v>
      </c>
      <c r="BK649" s="42">
        <f>+AVANCE[[#This Row],[FECHA TERMINO]]-AVANCE[[#This Row],[FECHA INICIO REAL]]</f>
        <v>0</v>
      </c>
    </row>
    <row r="650" spans="1:63" x14ac:dyDescent="0.25">
      <c r="A650" t="s">
        <v>1481</v>
      </c>
      <c r="B650" t="s">
        <v>1490</v>
      </c>
      <c r="C650">
        <v>2282600649</v>
      </c>
      <c r="D650" t="s">
        <v>830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46233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0" s="42">
        <f>+AVANCE[[#This Row],[FECHA TERMINO  PLANIFICADO]]-AVANCE[[#This Row],[FECHA INICIO TEORICO]]</f>
        <v>20</v>
      </c>
      <c r="BK650" s="42">
        <f>+AVANCE[[#This Row],[FECHA TERMINO]]-AVANCE[[#This Row],[FECHA INICIO REAL]]</f>
        <v>0</v>
      </c>
    </row>
    <row r="651" spans="1:63" x14ac:dyDescent="0.25">
      <c r="A651" t="s">
        <v>1481</v>
      </c>
      <c r="B651" t="s">
        <v>1491</v>
      </c>
      <c r="C651">
        <v>2302600650</v>
      </c>
      <c r="D651" t="s">
        <v>831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46233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1" s="42">
        <f>+AVANCE[[#This Row],[FECHA TERMINO  PLANIFICADO]]-AVANCE[[#This Row],[FECHA INICIO TEORICO]]</f>
        <v>30</v>
      </c>
      <c r="BK651" s="42">
        <f>+AVANCE[[#This Row],[FECHA TERMINO]]-AVANCE[[#This Row],[FECHA INICIO REAL]]</f>
        <v>0</v>
      </c>
    </row>
    <row r="652" spans="1:63" x14ac:dyDescent="0.25">
      <c r="A652" t="s">
        <v>1481</v>
      </c>
      <c r="B652" t="s">
        <v>1492</v>
      </c>
      <c r="C652">
        <v>2302600651</v>
      </c>
      <c r="D652" t="s">
        <v>831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46233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2" s="42">
        <f>+AVANCE[[#This Row],[FECHA TERMINO  PLANIFICADO]]-AVANCE[[#This Row],[FECHA INICIO TEORICO]]</f>
        <v>30</v>
      </c>
      <c r="BK652" s="42">
        <f>+AVANCE[[#This Row],[FECHA TERMINO]]-AVANCE[[#This Row],[FECHA INICIO REAL]]</f>
        <v>0</v>
      </c>
    </row>
    <row r="653" spans="1:63" x14ac:dyDescent="0.25">
      <c r="A653" t="s">
        <v>1481</v>
      </c>
      <c r="B653" t="s">
        <v>1493</v>
      </c>
      <c r="C653">
        <v>2282600652</v>
      </c>
      <c r="D653" t="s">
        <v>830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46233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3" s="42">
        <f>+AVANCE[[#This Row],[FECHA TERMINO  PLANIFICADO]]-AVANCE[[#This Row],[FECHA INICIO TEORICO]]</f>
        <v>20</v>
      </c>
      <c r="BK653" s="42">
        <f>+AVANCE[[#This Row],[FECHA TERMINO]]-AVANCE[[#This Row],[FECHA INICIO REAL]]</f>
        <v>0</v>
      </c>
    </row>
    <row r="654" spans="1:63" x14ac:dyDescent="0.25">
      <c r="A654" t="s">
        <v>1481</v>
      </c>
      <c r="B654" t="s">
        <v>1494</v>
      </c>
      <c r="C654">
        <v>2282600653</v>
      </c>
      <c r="D654" t="s">
        <v>830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46233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4" s="42">
        <f>+AVANCE[[#This Row],[FECHA TERMINO  PLANIFICADO]]-AVANCE[[#This Row],[FECHA INICIO TEORICO]]</f>
        <v>20</v>
      </c>
      <c r="BK654" s="42">
        <f>+AVANCE[[#This Row],[FECHA TERMINO]]-AVANCE[[#This Row],[FECHA INICIO REAL]]</f>
        <v>0</v>
      </c>
    </row>
    <row r="655" spans="1:63" x14ac:dyDescent="0.25">
      <c r="A655" t="s">
        <v>1481</v>
      </c>
      <c r="B655" t="s">
        <v>1495</v>
      </c>
      <c r="C655">
        <v>2302600654</v>
      </c>
      <c r="D655" t="s">
        <v>831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46233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5" s="42">
        <f>+AVANCE[[#This Row],[FECHA TERMINO  PLANIFICADO]]-AVANCE[[#This Row],[FECHA INICIO TEORICO]]</f>
        <v>30</v>
      </c>
      <c r="BK655" s="42">
        <f>+AVANCE[[#This Row],[FECHA TERMINO]]-AVANCE[[#This Row],[FECHA INICIO REAL]]</f>
        <v>0</v>
      </c>
    </row>
    <row r="656" spans="1:63" x14ac:dyDescent="0.25">
      <c r="A656" t="s">
        <v>1481</v>
      </c>
      <c r="B656" t="s">
        <v>1496</v>
      </c>
      <c r="C656">
        <v>2302600655</v>
      </c>
      <c r="D656" t="s">
        <v>831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46233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6" s="42">
        <f>+AVANCE[[#This Row],[FECHA TERMINO  PLANIFICADO]]-AVANCE[[#This Row],[FECHA INICIO TEORICO]]</f>
        <v>30</v>
      </c>
      <c r="BK656" s="42">
        <f>+AVANCE[[#This Row],[FECHA TERMINO]]-AVANCE[[#This Row],[FECHA INICIO REAL]]</f>
        <v>0</v>
      </c>
    </row>
    <row r="657" spans="1:63" x14ac:dyDescent="0.25">
      <c r="A657" t="s">
        <v>1481</v>
      </c>
      <c r="B657" t="s">
        <v>1497</v>
      </c>
      <c r="C657">
        <v>2282600656</v>
      </c>
      <c r="D657" t="s">
        <v>830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46233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7" s="42">
        <f>+AVANCE[[#This Row],[FECHA TERMINO  PLANIFICADO]]-AVANCE[[#This Row],[FECHA INICIO TEORICO]]</f>
        <v>20</v>
      </c>
      <c r="BK657" s="42">
        <f>+AVANCE[[#This Row],[FECHA TERMINO]]-AVANCE[[#This Row],[FECHA INICIO REAL]]</f>
        <v>0</v>
      </c>
    </row>
    <row r="658" spans="1:63" x14ac:dyDescent="0.25">
      <c r="A658" t="s">
        <v>1481</v>
      </c>
      <c r="B658" t="s">
        <v>1498</v>
      </c>
      <c r="C658">
        <v>2282600657</v>
      </c>
      <c r="D658" t="s">
        <v>830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46233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8" s="42">
        <f>+AVANCE[[#This Row],[FECHA TERMINO  PLANIFICADO]]-AVANCE[[#This Row],[FECHA INICIO TEORICO]]</f>
        <v>20</v>
      </c>
      <c r="BK658" s="42">
        <f>+AVANCE[[#This Row],[FECHA TERMINO]]-AVANCE[[#This Row],[FECHA INICIO REAL]]</f>
        <v>0</v>
      </c>
    </row>
    <row r="659" spans="1:63" x14ac:dyDescent="0.25">
      <c r="A659" t="s">
        <v>1481</v>
      </c>
      <c r="B659" t="s">
        <v>1499</v>
      </c>
      <c r="C659">
        <v>2302600658</v>
      </c>
      <c r="D659" t="s">
        <v>831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46233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9" s="42">
        <f>+AVANCE[[#This Row],[FECHA TERMINO  PLANIFICADO]]-AVANCE[[#This Row],[FECHA INICIO TEORICO]]</f>
        <v>30</v>
      </c>
      <c r="BK659" s="42">
        <f>+AVANCE[[#This Row],[FECHA TERMINO]]-AVANCE[[#This Row],[FECHA INICIO REAL]]</f>
        <v>0</v>
      </c>
    </row>
    <row r="660" spans="1:63" x14ac:dyDescent="0.25">
      <c r="A660" t="s">
        <v>1481</v>
      </c>
      <c r="B660" t="s">
        <v>1500</v>
      </c>
      <c r="C660">
        <v>2302600659</v>
      </c>
      <c r="D660" t="s">
        <v>831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46233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0" s="42">
        <f>+AVANCE[[#This Row],[FECHA TERMINO  PLANIFICADO]]-AVANCE[[#This Row],[FECHA INICIO TEORICO]]</f>
        <v>30</v>
      </c>
      <c r="BK660" s="42">
        <f>+AVANCE[[#This Row],[FECHA TERMINO]]-AVANCE[[#This Row],[FECHA INICIO REAL]]</f>
        <v>0</v>
      </c>
    </row>
    <row r="661" spans="1:63" x14ac:dyDescent="0.25">
      <c r="A661" t="s">
        <v>1481</v>
      </c>
      <c r="B661" t="s">
        <v>1501</v>
      </c>
      <c r="C661">
        <v>2282600660</v>
      </c>
      <c r="D661" t="s">
        <v>830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46233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1" s="42">
        <f>+AVANCE[[#This Row],[FECHA TERMINO  PLANIFICADO]]-AVANCE[[#This Row],[FECHA INICIO TEORICO]]</f>
        <v>20</v>
      </c>
      <c r="BK661" s="42">
        <f>+AVANCE[[#This Row],[FECHA TERMINO]]-AVANCE[[#This Row],[FECHA INICIO REAL]]</f>
        <v>0</v>
      </c>
    </row>
    <row r="662" spans="1:63" x14ac:dyDescent="0.25">
      <c r="A662" t="s">
        <v>1481</v>
      </c>
      <c r="B662" t="s">
        <v>1502</v>
      </c>
      <c r="C662">
        <v>2282600661</v>
      </c>
      <c r="D662" t="s">
        <v>830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46233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2" s="42">
        <f>+AVANCE[[#This Row],[FECHA TERMINO  PLANIFICADO]]-AVANCE[[#This Row],[FECHA INICIO TEORICO]]</f>
        <v>20</v>
      </c>
      <c r="BK662" s="42">
        <f>+AVANCE[[#This Row],[FECHA TERMINO]]-AVANCE[[#This Row],[FECHA INICIO REAL]]</f>
        <v>0</v>
      </c>
    </row>
    <row r="663" spans="1:63" x14ac:dyDescent="0.25">
      <c r="A663" t="s">
        <v>1481</v>
      </c>
      <c r="B663" t="s">
        <v>1503</v>
      </c>
      <c r="C663">
        <v>2302600662</v>
      </c>
      <c r="D663" t="s">
        <v>831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46233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3" s="42">
        <f>+AVANCE[[#This Row],[FECHA TERMINO  PLANIFICADO]]-AVANCE[[#This Row],[FECHA INICIO TEORICO]]</f>
        <v>30</v>
      </c>
      <c r="BK663" s="42">
        <f>+AVANCE[[#This Row],[FECHA TERMINO]]-AVANCE[[#This Row],[FECHA INICIO REAL]]</f>
        <v>0</v>
      </c>
    </row>
    <row r="664" spans="1:63" x14ac:dyDescent="0.25">
      <c r="A664" t="s">
        <v>1481</v>
      </c>
      <c r="B664" t="s">
        <v>1504</v>
      </c>
      <c r="C664">
        <v>2302600663</v>
      </c>
      <c r="D664" t="s">
        <v>831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46233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4" s="42">
        <f>+AVANCE[[#This Row],[FECHA TERMINO  PLANIFICADO]]-AVANCE[[#This Row],[FECHA INICIO TEORICO]]</f>
        <v>30</v>
      </c>
      <c r="BK664" s="42">
        <f>+AVANCE[[#This Row],[FECHA TERMINO]]-AVANCE[[#This Row],[FECHA INICIO REAL]]</f>
        <v>0</v>
      </c>
    </row>
    <row r="665" spans="1:63" x14ac:dyDescent="0.25">
      <c r="A665" t="s">
        <v>1481</v>
      </c>
      <c r="B665" t="s">
        <v>1505</v>
      </c>
      <c r="C665">
        <v>2282600664</v>
      </c>
      <c r="D665" t="s">
        <v>830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46233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5" s="42">
        <f>+AVANCE[[#This Row],[FECHA TERMINO  PLANIFICADO]]-AVANCE[[#This Row],[FECHA INICIO TEORICO]]</f>
        <v>20</v>
      </c>
      <c r="BK665" s="42">
        <f>+AVANCE[[#This Row],[FECHA TERMINO]]-AVANCE[[#This Row],[FECHA INICIO REAL]]</f>
        <v>0</v>
      </c>
    </row>
    <row r="666" spans="1:63" x14ac:dyDescent="0.25">
      <c r="A666" t="s">
        <v>1481</v>
      </c>
      <c r="B666" t="s">
        <v>1506</v>
      </c>
      <c r="C666">
        <v>2282600665</v>
      </c>
      <c r="D666" t="s">
        <v>830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46233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6" s="42">
        <f>+AVANCE[[#This Row],[FECHA TERMINO  PLANIFICADO]]-AVANCE[[#This Row],[FECHA INICIO TEORICO]]</f>
        <v>20</v>
      </c>
      <c r="BK666" s="42">
        <f>+AVANCE[[#This Row],[FECHA TERMINO]]-AVANCE[[#This Row],[FECHA INICIO REAL]]</f>
        <v>0</v>
      </c>
    </row>
    <row r="667" spans="1:63" x14ac:dyDescent="0.25">
      <c r="A667" t="s">
        <v>1481</v>
      </c>
      <c r="B667" t="s">
        <v>1507</v>
      </c>
      <c r="C667">
        <v>2302600666</v>
      </c>
      <c r="D667" t="s">
        <v>831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46233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7" s="42">
        <f>+AVANCE[[#This Row],[FECHA TERMINO  PLANIFICADO]]-AVANCE[[#This Row],[FECHA INICIO TEORICO]]</f>
        <v>30</v>
      </c>
      <c r="BK667" s="42">
        <f>+AVANCE[[#This Row],[FECHA TERMINO]]-AVANCE[[#This Row],[FECHA INICIO REAL]]</f>
        <v>0</v>
      </c>
    </row>
    <row r="668" spans="1:63" x14ac:dyDescent="0.25">
      <c r="A668" t="s">
        <v>1481</v>
      </c>
      <c r="B668" t="s">
        <v>1508</v>
      </c>
      <c r="C668">
        <v>2302600667</v>
      </c>
      <c r="D668" t="s">
        <v>831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46233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8" s="42">
        <f>+AVANCE[[#This Row],[FECHA TERMINO  PLANIFICADO]]-AVANCE[[#This Row],[FECHA INICIO TEORICO]]</f>
        <v>30</v>
      </c>
      <c r="BK668" s="42">
        <f>+AVANCE[[#This Row],[FECHA TERMINO]]-AVANCE[[#This Row],[FECHA INICIO REAL]]</f>
        <v>0</v>
      </c>
    </row>
    <row r="669" spans="1:63" x14ac:dyDescent="0.25">
      <c r="A669" t="s">
        <v>1481</v>
      </c>
      <c r="B669" t="s">
        <v>1509</v>
      </c>
      <c r="C669">
        <v>2282600668</v>
      </c>
      <c r="D669" t="s">
        <v>830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46233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9" s="42">
        <f>+AVANCE[[#This Row],[FECHA TERMINO  PLANIFICADO]]-AVANCE[[#This Row],[FECHA INICIO TEORICO]]</f>
        <v>20</v>
      </c>
      <c r="BK669" s="42">
        <f>+AVANCE[[#This Row],[FECHA TERMINO]]-AVANCE[[#This Row],[FECHA INICIO REAL]]</f>
        <v>0</v>
      </c>
    </row>
    <row r="670" spans="1:63" x14ac:dyDescent="0.25">
      <c r="A670" t="s">
        <v>1481</v>
      </c>
      <c r="B670" t="s">
        <v>1510</v>
      </c>
      <c r="C670">
        <v>2282600669</v>
      </c>
      <c r="D670" t="s">
        <v>830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46233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0" s="42">
        <f>+AVANCE[[#This Row],[FECHA TERMINO  PLANIFICADO]]-AVANCE[[#This Row],[FECHA INICIO TEORICO]]</f>
        <v>20</v>
      </c>
      <c r="BK670" s="42">
        <f>+AVANCE[[#This Row],[FECHA TERMINO]]-AVANCE[[#This Row],[FECHA INICIO REAL]]</f>
        <v>0</v>
      </c>
    </row>
    <row r="671" spans="1:63" x14ac:dyDescent="0.25">
      <c r="A671" t="s">
        <v>1481</v>
      </c>
      <c r="B671" t="s">
        <v>1511</v>
      </c>
      <c r="C671">
        <v>2302600670</v>
      </c>
      <c r="D671" t="s">
        <v>831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46233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1" s="42">
        <f>+AVANCE[[#This Row],[FECHA TERMINO  PLANIFICADO]]-AVANCE[[#This Row],[FECHA INICIO TEORICO]]</f>
        <v>30</v>
      </c>
      <c r="BK671" s="42">
        <f>+AVANCE[[#This Row],[FECHA TERMINO]]-AVANCE[[#This Row],[FECHA INICIO REAL]]</f>
        <v>0</v>
      </c>
    </row>
    <row r="672" spans="1:63" x14ac:dyDescent="0.25">
      <c r="A672" t="s">
        <v>1481</v>
      </c>
      <c r="B672" t="s">
        <v>1512</v>
      </c>
      <c r="C672">
        <v>2302600671</v>
      </c>
      <c r="D672" t="s">
        <v>831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46233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2" s="42">
        <f>+AVANCE[[#This Row],[FECHA TERMINO  PLANIFICADO]]-AVANCE[[#This Row],[FECHA INICIO TEORICO]]</f>
        <v>30</v>
      </c>
      <c r="BK672" s="42">
        <f>+AVANCE[[#This Row],[FECHA TERMINO]]-AVANCE[[#This Row],[FECHA INICIO REAL]]</f>
        <v>0</v>
      </c>
    </row>
    <row r="673" spans="1:63" x14ac:dyDescent="0.25">
      <c r="A673" t="s">
        <v>1481</v>
      </c>
      <c r="B673" t="s">
        <v>1513</v>
      </c>
      <c r="C673">
        <v>2282600672</v>
      </c>
      <c r="D673" t="s">
        <v>830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46233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3" s="42">
        <f>+AVANCE[[#This Row],[FECHA TERMINO  PLANIFICADO]]-AVANCE[[#This Row],[FECHA INICIO TEORICO]]</f>
        <v>20</v>
      </c>
      <c r="BK673" s="42">
        <f>+AVANCE[[#This Row],[FECHA TERMINO]]-AVANCE[[#This Row],[FECHA INICIO REAL]]</f>
        <v>0</v>
      </c>
    </row>
    <row r="674" spans="1:63" x14ac:dyDescent="0.25">
      <c r="A674" t="s">
        <v>1514</v>
      </c>
      <c r="B674" t="s">
        <v>1515</v>
      </c>
      <c r="C674">
        <v>2282600673</v>
      </c>
      <c r="D674" t="s">
        <v>830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46233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4" s="42">
        <f>+AVANCE[[#This Row],[FECHA TERMINO  PLANIFICADO]]-AVANCE[[#This Row],[FECHA INICIO TEORICO]]</f>
        <v>20</v>
      </c>
      <c r="BK674" s="42">
        <f>+AVANCE[[#This Row],[FECHA TERMINO]]-AVANCE[[#This Row],[FECHA INICIO REAL]]</f>
        <v>0</v>
      </c>
    </row>
    <row r="675" spans="1:63" x14ac:dyDescent="0.25">
      <c r="A675" t="s">
        <v>1514</v>
      </c>
      <c r="B675" t="s">
        <v>1516</v>
      </c>
      <c r="C675">
        <v>2302600674</v>
      </c>
      <c r="D675" t="s">
        <v>831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46233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5" s="42">
        <f>+AVANCE[[#This Row],[FECHA TERMINO  PLANIFICADO]]-AVANCE[[#This Row],[FECHA INICIO TEORICO]]</f>
        <v>30</v>
      </c>
      <c r="BK675" s="42">
        <f>+AVANCE[[#This Row],[FECHA TERMINO]]-AVANCE[[#This Row],[FECHA INICIO REAL]]</f>
        <v>0</v>
      </c>
    </row>
    <row r="676" spans="1:63" x14ac:dyDescent="0.25">
      <c r="A676" t="s">
        <v>1514</v>
      </c>
      <c r="B676" t="s">
        <v>1517</v>
      </c>
      <c r="C676">
        <v>2302600675</v>
      </c>
      <c r="D676" t="s">
        <v>831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46233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6" s="42">
        <f>+AVANCE[[#This Row],[FECHA TERMINO  PLANIFICADO]]-AVANCE[[#This Row],[FECHA INICIO TEORICO]]</f>
        <v>30</v>
      </c>
      <c r="BK676" s="42">
        <f>+AVANCE[[#This Row],[FECHA TERMINO]]-AVANCE[[#This Row],[FECHA INICIO REAL]]</f>
        <v>0</v>
      </c>
    </row>
    <row r="677" spans="1:63" x14ac:dyDescent="0.25">
      <c r="A677" t="s">
        <v>1514</v>
      </c>
      <c r="B677" t="s">
        <v>1518</v>
      </c>
      <c r="C677">
        <v>2282600676</v>
      </c>
      <c r="D677" t="s">
        <v>830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46233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7" s="42">
        <f>+AVANCE[[#This Row],[FECHA TERMINO  PLANIFICADO]]-AVANCE[[#This Row],[FECHA INICIO TEORICO]]</f>
        <v>20</v>
      </c>
      <c r="BK677" s="42">
        <f>+AVANCE[[#This Row],[FECHA TERMINO]]-AVANCE[[#This Row],[FECHA INICIO REAL]]</f>
        <v>0</v>
      </c>
    </row>
    <row r="678" spans="1:63" x14ac:dyDescent="0.25">
      <c r="A678" t="s">
        <v>1514</v>
      </c>
      <c r="B678" t="s">
        <v>1519</v>
      </c>
      <c r="C678">
        <v>2282600677</v>
      </c>
      <c r="D678" t="s">
        <v>830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46233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8" s="42">
        <f>+AVANCE[[#This Row],[FECHA TERMINO  PLANIFICADO]]-AVANCE[[#This Row],[FECHA INICIO TEORICO]]</f>
        <v>20</v>
      </c>
      <c r="BK678" s="42">
        <f>+AVANCE[[#This Row],[FECHA TERMINO]]-AVANCE[[#This Row],[FECHA INICIO REAL]]</f>
        <v>0</v>
      </c>
    </row>
    <row r="679" spans="1:63" x14ac:dyDescent="0.25">
      <c r="A679" t="s">
        <v>1514</v>
      </c>
      <c r="B679" t="s">
        <v>1520</v>
      </c>
      <c r="C679">
        <v>2302600678</v>
      </c>
      <c r="D679" t="s">
        <v>831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46233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9" s="42">
        <f>+AVANCE[[#This Row],[FECHA TERMINO  PLANIFICADO]]-AVANCE[[#This Row],[FECHA INICIO TEORICO]]</f>
        <v>30</v>
      </c>
      <c r="BK679" s="42">
        <f>+AVANCE[[#This Row],[FECHA TERMINO]]-AVANCE[[#This Row],[FECHA INICIO REAL]]</f>
        <v>0</v>
      </c>
    </row>
    <row r="680" spans="1:63" x14ac:dyDescent="0.25">
      <c r="A680" t="s">
        <v>1514</v>
      </c>
      <c r="B680" t="s">
        <v>1521</v>
      </c>
      <c r="C680">
        <v>2302600679</v>
      </c>
      <c r="D680" t="s">
        <v>831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46233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0" s="42">
        <f>+AVANCE[[#This Row],[FECHA TERMINO  PLANIFICADO]]-AVANCE[[#This Row],[FECHA INICIO TEORICO]]</f>
        <v>30</v>
      </c>
      <c r="BK680" s="42">
        <f>+AVANCE[[#This Row],[FECHA TERMINO]]-AVANCE[[#This Row],[FECHA INICIO REAL]]</f>
        <v>0</v>
      </c>
    </row>
    <row r="681" spans="1:63" x14ac:dyDescent="0.25">
      <c r="A681" t="s">
        <v>1514</v>
      </c>
      <c r="B681" t="s">
        <v>1522</v>
      </c>
      <c r="C681">
        <v>2282600680</v>
      </c>
      <c r="D681" t="s">
        <v>830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46233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1" s="42">
        <f>+AVANCE[[#This Row],[FECHA TERMINO  PLANIFICADO]]-AVANCE[[#This Row],[FECHA INICIO TEORICO]]</f>
        <v>20</v>
      </c>
      <c r="BK681" s="42">
        <f>+AVANCE[[#This Row],[FECHA TERMINO]]-AVANCE[[#This Row],[FECHA INICIO REAL]]</f>
        <v>0</v>
      </c>
    </row>
    <row r="682" spans="1:63" x14ac:dyDescent="0.25">
      <c r="A682" t="s">
        <v>1514</v>
      </c>
      <c r="B682" t="s">
        <v>1523</v>
      </c>
      <c r="C682">
        <v>2282600681</v>
      </c>
      <c r="D682" t="s">
        <v>830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46233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2" s="42">
        <f>+AVANCE[[#This Row],[FECHA TERMINO  PLANIFICADO]]-AVANCE[[#This Row],[FECHA INICIO TEORICO]]</f>
        <v>20</v>
      </c>
      <c r="BK682" s="42">
        <f>+AVANCE[[#This Row],[FECHA TERMINO]]-AVANCE[[#This Row],[FECHA INICIO REAL]]</f>
        <v>0</v>
      </c>
    </row>
    <row r="683" spans="1:63" x14ac:dyDescent="0.25">
      <c r="A683" t="s">
        <v>1514</v>
      </c>
      <c r="B683" t="s">
        <v>1524</v>
      </c>
      <c r="C683">
        <v>2302600682</v>
      </c>
      <c r="D683" t="s">
        <v>831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46233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3" s="42">
        <f>+AVANCE[[#This Row],[FECHA TERMINO  PLANIFICADO]]-AVANCE[[#This Row],[FECHA INICIO TEORICO]]</f>
        <v>30</v>
      </c>
      <c r="BK683" s="42">
        <f>+AVANCE[[#This Row],[FECHA TERMINO]]-AVANCE[[#This Row],[FECHA INICIO REAL]]</f>
        <v>0</v>
      </c>
    </row>
    <row r="684" spans="1:63" x14ac:dyDescent="0.25">
      <c r="A684" t="s">
        <v>1514</v>
      </c>
      <c r="B684" t="s">
        <v>1525</v>
      </c>
      <c r="C684">
        <v>2302600683</v>
      </c>
      <c r="D684" t="s">
        <v>831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46233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4" s="42">
        <f>+AVANCE[[#This Row],[FECHA TERMINO  PLANIFICADO]]-AVANCE[[#This Row],[FECHA INICIO TEORICO]]</f>
        <v>30</v>
      </c>
      <c r="BK684" s="42">
        <f>+AVANCE[[#This Row],[FECHA TERMINO]]-AVANCE[[#This Row],[FECHA INICIO REAL]]</f>
        <v>0</v>
      </c>
    </row>
    <row r="685" spans="1:63" x14ac:dyDescent="0.25">
      <c r="A685" t="s">
        <v>1514</v>
      </c>
      <c r="B685" t="s">
        <v>1526</v>
      </c>
      <c r="C685">
        <v>2282600684</v>
      </c>
      <c r="D685" t="s">
        <v>830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46233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5" s="42">
        <f>+AVANCE[[#This Row],[FECHA TERMINO  PLANIFICADO]]-AVANCE[[#This Row],[FECHA INICIO TEORICO]]</f>
        <v>20</v>
      </c>
      <c r="BK685" s="42">
        <f>+AVANCE[[#This Row],[FECHA TERMINO]]-AVANCE[[#This Row],[FECHA INICIO REAL]]</f>
        <v>0</v>
      </c>
    </row>
    <row r="686" spans="1:63" x14ac:dyDescent="0.25">
      <c r="A686" t="s">
        <v>1514</v>
      </c>
      <c r="B686" t="s">
        <v>1527</v>
      </c>
      <c r="C686">
        <v>2282600685</v>
      </c>
      <c r="D686" t="s">
        <v>830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46233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6" s="42">
        <f>+AVANCE[[#This Row],[FECHA TERMINO  PLANIFICADO]]-AVANCE[[#This Row],[FECHA INICIO TEORICO]]</f>
        <v>20</v>
      </c>
      <c r="BK686" s="42">
        <f>+AVANCE[[#This Row],[FECHA TERMINO]]-AVANCE[[#This Row],[FECHA INICIO REAL]]</f>
        <v>0</v>
      </c>
    </row>
    <row r="687" spans="1:63" x14ac:dyDescent="0.25">
      <c r="A687" t="s">
        <v>1514</v>
      </c>
      <c r="B687" t="s">
        <v>1528</v>
      </c>
      <c r="C687">
        <v>2302600686</v>
      </c>
      <c r="D687" t="s">
        <v>831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46233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7" s="42">
        <f>+AVANCE[[#This Row],[FECHA TERMINO  PLANIFICADO]]-AVANCE[[#This Row],[FECHA INICIO TEORICO]]</f>
        <v>30</v>
      </c>
      <c r="BK687" s="42">
        <f>+AVANCE[[#This Row],[FECHA TERMINO]]-AVANCE[[#This Row],[FECHA INICIO REAL]]</f>
        <v>0</v>
      </c>
    </row>
    <row r="688" spans="1:63" x14ac:dyDescent="0.25">
      <c r="A688" t="s">
        <v>1514</v>
      </c>
      <c r="B688" t="s">
        <v>1529</v>
      </c>
      <c r="C688">
        <v>2302600687</v>
      </c>
      <c r="D688" t="s">
        <v>831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46233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8" s="42">
        <f>+AVANCE[[#This Row],[FECHA TERMINO  PLANIFICADO]]-AVANCE[[#This Row],[FECHA INICIO TEORICO]]</f>
        <v>30</v>
      </c>
      <c r="BK688" s="42">
        <f>+AVANCE[[#This Row],[FECHA TERMINO]]-AVANCE[[#This Row],[FECHA INICIO REAL]]</f>
        <v>0</v>
      </c>
    </row>
    <row r="689" spans="1:63" x14ac:dyDescent="0.25">
      <c r="A689" t="s">
        <v>1514</v>
      </c>
      <c r="B689" t="s">
        <v>1530</v>
      </c>
      <c r="C689">
        <v>2282600688</v>
      </c>
      <c r="D689" t="s">
        <v>830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46233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9" s="42">
        <f>+AVANCE[[#This Row],[FECHA TERMINO  PLANIFICADO]]-AVANCE[[#This Row],[FECHA INICIO TEORICO]]</f>
        <v>20</v>
      </c>
      <c r="BK689" s="42">
        <f>+AVANCE[[#This Row],[FECHA TERMINO]]-AVANCE[[#This Row],[FECHA INICIO REAL]]</f>
        <v>0</v>
      </c>
    </row>
    <row r="690" spans="1:63" x14ac:dyDescent="0.25">
      <c r="A690" t="s">
        <v>1514</v>
      </c>
      <c r="B690" t="s">
        <v>1531</v>
      </c>
      <c r="C690">
        <v>2282600689</v>
      </c>
      <c r="D690" t="s">
        <v>830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46233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0" s="42">
        <f>+AVANCE[[#This Row],[FECHA TERMINO  PLANIFICADO]]-AVANCE[[#This Row],[FECHA INICIO TEORICO]]</f>
        <v>20</v>
      </c>
      <c r="BK690" s="42">
        <f>+AVANCE[[#This Row],[FECHA TERMINO]]-AVANCE[[#This Row],[FECHA INICIO REAL]]</f>
        <v>0</v>
      </c>
    </row>
    <row r="691" spans="1:63" x14ac:dyDescent="0.25">
      <c r="A691" t="s">
        <v>1514</v>
      </c>
      <c r="B691" t="s">
        <v>1532</v>
      </c>
      <c r="C691">
        <v>2302600690</v>
      </c>
      <c r="D691" t="s">
        <v>831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46233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1" s="42">
        <f>+AVANCE[[#This Row],[FECHA TERMINO  PLANIFICADO]]-AVANCE[[#This Row],[FECHA INICIO TEORICO]]</f>
        <v>30</v>
      </c>
      <c r="BK691" s="42">
        <f>+AVANCE[[#This Row],[FECHA TERMINO]]-AVANCE[[#This Row],[FECHA INICIO REAL]]</f>
        <v>0</v>
      </c>
    </row>
    <row r="692" spans="1:63" x14ac:dyDescent="0.25">
      <c r="A692" t="s">
        <v>1514</v>
      </c>
      <c r="B692" t="s">
        <v>1533</v>
      </c>
      <c r="C692">
        <v>2302600691</v>
      </c>
      <c r="D692" t="s">
        <v>831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46233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2" s="42">
        <f>+AVANCE[[#This Row],[FECHA TERMINO  PLANIFICADO]]-AVANCE[[#This Row],[FECHA INICIO TEORICO]]</f>
        <v>30</v>
      </c>
      <c r="BK692" s="42">
        <f>+AVANCE[[#This Row],[FECHA TERMINO]]-AVANCE[[#This Row],[FECHA INICIO REAL]]</f>
        <v>0</v>
      </c>
    </row>
    <row r="693" spans="1:63" x14ac:dyDescent="0.25">
      <c r="A693" t="s">
        <v>1514</v>
      </c>
      <c r="B693" t="s">
        <v>1534</v>
      </c>
      <c r="C693">
        <v>2282600692</v>
      </c>
      <c r="D693" t="s">
        <v>830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46233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3" s="42">
        <f>+AVANCE[[#This Row],[FECHA TERMINO  PLANIFICADO]]-AVANCE[[#This Row],[FECHA INICIO TEORICO]]</f>
        <v>20</v>
      </c>
      <c r="BK693" s="42">
        <f>+AVANCE[[#This Row],[FECHA TERMINO]]-AVANCE[[#This Row],[FECHA INICIO REAL]]</f>
        <v>0</v>
      </c>
    </row>
    <row r="694" spans="1:63" x14ac:dyDescent="0.25">
      <c r="A694" t="s">
        <v>1514</v>
      </c>
      <c r="B694" t="s">
        <v>1535</v>
      </c>
      <c r="C694">
        <v>2282600693</v>
      </c>
      <c r="D694" t="s">
        <v>830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46233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4" s="42">
        <f>+AVANCE[[#This Row],[FECHA TERMINO  PLANIFICADO]]-AVANCE[[#This Row],[FECHA INICIO TEORICO]]</f>
        <v>20</v>
      </c>
      <c r="BK694" s="42">
        <f>+AVANCE[[#This Row],[FECHA TERMINO]]-AVANCE[[#This Row],[FECHA INICIO REAL]]</f>
        <v>0</v>
      </c>
    </row>
    <row r="695" spans="1:63" x14ac:dyDescent="0.25">
      <c r="A695" t="s">
        <v>1514</v>
      </c>
      <c r="B695" t="s">
        <v>1536</v>
      </c>
      <c r="C695">
        <v>2302600694</v>
      </c>
      <c r="D695" t="s">
        <v>831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46233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5" s="42">
        <f>+AVANCE[[#This Row],[FECHA TERMINO  PLANIFICADO]]-AVANCE[[#This Row],[FECHA INICIO TEORICO]]</f>
        <v>30</v>
      </c>
      <c r="BK695" s="42">
        <f>+AVANCE[[#This Row],[FECHA TERMINO]]-AVANCE[[#This Row],[FECHA INICIO REAL]]</f>
        <v>0</v>
      </c>
    </row>
    <row r="696" spans="1:63" x14ac:dyDescent="0.25">
      <c r="A696" t="s">
        <v>1514</v>
      </c>
      <c r="B696" t="s">
        <v>1537</v>
      </c>
      <c r="C696">
        <v>2302600695</v>
      </c>
      <c r="D696" t="s">
        <v>831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46233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6" s="42">
        <f>+AVANCE[[#This Row],[FECHA TERMINO  PLANIFICADO]]-AVANCE[[#This Row],[FECHA INICIO TEORICO]]</f>
        <v>30</v>
      </c>
      <c r="BK696" s="42">
        <f>+AVANCE[[#This Row],[FECHA TERMINO]]-AVANCE[[#This Row],[FECHA INICIO REAL]]</f>
        <v>0</v>
      </c>
    </row>
    <row r="697" spans="1:63" x14ac:dyDescent="0.25">
      <c r="A697" t="s">
        <v>1514</v>
      </c>
      <c r="B697" t="s">
        <v>1538</v>
      </c>
      <c r="C697">
        <v>2282600696</v>
      </c>
      <c r="D697" t="s">
        <v>830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46233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7" s="42">
        <f>+AVANCE[[#This Row],[FECHA TERMINO  PLANIFICADO]]-AVANCE[[#This Row],[FECHA INICIO TEORICO]]</f>
        <v>20</v>
      </c>
      <c r="BK697" s="42">
        <f>+AVANCE[[#This Row],[FECHA TERMINO]]-AVANCE[[#This Row],[FECHA INICIO REAL]]</f>
        <v>0</v>
      </c>
    </row>
    <row r="698" spans="1:63" x14ac:dyDescent="0.25">
      <c r="A698" t="s">
        <v>1514</v>
      </c>
      <c r="B698" t="s">
        <v>1539</v>
      </c>
      <c r="C698">
        <v>2282600697</v>
      </c>
      <c r="D698" t="s">
        <v>830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46233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8" s="42">
        <f>+AVANCE[[#This Row],[FECHA TERMINO  PLANIFICADO]]-AVANCE[[#This Row],[FECHA INICIO TEORICO]]</f>
        <v>20</v>
      </c>
      <c r="BK698" s="42">
        <f>+AVANCE[[#This Row],[FECHA TERMINO]]-AVANCE[[#This Row],[FECHA INICIO REAL]]</f>
        <v>0</v>
      </c>
    </row>
    <row r="699" spans="1:63" x14ac:dyDescent="0.25">
      <c r="A699" t="s">
        <v>1514</v>
      </c>
      <c r="B699" t="s">
        <v>1540</v>
      </c>
      <c r="C699">
        <v>2302600698</v>
      </c>
      <c r="D699" t="s">
        <v>831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46233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9" s="42">
        <f>+AVANCE[[#This Row],[FECHA TERMINO  PLANIFICADO]]-AVANCE[[#This Row],[FECHA INICIO TEORICO]]</f>
        <v>30</v>
      </c>
      <c r="BK699" s="42">
        <f>+AVANCE[[#This Row],[FECHA TERMINO]]-AVANCE[[#This Row],[FECHA INICIO REAL]]</f>
        <v>0</v>
      </c>
    </row>
    <row r="700" spans="1:63" x14ac:dyDescent="0.25">
      <c r="A700" t="s">
        <v>1514</v>
      </c>
      <c r="B700" t="s">
        <v>1541</v>
      </c>
      <c r="C700">
        <v>2302600699</v>
      </c>
      <c r="D700" t="s">
        <v>831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46233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0" s="42">
        <f>+AVANCE[[#This Row],[FECHA TERMINO  PLANIFICADO]]-AVANCE[[#This Row],[FECHA INICIO TEORICO]]</f>
        <v>30</v>
      </c>
      <c r="BK700" s="42">
        <f>+AVANCE[[#This Row],[FECHA TERMINO]]-AVANCE[[#This Row],[FECHA INICIO REAL]]</f>
        <v>0</v>
      </c>
    </row>
    <row r="701" spans="1:63" x14ac:dyDescent="0.25">
      <c r="A701" t="s">
        <v>1514</v>
      </c>
      <c r="B701" t="s">
        <v>1542</v>
      </c>
      <c r="C701">
        <v>2282600700</v>
      </c>
      <c r="D701" t="s">
        <v>830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46233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1" s="42">
        <f>+AVANCE[[#This Row],[FECHA TERMINO  PLANIFICADO]]-AVANCE[[#This Row],[FECHA INICIO TEORICO]]</f>
        <v>20</v>
      </c>
      <c r="BK701" s="42">
        <f>+AVANCE[[#This Row],[FECHA TERMINO]]-AVANCE[[#This Row],[FECHA INICIO REAL]]</f>
        <v>0</v>
      </c>
    </row>
    <row r="702" spans="1:63" x14ac:dyDescent="0.25">
      <c r="A702" t="s">
        <v>1514</v>
      </c>
      <c r="B702" t="s">
        <v>1543</v>
      </c>
      <c r="C702">
        <v>2282600701</v>
      </c>
      <c r="D702" t="s">
        <v>830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46233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2" s="42">
        <f>+AVANCE[[#This Row],[FECHA TERMINO  PLANIFICADO]]-AVANCE[[#This Row],[FECHA INICIO TEORICO]]</f>
        <v>20</v>
      </c>
      <c r="BK702" s="42">
        <f>+AVANCE[[#This Row],[FECHA TERMINO]]-AVANCE[[#This Row],[FECHA INICIO REAL]]</f>
        <v>0</v>
      </c>
    </row>
    <row r="703" spans="1:63" x14ac:dyDescent="0.25">
      <c r="A703" t="s">
        <v>1514</v>
      </c>
      <c r="B703" t="s">
        <v>1544</v>
      </c>
      <c r="C703">
        <v>2302600702</v>
      </c>
      <c r="D703" t="s">
        <v>831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46233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3" s="42">
        <f>+AVANCE[[#This Row],[FECHA TERMINO  PLANIFICADO]]-AVANCE[[#This Row],[FECHA INICIO TEORICO]]</f>
        <v>30</v>
      </c>
      <c r="BK703" s="42">
        <f>+AVANCE[[#This Row],[FECHA TERMINO]]-AVANCE[[#This Row],[FECHA INICIO REAL]]</f>
        <v>0</v>
      </c>
    </row>
    <row r="704" spans="1:63" x14ac:dyDescent="0.25">
      <c r="A704" t="s">
        <v>1514</v>
      </c>
      <c r="B704" t="s">
        <v>1545</v>
      </c>
      <c r="C704">
        <v>2302600703</v>
      </c>
      <c r="D704" t="s">
        <v>831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46233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4" s="42">
        <f>+AVANCE[[#This Row],[FECHA TERMINO  PLANIFICADO]]-AVANCE[[#This Row],[FECHA INICIO TEORICO]]</f>
        <v>30</v>
      </c>
      <c r="BK704" s="42">
        <f>+AVANCE[[#This Row],[FECHA TERMINO]]-AVANCE[[#This Row],[FECHA INICIO REAL]]</f>
        <v>0</v>
      </c>
    </row>
    <row r="705" spans="1:63" x14ac:dyDescent="0.25">
      <c r="A705" t="s">
        <v>1514</v>
      </c>
      <c r="B705" t="s">
        <v>1546</v>
      </c>
      <c r="C705">
        <v>2282600704</v>
      </c>
      <c r="D705" t="s">
        <v>830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46233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5" s="42">
        <f>+AVANCE[[#This Row],[FECHA TERMINO  PLANIFICADO]]-AVANCE[[#This Row],[FECHA INICIO TEORICO]]</f>
        <v>20</v>
      </c>
      <c r="BK705" s="42">
        <f>+AVANCE[[#This Row],[FECHA TERMINO]]-AVANCE[[#This Row],[FECHA INICIO REAL]]</f>
        <v>0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abSelected="1" topLeftCell="A148" workbookViewId="0">
      <selection activeCell="I165" sqref="I165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1695</v>
      </c>
      <c r="B1" s="7" t="s">
        <v>1696</v>
      </c>
      <c r="C1" s="7" t="s">
        <v>1697</v>
      </c>
      <c r="D1" t="s">
        <v>1698</v>
      </c>
      <c r="E1" s="66" t="s">
        <v>1720</v>
      </c>
      <c r="F1" s="66" t="s">
        <v>1725</v>
      </c>
      <c r="G1" t="s">
        <v>1699</v>
      </c>
      <c r="H1" t="s">
        <v>1700</v>
      </c>
      <c r="I1" t="s">
        <v>1701</v>
      </c>
      <c r="J1" t="s">
        <v>1704</v>
      </c>
      <c r="K1" t="s">
        <v>776</v>
      </c>
      <c r="L1" t="s">
        <v>1705</v>
      </c>
      <c r="M1" s="67" t="s">
        <v>1721</v>
      </c>
      <c r="N1" s="74" t="s">
        <v>1724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2</v>
      </c>
      <c r="H124">
        <f>+_xlfn.XLOOKUP(CURVA[[#This Row],[Fecha]],AV_PLAN[Días],AV_PLAN[FECHA TERMINO REAL],"",0)</f>
        <v>1</v>
      </c>
      <c r="I124" s="13">
        <v>0.12790000000000001</v>
      </c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2711.8987881609546</v>
      </c>
      <c r="N124" s="69">
        <f>IF(CURVA[[#This Row],[% AVANCE REAL]]="",0,M124-M123)</f>
        <v>80.572442494227289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>
        <v>0.12790000000000001</v>
      </c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2711.8987881609546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>
        <v>0.12790000000000001</v>
      </c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2711.8987881609546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5</v>
      </c>
      <c r="I127" s="13">
        <v>0.13120000000000001</v>
      </c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2781.8695934848884</v>
      </c>
      <c r="N127" s="69">
        <f>IF(CURVA[[#This Row],[% AVANCE REAL]]="",0,M127-M126)</f>
        <v>69.970805323933746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3</v>
      </c>
      <c r="H128">
        <f>+_xlfn.XLOOKUP(CURVA[[#This Row],[Fecha]],AV_PLAN[Días],AV_PLAN[FECHA TERMINO REAL],"",0)</f>
        <v>2</v>
      </c>
      <c r="I128" s="13">
        <v>0.13270000000000001</v>
      </c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2813.6745049957676</v>
      </c>
      <c r="N128" s="69">
        <f>IF(CURVA[[#This Row],[% AVANCE REAL]]="",0,M128-M127)</f>
        <v>31.804911510879265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1</v>
      </c>
      <c r="H129">
        <f>+_xlfn.XLOOKUP(CURVA[[#This Row],[Fecha]],AV_PLAN[Días],AV_PLAN[FECHA TERMINO REAL],"",0)</f>
        <v>1</v>
      </c>
      <c r="I129" s="13">
        <v>0.13569999999999999</v>
      </c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2877.2843280175252</v>
      </c>
      <c r="N129" s="69">
        <f>IF(CURVA[[#This Row],[% AVANCE REAL]]="",0,M129-M128)</f>
        <v>63.60982302175762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3</v>
      </c>
      <c r="H130">
        <f>+_xlfn.XLOOKUP(CURVA[[#This Row],[Fecha]],AV_PLAN[Días],AV_PLAN[FECHA TERMINO REAL],"",0)</f>
        <v>2</v>
      </c>
      <c r="I130" s="13">
        <v>0.13869999999999999</v>
      </c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2940.8941510392833</v>
      </c>
      <c r="N130" s="69">
        <f>IF(CURVA[[#This Row],[% AVANCE REAL]]="",0,M130-M129)</f>
        <v>63.609823021758075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5</v>
      </c>
      <c r="H131">
        <f>+_xlfn.XLOOKUP(CURVA[[#This Row],[Fecha]],AV_PLAN[Días],AV_PLAN[FECHA TERMINO REAL],"",0)</f>
        <v>1</v>
      </c>
      <c r="I131" s="13">
        <v>0.14280000000000001</v>
      </c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3027.8275758356863</v>
      </c>
      <c r="N131" s="69">
        <f>IF(CURVA[[#This Row],[% AVANCE REAL]]="",0,M131-M130)</f>
        <v>86.93342479640296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>
        <v>0.14280000000000001</v>
      </c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3027.8275758356863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>
        <v>0.14280000000000001</v>
      </c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3027.8275758356863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>
        <v>0.14280000000000001</v>
      </c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3027.8275758356863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3</v>
      </c>
      <c r="I135" s="13">
        <v>0.14460000000000001</v>
      </c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3065.9934696487412</v>
      </c>
      <c r="N135" s="69">
        <f>IF(CURVA[[#This Row],[% AVANCE REAL]]="",0,M135-M134)</f>
        <v>38.165893813054936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2</v>
      </c>
      <c r="I136" s="13">
        <v>0.14779999999999999</v>
      </c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3133.8439475386162</v>
      </c>
      <c r="N136" s="69">
        <f>IF(CURVA[[#This Row],[% AVANCE REAL]]="",0,M136-M135)</f>
        <v>67.850477889875037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3</v>
      </c>
      <c r="H137">
        <f>+_xlfn.XLOOKUP(CURVA[[#This Row],[Fecha]],AV_PLAN[Días],AV_PLAN[FECHA TERMINO REAL],"",0)</f>
        <v>3</v>
      </c>
      <c r="I137" s="13">
        <v>0.1502</v>
      </c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3184.731805956023</v>
      </c>
      <c r="N137" s="69">
        <f>IF(CURVA[[#This Row],[% AVANCE REAL]]="",0,M137-M136)</f>
        <v>50.887858417406733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4</v>
      </c>
      <c r="H138">
        <f>+_xlfn.XLOOKUP(CURVA[[#This Row],[Fecha]],AV_PLAN[Días],AV_PLAN[FECHA TERMINO REAL],"",0)</f>
        <v>3</v>
      </c>
      <c r="I138" s="13">
        <v>0.1525</v>
      </c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3233.4993369393706</v>
      </c>
      <c r="N138" s="69">
        <f>IF(CURVA[[#This Row],[% AVANCE REAL]]="",0,M138-M137)</f>
        <v>48.767530983347569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>
        <v>0.1525</v>
      </c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3233.4993369393706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>
        <v>0.1525</v>
      </c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3233.4993369393706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>
        <v>0.15579999999999999</v>
      </c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3303.4701422633048</v>
      </c>
      <c r="N141" s="69">
        <f>IF(CURVA[[#This Row],[% AVANCE REAL]]="",0,M141-M140)</f>
        <v>69.970805323934201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1</v>
      </c>
      <c r="H142">
        <f>+_xlfn.XLOOKUP(CURVA[[#This Row],[Fecha]],AV_PLAN[Días],AV_PLAN[FECHA TERMINO REAL],"",0)</f>
        <v>4</v>
      </c>
      <c r="I142" s="13">
        <v>0.15790000000000001</v>
      </c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3347.9970183785358</v>
      </c>
      <c r="N142" s="69">
        <f>IF(CURVA[[#This Row],[% AVANCE REAL]]="",0,M142-M141)</f>
        <v>44.526876115231062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1</v>
      </c>
      <c r="H143">
        <f>+_xlfn.XLOOKUP(CURVA[[#This Row],[Fecha]],AV_PLAN[Días],AV_PLAN[FECHA TERMINO REAL],"",0)</f>
        <v>4</v>
      </c>
      <c r="I143" s="13">
        <v>0.1615</v>
      </c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3424.3288060046452</v>
      </c>
      <c r="N143" s="69">
        <f>IF(CURVA[[#This Row],[% AVANCE REAL]]="",0,M143-M142)</f>
        <v>76.331787626109417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4</v>
      </c>
      <c r="H144">
        <f>+_xlfn.XLOOKUP(CURVA[[#This Row],[Fecha]],AV_PLAN[Días],AV_PLAN[FECHA TERMINO REAL],"",0)</f>
        <v>0</v>
      </c>
      <c r="I144" s="13">
        <v>0.16300000000000001</v>
      </c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3456.1337175155245</v>
      </c>
      <c r="N144" s="69">
        <f>IF(CURVA[[#This Row],[% AVANCE REAL]]="",0,M144-M143)</f>
        <v>31.804911510879265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4</v>
      </c>
      <c r="I145" s="13">
        <v>0.16600000000000001</v>
      </c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3519.7435405372826</v>
      </c>
      <c r="N145" s="69">
        <f>IF(CURVA[[#This Row],[% AVANCE REAL]]="",0,M145-M144)</f>
        <v>63.609823021758075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>
        <v>0.16600000000000001</v>
      </c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3519.7435405372826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>
        <v>0.16600000000000001</v>
      </c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3519.7435405372826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3</v>
      </c>
      <c r="H148">
        <f>+_xlfn.XLOOKUP(CURVA[[#This Row],[Fecha]],AV_PLAN[Días],AV_PLAN[FECHA TERMINO REAL],"",0)</f>
        <v>5</v>
      </c>
      <c r="I148" s="13">
        <v>0.17019999999999999</v>
      </c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3608.7972927677433</v>
      </c>
      <c r="N148" s="69">
        <f>IF(CURVA[[#This Row],[% AVANCE REAL]]="",0,M148-M147)</f>
        <v>89.053752230460759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3</v>
      </c>
      <c r="H149">
        <f>+_xlfn.XLOOKUP(CURVA[[#This Row],[Fecha]],AV_PLAN[Días],AV_PLAN[FECHA TERMINO REAL],"",0)</f>
        <v>3</v>
      </c>
      <c r="I149" s="13">
        <v>0.17380000000000001</v>
      </c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3685.1290803938537</v>
      </c>
      <c r="N149" s="69">
        <f>IF(CURVA[[#This Row],[% AVANCE REAL]]="",0,M149-M148)</f>
        <v>76.331787626110327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3</v>
      </c>
      <c r="H150">
        <f>+_xlfn.XLOOKUP(CURVA[[#This Row],[Fecha]],AV_PLAN[Días],AV_PLAN[FECHA TERMINO REAL],"",0)</f>
        <v>3</v>
      </c>
      <c r="I150" s="13">
        <v>0.17499999999999999</v>
      </c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3710.5730096025563</v>
      </c>
      <c r="N150" s="69">
        <f>IF(CURVA[[#This Row],[% AVANCE REAL]]="",0,M150-M149)</f>
        <v>25.443929208702684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>
        <v>0.17499999999999999</v>
      </c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3710.5730096025563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2</v>
      </c>
      <c r="H152">
        <f>+_xlfn.XLOOKUP(CURVA[[#This Row],[Fecha]],AV_PLAN[Días],AV_PLAN[FECHA TERMINO REAL],"",0)</f>
        <v>0</v>
      </c>
      <c r="I152" s="13">
        <v>0.1792</v>
      </c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3799.626761833018</v>
      </c>
      <c r="N152" s="69">
        <f>IF(CURVA[[#This Row],[% AVANCE REAL]]="",0,M152-M151)</f>
        <v>89.053752230461669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>
        <v>0.1792</v>
      </c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3799.626761833018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>
        <v>0.1792</v>
      </c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3799.626761833018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>
        <v>0.18329999999999999</v>
      </c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3886.5601866294205</v>
      </c>
      <c r="N155" s="69">
        <f>IF(CURVA[[#This Row],[% AVANCE REAL]]="",0,M155-M154)</f>
        <v>86.933424796402505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4</v>
      </c>
      <c r="H156">
        <f>+_xlfn.XLOOKUP(CURVA[[#This Row],[Fecha]],AV_PLAN[Días],AV_PLAN[FECHA TERMINO REAL],"",0)</f>
        <v>2</v>
      </c>
      <c r="I156" s="13">
        <v>0.18579999999999999</v>
      </c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3939.568372480886</v>
      </c>
      <c r="N156" s="69">
        <f>IF(CURVA[[#This Row],[% AVANCE REAL]]="",0,M156-M155)</f>
        <v>53.008185851465441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2</v>
      </c>
      <c r="H157">
        <f>+_xlfn.XLOOKUP(CURVA[[#This Row],[Fecha]],AV_PLAN[Días],AV_PLAN[FECHA TERMINO REAL],"",0)</f>
        <v>5</v>
      </c>
      <c r="I157" s="13">
        <v>0.18770000000000001</v>
      </c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3979.8545937279996</v>
      </c>
      <c r="N157" s="69">
        <f>IF(CURVA[[#This Row],[% AVANCE REAL]]="",0,M157-M156)</f>
        <v>40.286221247113644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2</v>
      </c>
      <c r="H158">
        <f>+_xlfn.XLOOKUP(CURVA[[#This Row],[Fecha]],AV_PLAN[Días],AV_PLAN[FECHA TERMINO REAL],"",0)</f>
        <v>2</v>
      </c>
      <c r="I158" s="13">
        <v>0.19170000000000001</v>
      </c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4064.6676910903439</v>
      </c>
      <c r="N158" s="69">
        <f>IF(CURVA[[#This Row],[% AVANCE REAL]]="",0,M158-M157)</f>
        <v>84.813097362344251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2</v>
      </c>
      <c r="H159">
        <f>+_xlfn.XLOOKUP(CURVA[[#This Row],[Fecha]],AV_PLAN[Días],AV_PLAN[FECHA TERMINO REAL],"",0)</f>
        <v>3</v>
      </c>
      <c r="I159" s="13">
        <v>0.19489999999999999</v>
      </c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4132.5181689802184</v>
      </c>
      <c r="N159" s="69">
        <f>IF(CURVA[[#This Row],[% AVANCE REAL]]="",0,M159-M158)</f>
        <v>67.850477889874583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>
        <v>0.19489999999999999</v>
      </c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4132.5181689802184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>
        <v>0.19489999999999999</v>
      </c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4132.5181689802184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2</v>
      </c>
      <c r="H162">
        <f>+_xlfn.XLOOKUP(CURVA[[#This Row],[Fecha]],AV_PLAN[Días],AV_PLAN[FECHA TERMINO REAL],"",0)</f>
        <v>3</v>
      </c>
      <c r="I162" s="13">
        <v>0.19819999999999999</v>
      </c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4202.4889743041522</v>
      </c>
      <c r="N162" s="69">
        <f>IF(CURVA[[#This Row],[% AVANCE REAL]]="",0,M162-M161)</f>
        <v>69.970805323933746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4</v>
      </c>
      <c r="H163">
        <f>+_xlfn.XLOOKUP(CURVA[[#This Row],[Fecha]],AV_PLAN[Días],AV_PLAN[FECHA TERMINO REAL],"",0)</f>
        <v>1</v>
      </c>
      <c r="I163" s="13">
        <v>0.2041</v>
      </c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4327.5882929136105</v>
      </c>
      <c r="N163" s="69">
        <f>IF(CURVA[[#This Row],[% AVANCE REAL]]="",0,M163-M162)</f>
        <v>125.09931860945835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3</v>
      </c>
      <c r="I164" s="13">
        <v>0.20760000000000001</v>
      </c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4401.7997531056617</v>
      </c>
      <c r="N164" s="69">
        <f>IF(CURVA[[#This Row],[% AVANCE REAL]]="",0,M164-M163)</f>
        <v>74.211460192051163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4" zoomScale="91" zoomScaleNormal="91" workbookViewId="0">
      <selection activeCell="AE1" sqref="A1:AE1048576"/>
    </sheetView>
  </sheetViews>
  <sheetFormatPr baseColWidth="10" defaultRowHeight="15" x14ac:dyDescent="0.25"/>
  <cols>
    <col min="1" max="1" width="1.85546875" hidden="1" customWidth="1"/>
    <col min="2" max="2" width="17.85546875" hidden="1" customWidth="1"/>
    <col min="3" max="3" width="15.7109375" hidden="1" customWidth="1"/>
    <col min="4" max="4" width="14.85546875" hidden="1" customWidth="1"/>
    <col min="5" max="5" width="5.5703125" hidden="1" customWidth="1"/>
    <col min="6" max="6" width="17.8554687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17.85546875" hidden="1" customWidth="1"/>
    <col min="11" max="11" width="20.28515625" hidden="1" customWidth="1"/>
    <col min="12" max="12" width="27.140625" hidden="1" customWidth="1"/>
    <col min="13" max="13" width="3.28515625" hidden="1" customWidth="1"/>
    <col min="14" max="14" width="4.140625" hidden="1" customWidth="1"/>
    <col min="15" max="15" width="17.85546875" hidden="1" customWidth="1"/>
    <col min="16" max="16" width="21.85546875" hidden="1" customWidth="1"/>
    <col min="17" max="17" width="4.140625" hidden="1" customWidth="1"/>
    <col min="18" max="18" width="2.42578125" hidden="1" customWidth="1"/>
    <col min="19" max="19" width="17.85546875" hidden="1" customWidth="1"/>
    <col min="20" max="20" width="19.42578125" hidden="1" customWidth="1"/>
    <col min="21" max="21" width="22" hidden="1" customWidth="1"/>
    <col min="22" max="22" width="1.85546875" hidden="1" customWidth="1"/>
    <col min="23" max="23" width="17.85546875" hidden="1" customWidth="1"/>
    <col min="24" max="24" width="29.28515625" hidden="1" customWidth="1"/>
    <col min="25" max="25" width="33.140625" hidden="1" customWidth="1"/>
    <col min="26" max="26" width="2.28515625" hidden="1" customWidth="1"/>
    <col min="27" max="27" width="17.85546875" hidden="1" customWidth="1"/>
    <col min="28" max="28" width="15.85546875" hidden="1" customWidth="1"/>
    <col min="29" max="29" width="21.425781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46233</v>
      </c>
    </row>
    <row r="3" spans="2:32" x14ac:dyDescent="0.25">
      <c r="B3" s="8" t="s">
        <v>419</v>
      </c>
      <c r="C3" t="s">
        <v>1547</v>
      </c>
      <c r="D3" t="s">
        <v>1548</v>
      </c>
      <c r="F3" s="8" t="s">
        <v>419</v>
      </c>
      <c r="G3" t="s">
        <v>1641</v>
      </c>
      <c r="H3" t="s">
        <v>1642</v>
      </c>
      <c r="J3" s="8" t="s">
        <v>1554</v>
      </c>
      <c r="K3" t="s">
        <v>1564</v>
      </c>
      <c r="L3" t="s">
        <v>1563</v>
      </c>
      <c r="O3" s="8" t="s">
        <v>419</v>
      </c>
      <c r="P3" t="s">
        <v>1556</v>
      </c>
      <c r="S3" s="8" t="s">
        <v>419</v>
      </c>
      <c r="T3" t="s">
        <v>1568</v>
      </c>
      <c r="U3" t="s">
        <v>1569</v>
      </c>
      <c r="X3" t="s">
        <v>1578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810</v>
      </c>
      <c r="G4" s="81">
        <v>30</v>
      </c>
      <c r="H4" s="81">
        <v>4.290322580645161</v>
      </c>
      <c r="J4" s="39">
        <v>46143</v>
      </c>
      <c r="K4" s="13">
        <v>1</v>
      </c>
      <c r="L4" s="13">
        <v>0</v>
      </c>
      <c r="O4" s="9" t="s">
        <v>1572</v>
      </c>
      <c r="P4" s="13">
        <v>0.35625000000000001</v>
      </c>
      <c r="S4" s="39">
        <v>46143</v>
      </c>
      <c r="T4" s="81">
        <v>0</v>
      </c>
      <c r="U4" s="81">
        <v>14</v>
      </c>
      <c r="X4" t="s">
        <v>1579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 s="81">
        <v>0</v>
      </c>
      <c r="H5" s="81">
        <v>0</v>
      </c>
      <c r="J5" s="39">
        <v>46144</v>
      </c>
      <c r="K5" s="13">
        <v>1</v>
      </c>
      <c r="L5" s="13">
        <v>0</v>
      </c>
      <c r="O5" s="9" t="s">
        <v>1573</v>
      </c>
      <c r="P5" s="13">
        <v>2.5000000000000001E-2</v>
      </c>
      <c r="S5" s="39">
        <v>46144</v>
      </c>
      <c r="T5" s="81">
        <v>0</v>
      </c>
      <c r="U5" s="81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 s="81">
        <v>8</v>
      </c>
      <c r="H6" s="81">
        <v>5</v>
      </c>
      <c r="J6" s="39">
        <v>46145</v>
      </c>
      <c r="K6" s="13">
        <v>1</v>
      </c>
      <c r="L6" s="13">
        <v>0</v>
      </c>
      <c r="O6" s="9" t="s">
        <v>1574</v>
      </c>
      <c r="P6" s="13">
        <v>0.61875000000000002</v>
      </c>
      <c r="S6" s="39">
        <v>46145</v>
      </c>
      <c r="T6" s="81">
        <v>0</v>
      </c>
      <c r="U6" s="81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 s="81">
        <v>9</v>
      </c>
      <c r="H7" s="81">
        <v>5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81">
        <v>1</v>
      </c>
      <c r="U7" s="81">
        <v>16</v>
      </c>
      <c r="X7" t="s">
        <v>1581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 s="81">
        <v>3</v>
      </c>
      <c r="H8" s="81">
        <v>4</v>
      </c>
      <c r="J8" s="39">
        <v>46147</v>
      </c>
      <c r="K8" s="13">
        <v>0.98333333333333328</v>
      </c>
      <c r="L8" s="13">
        <v>0</v>
      </c>
      <c r="O8" s="8" t="s">
        <v>1571</v>
      </c>
      <c r="P8" t="s">
        <v>1577</v>
      </c>
      <c r="S8" s="39">
        <v>46147</v>
      </c>
      <c r="T8" s="81">
        <v>1</v>
      </c>
      <c r="U8" s="81">
        <v>20</v>
      </c>
      <c r="X8" t="s">
        <v>1582</v>
      </c>
      <c r="Y8">
        <f>+COUNTIF(AVANCE[% AVANCE],100%)</f>
        <v>109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 s="81">
        <v>10</v>
      </c>
      <c r="H9" s="81">
        <v>5</v>
      </c>
      <c r="J9" s="39">
        <v>46148</v>
      </c>
      <c r="K9" s="13">
        <v>0.967741935483871</v>
      </c>
      <c r="L9" s="13">
        <v>0</v>
      </c>
      <c r="S9" s="39">
        <v>46148</v>
      </c>
      <c r="T9" s="81">
        <v>2</v>
      </c>
      <c r="U9" s="81">
        <v>24</v>
      </c>
      <c r="X9" t="s">
        <v>1583</v>
      </c>
      <c r="Y9">
        <f>+Y7-Y8</f>
        <v>595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 s="81">
        <v>0</v>
      </c>
      <c r="H10" s="81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1556</v>
      </c>
      <c r="S10" s="39">
        <v>46149</v>
      </c>
      <c r="T10" s="81">
        <v>1</v>
      </c>
      <c r="U10" s="81">
        <v>26</v>
      </c>
      <c r="X10" t="s">
        <v>1584</v>
      </c>
      <c r="Y10">
        <f>+AVERAGE(G4:G500)</f>
        <v>8.5714285714285712</v>
      </c>
    </row>
    <row r="11" spans="2:32" x14ac:dyDescent="0.25">
      <c r="B11" s="39">
        <v>46150</v>
      </c>
      <c r="C11" s="24">
        <v>66</v>
      </c>
      <c r="D11" s="24">
        <v>64</v>
      </c>
      <c r="J11" s="39">
        <v>46150</v>
      </c>
      <c r="K11" s="13">
        <v>0.96969696969696972</v>
      </c>
      <c r="L11" s="13">
        <v>3.5714285714285712E-2</v>
      </c>
      <c r="O11" s="9" t="s">
        <v>1574</v>
      </c>
      <c r="P11" s="13">
        <v>0.68125000000000002</v>
      </c>
      <c r="S11" s="39">
        <v>46150</v>
      </c>
      <c r="T11" s="81">
        <v>2</v>
      </c>
      <c r="U11" s="81">
        <v>27</v>
      </c>
      <c r="X11" t="s">
        <v>1585</v>
      </c>
      <c r="Y11" s="42">
        <f>+Y9/Y10</f>
        <v>69.416666666666671</v>
      </c>
    </row>
    <row r="12" spans="2:32" x14ac:dyDescent="0.25">
      <c r="B12" s="39">
        <v>46151</v>
      </c>
      <c r="C12" s="24">
        <v>66</v>
      </c>
      <c r="D12" s="24">
        <v>64</v>
      </c>
      <c r="J12" s="39">
        <v>46151</v>
      </c>
      <c r="K12" s="13">
        <v>0.96969696969696972</v>
      </c>
      <c r="L12" s="13">
        <v>3.4482758620689655E-2</v>
      </c>
      <c r="O12" s="9" t="s">
        <v>1576</v>
      </c>
      <c r="P12" s="13">
        <v>0.31874999999999998</v>
      </c>
      <c r="S12" s="39">
        <v>46151</v>
      </c>
      <c r="T12" s="81">
        <v>2</v>
      </c>
      <c r="U12" s="81">
        <v>28</v>
      </c>
      <c r="W12" s="8" t="s">
        <v>823</v>
      </c>
      <c r="X12" t="s">
        <v>447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J13" s="39">
        <v>46152</v>
      </c>
      <c r="K13" s="13">
        <v>0.96969696969696972</v>
      </c>
      <c r="L13" s="13">
        <v>3.3333333333333333E-2</v>
      </c>
      <c r="O13" s="9" t="s">
        <v>420</v>
      </c>
      <c r="P13" s="13">
        <v>1</v>
      </c>
      <c r="S13" s="39">
        <v>46152</v>
      </c>
      <c r="T13" s="81">
        <v>2</v>
      </c>
      <c r="U13" s="81">
        <v>29</v>
      </c>
      <c r="W13" s="8" t="s">
        <v>1575</v>
      </c>
      <c r="X13" t="s">
        <v>1574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6.0606060606060608E-2</v>
      </c>
      <c r="S14" s="39">
        <v>46153</v>
      </c>
      <c r="T14" s="81">
        <v>3</v>
      </c>
      <c r="U14" s="81">
        <v>31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5.7142857142857141E-2</v>
      </c>
      <c r="S15" s="39">
        <v>46154</v>
      </c>
      <c r="T15" s="81">
        <v>3</v>
      </c>
      <c r="U15" s="81">
        <v>33</v>
      </c>
      <c r="W15" s="8" t="s">
        <v>419</v>
      </c>
      <c r="X15" t="s">
        <v>1654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5.2631578947368418E-2</v>
      </c>
      <c r="S16" s="39">
        <v>46155</v>
      </c>
      <c r="T16" s="81">
        <v>5</v>
      </c>
      <c r="U16" s="81">
        <v>36</v>
      </c>
      <c r="W16" s="9" t="s">
        <v>114</v>
      </c>
      <c r="X16" s="81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0.25641025641025639</v>
      </c>
      <c r="S17" s="39">
        <v>46156</v>
      </c>
      <c r="T17" s="81">
        <v>4</v>
      </c>
      <c r="U17" s="81">
        <v>29</v>
      </c>
      <c r="W17" s="9" t="s">
        <v>150</v>
      </c>
      <c r="X17" s="81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0.30769230769230771</v>
      </c>
      <c r="S18" s="39">
        <v>46157</v>
      </c>
      <c r="T18" s="81">
        <v>6</v>
      </c>
      <c r="U18" s="81">
        <v>27</v>
      </c>
      <c r="W18" s="9" t="s">
        <v>75</v>
      </c>
      <c r="X18" s="81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0.30769230769230771</v>
      </c>
      <c r="S19" s="39">
        <v>46158</v>
      </c>
      <c r="T19" s="81">
        <v>3</v>
      </c>
      <c r="U19" s="81">
        <v>27</v>
      </c>
      <c r="W19" s="9" t="s">
        <v>123</v>
      </c>
      <c r="X19" s="81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0.29268292682926828</v>
      </c>
      <c r="S20" s="39">
        <v>46159</v>
      </c>
      <c r="T20" s="81">
        <v>3</v>
      </c>
      <c r="U20" s="81">
        <v>29</v>
      </c>
      <c r="W20" s="9" t="s">
        <v>198</v>
      </c>
      <c r="X20" s="81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0.34146341463414637</v>
      </c>
      <c r="S21" s="39">
        <v>46160</v>
      </c>
      <c r="T21" s="81">
        <v>4</v>
      </c>
      <c r="U21" s="81">
        <v>27</v>
      </c>
      <c r="W21" s="9" t="s">
        <v>200</v>
      </c>
      <c r="X21" s="81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0.35714285714285715</v>
      </c>
      <c r="S22" s="39">
        <v>46161</v>
      </c>
      <c r="T22" s="81">
        <v>5</v>
      </c>
      <c r="U22" s="81">
        <v>27</v>
      </c>
      <c r="W22" s="9" t="s">
        <v>832</v>
      </c>
      <c r="X22" s="81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0.39534883720930231</v>
      </c>
      <c r="S23" s="39">
        <v>46162</v>
      </c>
      <c r="T23" s="81">
        <v>6</v>
      </c>
      <c r="U23" s="81">
        <v>26</v>
      </c>
      <c r="W23" s="9" t="s">
        <v>833</v>
      </c>
      <c r="X23" s="81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0.36170212765957449</v>
      </c>
      <c r="S24" s="39">
        <v>46163</v>
      </c>
      <c r="T24" s="81">
        <v>6</v>
      </c>
      <c r="U24" s="81">
        <v>30</v>
      </c>
      <c r="W24" s="9" t="s">
        <v>176</v>
      </c>
      <c r="X24" s="81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0.36170212765957449</v>
      </c>
      <c r="S25" s="39">
        <v>46164</v>
      </c>
      <c r="T25" s="81">
        <v>8</v>
      </c>
      <c r="U25" s="81">
        <v>30</v>
      </c>
      <c r="W25" s="9" t="s">
        <v>834</v>
      </c>
      <c r="X25" s="81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0.36170212765957449</v>
      </c>
      <c r="S26" s="39">
        <v>46165</v>
      </c>
      <c r="T26" s="81">
        <v>8</v>
      </c>
      <c r="U26" s="81">
        <v>30</v>
      </c>
      <c r="W26" s="9" t="s">
        <v>224</v>
      </c>
      <c r="X26" s="81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0.35416666666666669</v>
      </c>
      <c r="S27" s="39">
        <v>46166</v>
      </c>
      <c r="T27" s="81">
        <v>8</v>
      </c>
      <c r="U27" s="81">
        <v>31</v>
      </c>
      <c r="W27" s="9" t="s">
        <v>227</v>
      </c>
      <c r="X27" s="81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0.34</v>
      </c>
      <c r="S28" s="39">
        <v>46167</v>
      </c>
      <c r="T28" s="81">
        <v>9</v>
      </c>
      <c r="U28" s="81">
        <v>33</v>
      </c>
      <c r="W28" s="9" t="s">
        <v>835</v>
      </c>
      <c r="X28" s="81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0.33333333333333331</v>
      </c>
      <c r="S29" s="39">
        <v>46168</v>
      </c>
      <c r="T29" s="81">
        <v>9</v>
      </c>
      <c r="U29" s="81">
        <v>34</v>
      </c>
      <c r="W29" s="9" t="s">
        <v>836</v>
      </c>
      <c r="X29" s="81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0.40384615384615385</v>
      </c>
      <c r="S30" s="39">
        <v>46169</v>
      </c>
      <c r="T30" s="81">
        <v>10</v>
      </c>
      <c r="U30" s="81">
        <v>31</v>
      </c>
      <c r="W30" s="9" t="s">
        <v>837</v>
      </c>
      <c r="X30" s="81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81">
        <v>12</v>
      </c>
      <c r="U31" s="81">
        <v>31</v>
      </c>
      <c r="W31" s="9" t="s">
        <v>838</v>
      </c>
      <c r="X31" s="81">
        <v>0</v>
      </c>
      <c r="AF31" s="77"/>
      <c r="AG31" s="77"/>
      <c r="AH31" s="77"/>
      <c r="AI31" s="77"/>
      <c r="AJ31" s="77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0.40384615384615385</v>
      </c>
      <c r="S32" s="39">
        <v>46171</v>
      </c>
      <c r="T32" s="81">
        <v>8</v>
      </c>
      <c r="U32" s="81">
        <v>31</v>
      </c>
      <c r="W32" s="9" t="s">
        <v>839</v>
      </c>
      <c r="X32" s="81">
        <v>0</v>
      </c>
      <c r="AF32" s="77"/>
      <c r="AG32" s="77"/>
      <c r="AH32" s="77"/>
      <c r="AI32" s="77"/>
      <c r="AJ32" s="77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0.40384615384615385</v>
      </c>
      <c r="S33" s="39">
        <v>46172</v>
      </c>
      <c r="T33" s="81">
        <v>8</v>
      </c>
      <c r="U33" s="81">
        <v>31</v>
      </c>
      <c r="W33" s="9" t="s">
        <v>840</v>
      </c>
      <c r="X33" s="81">
        <v>0</v>
      </c>
      <c r="AF33" s="77"/>
      <c r="AG33" s="77"/>
      <c r="AH33" s="77"/>
      <c r="AI33" s="77"/>
      <c r="AJ33" s="77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0.40384615384615385</v>
      </c>
      <c r="S34" s="39">
        <v>46173</v>
      </c>
      <c r="T34" s="81">
        <v>8</v>
      </c>
      <c r="U34" s="81">
        <v>31</v>
      </c>
      <c r="W34" s="9" t="s">
        <v>841</v>
      </c>
      <c r="X34" s="81">
        <v>0</v>
      </c>
      <c r="AF34" s="77"/>
      <c r="AG34" s="77"/>
      <c r="AH34" s="77"/>
      <c r="AI34" s="77"/>
      <c r="AJ34" s="77"/>
    </row>
    <row r="35" spans="2:36" x14ac:dyDescent="0.25">
      <c r="B35" s="39">
        <v>46508</v>
      </c>
      <c r="C35" s="24">
        <v>704</v>
      </c>
      <c r="D35" s="24">
        <v>160</v>
      </c>
      <c r="J35" s="39">
        <v>46508</v>
      </c>
      <c r="K35" s="13">
        <v>0.22727272727272727</v>
      </c>
      <c r="L35" s="13">
        <v>0.15728715728715728</v>
      </c>
      <c r="S35" s="39">
        <v>46508</v>
      </c>
      <c r="T35" s="81">
        <v>544</v>
      </c>
      <c r="U35" s="81">
        <v>584</v>
      </c>
      <c r="W35" s="9" t="s">
        <v>842</v>
      </c>
      <c r="X35" s="81">
        <v>0</v>
      </c>
      <c r="AF35" s="78"/>
      <c r="AG35" s="78"/>
      <c r="AH35" s="78"/>
      <c r="AI35" s="78"/>
      <c r="AJ35" s="78"/>
    </row>
    <row r="36" spans="2:36" ht="15" customHeight="1" x14ac:dyDescent="0.25">
      <c r="B36" s="39">
        <v>46509</v>
      </c>
      <c r="C36" s="24">
        <v>704</v>
      </c>
      <c r="D36" s="24">
        <v>160</v>
      </c>
      <c r="J36" s="39">
        <v>46509</v>
      </c>
      <c r="K36" s="13">
        <v>0.22727272727272727</v>
      </c>
      <c r="L36" s="13">
        <v>0.15660919540229884</v>
      </c>
      <c r="S36" s="39">
        <v>46509</v>
      </c>
      <c r="T36" s="81">
        <v>544</v>
      </c>
      <c r="U36" s="81">
        <v>587</v>
      </c>
      <c r="W36" s="9" t="s">
        <v>843</v>
      </c>
      <c r="X36" s="81">
        <v>0</v>
      </c>
      <c r="AF36" s="78"/>
      <c r="AG36" s="78"/>
      <c r="AH36" s="78"/>
      <c r="AI36" s="78"/>
      <c r="AJ36" s="78"/>
    </row>
    <row r="37" spans="2:36" ht="15" customHeight="1" x14ac:dyDescent="0.25">
      <c r="B37" s="39">
        <v>46510</v>
      </c>
      <c r="C37" s="24">
        <v>704</v>
      </c>
      <c r="D37" s="24">
        <v>160</v>
      </c>
      <c r="J37" s="39">
        <v>46510</v>
      </c>
      <c r="K37" s="13">
        <v>0.22727272727272727</v>
      </c>
      <c r="L37" s="13">
        <v>0.15660919540229884</v>
      </c>
      <c r="S37" s="39">
        <v>46510</v>
      </c>
      <c r="T37" s="81">
        <v>544</v>
      </c>
      <c r="U37" s="81">
        <v>587</v>
      </c>
      <c r="W37" s="9" t="s">
        <v>844</v>
      </c>
      <c r="X37" s="81">
        <v>0</v>
      </c>
      <c r="AF37" s="78"/>
      <c r="AG37" s="78"/>
      <c r="AH37" s="78"/>
      <c r="AI37" s="78"/>
      <c r="AJ37" s="78"/>
    </row>
    <row r="38" spans="2:36" ht="15" customHeight="1" x14ac:dyDescent="0.25">
      <c r="B38" s="39">
        <v>46511</v>
      </c>
      <c r="C38" s="24">
        <v>704</v>
      </c>
      <c r="D38" s="24">
        <v>160</v>
      </c>
      <c r="J38" s="39">
        <v>46511</v>
      </c>
      <c r="K38" s="13">
        <v>0.22727272727272727</v>
      </c>
      <c r="L38" s="13">
        <v>0.15660919540229884</v>
      </c>
      <c r="S38" s="39">
        <v>46511</v>
      </c>
      <c r="T38" s="81">
        <v>544</v>
      </c>
      <c r="U38" s="81">
        <v>587</v>
      </c>
      <c r="W38" s="9" t="s">
        <v>845</v>
      </c>
      <c r="X38" s="81">
        <v>0</v>
      </c>
      <c r="AD38" s="43"/>
    </row>
    <row r="39" spans="2:36" ht="15" customHeight="1" x14ac:dyDescent="0.25">
      <c r="B39" s="39">
        <v>46512</v>
      </c>
      <c r="C39" s="24">
        <v>704</v>
      </c>
      <c r="D39" s="24">
        <v>160</v>
      </c>
      <c r="J39" s="39">
        <v>46512</v>
      </c>
      <c r="K39" s="13">
        <v>0.22727272727272727</v>
      </c>
      <c r="L39" s="13">
        <v>0.15616045845272206</v>
      </c>
      <c r="S39" s="39">
        <v>46512</v>
      </c>
      <c r="T39" s="81">
        <v>544</v>
      </c>
      <c r="U39" s="81">
        <v>589</v>
      </c>
      <c r="W39" s="9" t="s">
        <v>220</v>
      </c>
      <c r="X39" s="81">
        <v>0</v>
      </c>
      <c r="AD39" s="43"/>
    </row>
    <row r="40" spans="2:36" ht="15" customHeight="1" x14ac:dyDescent="0.25">
      <c r="B40" s="39">
        <v>46513</v>
      </c>
      <c r="C40" s="24">
        <v>704</v>
      </c>
      <c r="D40" s="24">
        <v>160</v>
      </c>
      <c r="J40" s="39">
        <v>46513</v>
      </c>
      <c r="K40" s="13">
        <v>0.22727272727272727</v>
      </c>
      <c r="L40" s="13">
        <v>0.15593705293276108</v>
      </c>
      <c r="S40" s="39">
        <v>46513</v>
      </c>
      <c r="T40" s="81">
        <v>544</v>
      </c>
      <c r="U40" s="81">
        <v>590</v>
      </c>
      <c r="W40" s="9" t="s">
        <v>846</v>
      </c>
      <c r="X40" s="81">
        <v>0</v>
      </c>
      <c r="AD40" s="43"/>
    </row>
    <row r="41" spans="2:36" ht="15" customHeight="1" x14ac:dyDescent="0.25">
      <c r="B41" s="39">
        <v>46514</v>
      </c>
      <c r="C41" s="24">
        <v>704</v>
      </c>
      <c r="D41" s="24">
        <v>160</v>
      </c>
      <c r="J41" s="39">
        <v>46514</v>
      </c>
      <c r="K41" s="13">
        <v>0.22727272727272727</v>
      </c>
      <c r="L41" s="13">
        <v>0.15571428571428572</v>
      </c>
      <c r="S41" s="39">
        <v>46514</v>
      </c>
      <c r="T41" s="81">
        <v>544</v>
      </c>
      <c r="U41" s="81">
        <v>591</v>
      </c>
      <c r="W41" s="9" t="s">
        <v>847</v>
      </c>
      <c r="X41" s="81">
        <v>0</v>
      </c>
    </row>
    <row r="42" spans="2:36" x14ac:dyDescent="0.25">
      <c r="B42" s="39">
        <v>46515</v>
      </c>
      <c r="C42" s="24">
        <v>704</v>
      </c>
      <c r="D42" s="24">
        <v>160</v>
      </c>
      <c r="J42" s="39">
        <v>46515</v>
      </c>
      <c r="K42" s="13">
        <v>0.22727272727272727</v>
      </c>
      <c r="L42" s="13">
        <v>0.15527065527065528</v>
      </c>
      <c r="S42" s="39">
        <v>46515</v>
      </c>
      <c r="T42" s="81">
        <v>544</v>
      </c>
      <c r="U42" s="81">
        <v>593</v>
      </c>
      <c r="W42" s="9" t="s">
        <v>848</v>
      </c>
      <c r="X42" s="81">
        <v>0</v>
      </c>
    </row>
    <row r="43" spans="2:36" x14ac:dyDescent="0.25">
      <c r="B43" s="39">
        <v>46516</v>
      </c>
      <c r="C43" s="24">
        <v>704</v>
      </c>
      <c r="D43" s="24">
        <v>160</v>
      </c>
      <c r="J43" s="39">
        <v>46516</v>
      </c>
      <c r="K43" s="13">
        <v>0.22727272727272727</v>
      </c>
      <c r="L43" s="13">
        <v>0.15482954545454544</v>
      </c>
      <c r="S43" s="39">
        <v>46516</v>
      </c>
      <c r="T43" s="81">
        <v>544</v>
      </c>
      <c r="U43" s="81">
        <v>595</v>
      </c>
      <c r="W43" s="9" t="s">
        <v>849</v>
      </c>
      <c r="X43" s="81">
        <v>0</v>
      </c>
    </row>
    <row r="44" spans="2:36" x14ac:dyDescent="0.25">
      <c r="B44" s="39">
        <v>46517</v>
      </c>
      <c r="C44" s="24">
        <v>704</v>
      </c>
      <c r="D44" s="24">
        <v>160</v>
      </c>
      <c r="J44" s="39">
        <v>46517</v>
      </c>
      <c r="K44" s="13">
        <v>0.22727272727272727</v>
      </c>
      <c r="L44" s="13">
        <v>0.15482954545454544</v>
      </c>
      <c r="S44" s="39">
        <v>46517</v>
      </c>
      <c r="T44" s="81">
        <v>544</v>
      </c>
      <c r="U44" s="81">
        <v>595</v>
      </c>
      <c r="W44" s="9" t="s">
        <v>850</v>
      </c>
      <c r="X44" s="81">
        <v>0</v>
      </c>
    </row>
    <row r="45" spans="2:36" x14ac:dyDescent="0.25">
      <c r="B45" s="39">
        <v>46518</v>
      </c>
      <c r="C45" s="24">
        <v>704</v>
      </c>
      <c r="D45" s="24">
        <v>160</v>
      </c>
      <c r="J45" s="39">
        <v>46518</v>
      </c>
      <c r="K45" s="13">
        <v>0.22727272727272727</v>
      </c>
      <c r="L45" s="13">
        <v>0.15482954545454544</v>
      </c>
      <c r="S45" s="39">
        <v>46518</v>
      </c>
      <c r="T45" s="81">
        <v>544</v>
      </c>
      <c r="U45" s="81">
        <v>595</v>
      </c>
      <c r="W45" s="9" t="s">
        <v>851</v>
      </c>
      <c r="X45" s="81">
        <v>0</v>
      </c>
    </row>
    <row r="46" spans="2:36" x14ac:dyDescent="0.25">
      <c r="B46" s="39">
        <v>46519</v>
      </c>
      <c r="C46" s="24">
        <v>704</v>
      </c>
      <c r="D46" s="24">
        <v>160</v>
      </c>
      <c r="J46" s="39">
        <v>46519</v>
      </c>
      <c r="K46" s="13">
        <v>0.22727272727272727</v>
      </c>
      <c r="L46" s="13">
        <v>0.15482954545454544</v>
      </c>
      <c r="S46" s="39">
        <v>46519</v>
      </c>
      <c r="T46" s="81">
        <v>544</v>
      </c>
      <c r="U46" s="81">
        <v>595</v>
      </c>
      <c r="W46" s="9" t="s">
        <v>852</v>
      </c>
      <c r="X46" s="81">
        <v>0</v>
      </c>
    </row>
    <row r="47" spans="2:36" x14ac:dyDescent="0.25">
      <c r="B47" s="39">
        <v>46520</v>
      </c>
      <c r="C47" s="24">
        <v>704</v>
      </c>
      <c r="D47" s="24">
        <v>160</v>
      </c>
      <c r="J47" s="39">
        <v>46520</v>
      </c>
      <c r="K47" s="13">
        <v>0.22727272727272727</v>
      </c>
      <c r="L47" s="13">
        <v>0.15482954545454544</v>
      </c>
      <c r="S47" s="39">
        <v>46520</v>
      </c>
      <c r="T47" s="81">
        <v>544</v>
      </c>
      <c r="U47" s="81">
        <v>595</v>
      </c>
      <c r="W47" s="9" t="s">
        <v>853</v>
      </c>
      <c r="X47" s="81">
        <v>0</v>
      </c>
    </row>
    <row r="48" spans="2:36" x14ac:dyDescent="0.25">
      <c r="B48" s="39">
        <v>46521</v>
      </c>
      <c r="C48" s="24">
        <v>704</v>
      </c>
      <c r="D48" s="24">
        <v>160</v>
      </c>
      <c r="J48" s="39">
        <v>46521</v>
      </c>
      <c r="K48" s="13">
        <v>0.22727272727272727</v>
      </c>
      <c r="L48" s="13">
        <v>0.15482954545454544</v>
      </c>
      <c r="S48" s="39">
        <v>46521</v>
      </c>
      <c r="T48" s="81">
        <v>544</v>
      </c>
      <c r="U48" s="81">
        <v>595</v>
      </c>
      <c r="W48" s="9" t="s">
        <v>855</v>
      </c>
      <c r="X48" s="81">
        <v>0</v>
      </c>
    </row>
    <row r="49" spans="2:24" x14ac:dyDescent="0.25">
      <c r="B49" s="39">
        <v>46522</v>
      </c>
      <c r="C49" s="24">
        <v>704</v>
      </c>
      <c r="D49" s="24">
        <v>160</v>
      </c>
      <c r="J49" s="39">
        <v>46522</v>
      </c>
      <c r="K49" s="13">
        <v>0.22727272727272727</v>
      </c>
      <c r="L49" s="13">
        <v>0.15482954545454544</v>
      </c>
      <c r="S49" s="39">
        <v>46522</v>
      </c>
      <c r="T49" s="81">
        <v>544</v>
      </c>
      <c r="U49" s="81">
        <v>595</v>
      </c>
      <c r="W49" s="9" t="s">
        <v>856</v>
      </c>
      <c r="X49" s="81">
        <v>0</v>
      </c>
    </row>
    <row r="50" spans="2:24" x14ac:dyDescent="0.25">
      <c r="B50" s="39">
        <v>46523</v>
      </c>
      <c r="C50" s="24">
        <v>704</v>
      </c>
      <c r="D50" s="24">
        <v>160</v>
      </c>
      <c r="J50" s="39">
        <v>46523</v>
      </c>
      <c r="K50" s="13">
        <v>0.22727272727272727</v>
      </c>
      <c r="L50" s="13">
        <v>0.15482954545454544</v>
      </c>
      <c r="S50" s="39">
        <v>46523</v>
      </c>
      <c r="T50" s="81">
        <v>544</v>
      </c>
      <c r="U50" s="81">
        <v>595</v>
      </c>
      <c r="W50" s="9" t="s">
        <v>857</v>
      </c>
      <c r="X50" s="81">
        <v>0</v>
      </c>
    </row>
    <row r="51" spans="2:24" x14ac:dyDescent="0.25">
      <c r="B51" s="39">
        <v>46524</v>
      </c>
      <c r="C51" s="24">
        <v>704</v>
      </c>
      <c r="D51" s="24">
        <v>160</v>
      </c>
      <c r="J51" s="39">
        <v>46524</v>
      </c>
      <c r="K51" s="13">
        <v>0.22727272727272727</v>
      </c>
      <c r="L51" s="13">
        <v>0.15482954545454544</v>
      </c>
      <c r="S51" s="39">
        <v>46524</v>
      </c>
      <c r="T51" s="81">
        <v>544</v>
      </c>
      <c r="U51" s="81">
        <v>595</v>
      </c>
      <c r="W51" s="9" t="s">
        <v>858</v>
      </c>
      <c r="X51" s="81">
        <v>0</v>
      </c>
    </row>
    <row r="52" spans="2:24" x14ac:dyDescent="0.25">
      <c r="B52" s="39">
        <v>46525</v>
      </c>
      <c r="C52" s="24">
        <v>704</v>
      </c>
      <c r="D52" s="24">
        <v>160</v>
      </c>
      <c r="J52" s="39">
        <v>46525</v>
      </c>
      <c r="K52" s="13">
        <v>0.22727272727272727</v>
      </c>
      <c r="L52" s="13">
        <v>0.15482954545454544</v>
      </c>
      <c r="S52" s="39">
        <v>46525</v>
      </c>
      <c r="T52" s="81">
        <v>544</v>
      </c>
      <c r="U52" s="81">
        <v>595</v>
      </c>
      <c r="W52" s="9" t="s">
        <v>859</v>
      </c>
      <c r="X52" s="81">
        <v>0</v>
      </c>
    </row>
    <row r="53" spans="2:24" x14ac:dyDescent="0.25">
      <c r="B53" s="39">
        <v>46526</v>
      </c>
      <c r="C53" s="24">
        <v>704</v>
      </c>
      <c r="D53" s="24">
        <v>160</v>
      </c>
      <c r="J53" s="39">
        <v>46526</v>
      </c>
      <c r="K53" s="13">
        <v>0.22727272727272727</v>
      </c>
      <c r="L53" s="13">
        <v>0.15482954545454544</v>
      </c>
      <c r="S53" s="39">
        <v>46526</v>
      </c>
      <c r="T53" s="81">
        <v>544</v>
      </c>
      <c r="U53" s="81">
        <v>595</v>
      </c>
      <c r="W53" s="9" t="s">
        <v>860</v>
      </c>
      <c r="X53" s="81">
        <v>0</v>
      </c>
    </row>
    <row r="54" spans="2:24" x14ac:dyDescent="0.25">
      <c r="B54" s="39">
        <v>46527</v>
      </c>
      <c r="C54" s="24">
        <v>704</v>
      </c>
      <c r="D54" s="24">
        <v>160</v>
      </c>
      <c r="J54" s="39">
        <v>46527</v>
      </c>
      <c r="K54" s="13">
        <v>0.22727272727272727</v>
      </c>
      <c r="L54" s="13">
        <v>0.15482954545454544</v>
      </c>
      <c r="S54" s="39">
        <v>46527</v>
      </c>
      <c r="T54" s="81">
        <v>544</v>
      </c>
      <c r="U54" s="81">
        <v>595</v>
      </c>
      <c r="W54" s="9" t="s">
        <v>861</v>
      </c>
      <c r="X54" s="81">
        <v>0</v>
      </c>
    </row>
    <row r="55" spans="2:24" x14ac:dyDescent="0.25">
      <c r="B55" s="39">
        <v>46528</v>
      </c>
      <c r="C55" s="24">
        <v>704</v>
      </c>
      <c r="D55" s="24">
        <v>160</v>
      </c>
      <c r="J55" s="39">
        <v>46528</v>
      </c>
      <c r="K55" s="13">
        <v>0.22727272727272727</v>
      </c>
      <c r="L55" s="13">
        <v>0.15482954545454544</v>
      </c>
      <c r="S55" s="39">
        <v>46528</v>
      </c>
      <c r="T55" s="81">
        <v>544</v>
      </c>
      <c r="U55" s="81">
        <v>595</v>
      </c>
      <c r="W55" s="9" t="s">
        <v>862</v>
      </c>
      <c r="X55" s="81">
        <v>0</v>
      </c>
    </row>
    <row r="56" spans="2:24" x14ac:dyDescent="0.25">
      <c r="B56" s="39">
        <v>46529</v>
      </c>
      <c r="C56" s="24">
        <v>704</v>
      </c>
      <c r="D56" s="24">
        <v>160</v>
      </c>
      <c r="J56" s="39">
        <v>46529</v>
      </c>
      <c r="K56" s="13">
        <v>0.22727272727272727</v>
      </c>
      <c r="L56" s="13">
        <v>0.15482954545454544</v>
      </c>
      <c r="S56" s="39">
        <v>46529</v>
      </c>
      <c r="T56" s="81">
        <v>544</v>
      </c>
      <c r="U56" s="81">
        <v>595</v>
      </c>
      <c r="W56" s="9" t="s">
        <v>863</v>
      </c>
      <c r="X56" s="81">
        <v>0</v>
      </c>
    </row>
    <row r="57" spans="2:24" x14ac:dyDescent="0.25">
      <c r="B57" s="39">
        <v>46530</v>
      </c>
      <c r="C57" s="24">
        <v>704</v>
      </c>
      <c r="D57" s="24">
        <v>160</v>
      </c>
      <c r="J57" s="39">
        <v>46530</v>
      </c>
      <c r="K57" s="13">
        <v>0.22727272727272727</v>
      </c>
      <c r="L57" s="13">
        <v>0.15482954545454544</v>
      </c>
      <c r="S57" s="39">
        <v>46530</v>
      </c>
      <c r="T57" s="81">
        <v>544</v>
      </c>
      <c r="U57" s="81">
        <v>595</v>
      </c>
      <c r="W57" s="9" t="s">
        <v>864</v>
      </c>
      <c r="X57" s="81">
        <v>0</v>
      </c>
    </row>
    <row r="58" spans="2:24" x14ac:dyDescent="0.25">
      <c r="B58" s="39">
        <v>46531</v>
      </c>
      <c r="C58" s="24">
        <v>704</v>
      </c>
      <c r="D58" s="24">
        <v>160</v>
      </c>
      <c r="J58" s="39">
        <v>46531</v>
      </c>
      <c r="K58" s="13">
        <v>0.22727272727272727</v>
      </c>
      <c r="L58" s="13">
        <v>0.15482954545454544</v>
      </c>
      <c r="S58" s="39">
        <v>46531</v>
      </c>
      <c r="T58" s="81">
        <v>544</v>
      </c>
      <c r="U58" s="81">
        <v>595</v>
      </c>
      <c r="W58" s="9" t="s">
        <v>865</v>
      </c>
      <c r="X58" s="81">
        <v>0</v>
      </c>
    </row>
    <row r="59" spans="2:24" x14ac:dyDescent="0.25">
      <c r="B59" s="39">
        <v>46532</v>
      </c>
      <c r="C59" s="24">
        <v>704</v>
      </c>
      <c r="D59" s="24">
        <v>160</v>
      </c>
      <c r="J59" s="39">
        <v>46532</v>
      </c>
      <c r="K59" s="13">
        <v>0.22727272727272727</v>
      </c>
      <c r="L59" s="13">
        <v>0.15482954545454544</v>
      </c>
      <c r="S59" s="39">
        <v>46532</v>
      </c>
      <c r="T59" s="81">
        <v>544</v>
      </c>
      <c r="U59" s="81">
        <v>595</v>
      </c>
      <c r="W59" s="9" t="s">
        <v>866</v>
      </c>
      <c r="X59" s="81">
        <v>0</v>
      </c>
    </row>
    <row r="60" spans="2:24" x14ac:dyDescent="0.25">
      <c r="B60" s="39">
        <v>46533</v>
      </c>
      <c r="C60" s="24">
        <v>704</v>
      </c>
      <c r="D60" s="24">
        <v>160</v>
      </c>
      <c r="J60" s="39">
        <v>46533</v>
      </c>
      <c r="K60" s="13">
        <v>0.22727272727272727</v>
      </c>
      <c r="L60" s="13">
        <v>0.15482954545454544</v>
      </c>
      <c r="S60" s="39">
        <v>46533</v>
      </c>
      <c r="T60" s="81">
        <v>544</v>
      </c>
      <c r="U60" s="81">
        <v>595</v>
      </c>
      <c r="W60" s="9" t="s">
        <v>867</v>
      </c>
      <c r="X60" s="81">
        <v>0</v>
      </c>
    </row>
    <row r="61" spans="2:24" x14ac:dyDescent="0.25">
      <c r="B61" s="39">
        <v>46534</v>
      </c>
      <c r="C61" s="24">
        <v>704</v>
      </c>
      <c r="D61" s="24">
        <v>160</v>
      </c>
      <c r="J61" s="39">
        <v>46534</v>
      </c>
      <c r="K61" s="13">
        <v>0.22727272727272727</v>
      </c>
      <c r="L61" s="13">
        <v>0.15482954545454544</v>
      </c>
      <c r="S61" s="39">
        <v>46534</v>
      </c>
      <c r="T61" s="81">
        <v>544</v>
      </c>
      <c r="U61" s="81">
        <v>595</v>
      </c>
      <c r="W61" s="9" t="s">
        <v>868</v>
      </c>
      <c r="X61" s="81">
        <v>0</v>
      </c>
    </row>
    <row r="62" spans="2:24" x14ac:dyDescent="0.25">
      <c r="B62" s="39">
        <v>46535</v>
      </c>
      <c r="C62" s="24">
        <v>704</v>
      </c>
      <c r="D62" s="24">
        <v>160</v>
      </c>
      <c r="J62" s="39">
        <v>46535</v>
      </c>
      <c r="K62" s="13">
        <v>0.22727272727272727</v>
      </c>
      <c r="L62" s="13">
        <v>0.15482954545454544</v>
      </c>
      <c r="S62" s="39">
        <v>46535</v>
      </c>
      <c r="T62" s="81">
        <v>544</v>
      </c>
      <c r="U62" s="81">
        <v>595</v>
      </c>
      <c r="W62" s="9" t="s">
        <v>869</v>
      </c>
      <c r="X62" s="81">
        <v>0</v>
      </c>
    </row>
    <row r="63" spans="2:24" x14ac:dyDescent="0.25">
      <c r="B63" s="39">
        <v>46536</v>
      </c>
      <c r="C63" s="24">
        <v>704</v>
      </c>
      <c r="D63" s="24">
        <v>160</v>
      </c>
      <c r="J63" s="39">
        <v>46536</v>
      </c>
      <c r="K63" s="13">
        <v>0.22727272727272727</v>
      </c>
      <c r="L63" s="13">
        <v>0.15482954545454544</v>
      </c>
      <c r="S63" s="39">
        <v>46536</v>
      </c>
      <c r="T63" s="81">
        <v>544</v>
      </c>
      <c r="U63" s="81">
        <v>595</v>
      </c>
      <c r="W63" s="9" t="s">
        <v>870</v>
      </c>
      <c r="X63" s="81">
        <v>0</v>
      </c>
    </row>
    <row r="64" spans="2:24" x14ac:dyDescent="0.25">
      <c r="B64" s="39">
        <v>46537</v>
      </c>
      <c r="C64" s="24">
        <v>704</v>
      </c>
      <c r="D64" s="24">
        <v>160</v>
      </c>
      <c r="J64" s="39">
        <v>46537</v>
      </c>
      <c r="K64" s="13">
        <v>0.22727272727272727</v>
      </c>
      <c r="L64" s="13">
        <v>0.15482954545454544</v>
      </c>
      <c r="S64" s="39">
        <v>46537</v>
      </c>
      <c r="T64" s="81">
        <v>544</v>
      </c>
      <c r="U64" s="81">
        <v>595</v>
      </c>
      <c r="W64" s="9" t="s">
        <v>871</v>
      </c>
      <c r="X64" s="81">
        <v>0</v>
      </c>
    </row>
    <row r="65" spans="2:24" x14ac:dyDescent="0.25">
      <c r="B65" s="39">
        <v>46538</v>
      </c>
      <c r="C65" s="24">
        <v>704</v>
      </c>
      <c r="D65" s="24">
        <v>160</v>
      </c>
      <c r="J65" s="39">
        <v>46538</v>
      </c>
      <c r="K65" s="13">
        <v>0.22727272727272727</v>
      </c>
      <c r="L65" s="13">
        <v>0.15482954545454544</v>
      </c>
      <c r="S65" s="39">
        <v>46538</v>
      </c>
      <c r="T65" s="81">
        <v>544</v>
      </c>
      <c r="U65" s="81">
        <v>595</v>
      </c>
      <c r="W65" s="9" t="s">
        <v>872</v>
      </c>
      <c r="X65" s="81">
        <v>0</v>
      </c>
    </row>
    <row r="66" spans="2:24" x14ac:dyDescent="0.25">
      <c r="B66" s="39" t="s">
        <v>420</v>
      </c>
      <c r="C66" s="24">
        <v>24158</v>
      </c>
      <c r="D66" s="24">
        <v>7147</v>
      </c>
      <c r="J66" s="39" t="s">
        <v>420</v>
      </c>
      <c r="K66" s="13">
        <v>0.58475418686557024</v>
      </c>
      <c r="L66" s="13">
        <v>0.18508802702425078</v>
      </c>
      <c r="S66" s="39" t="s">
        <v>420</v>
      </c>
      <c r="T66" s="81">
        <v>17011</v>
      </c>
      <c r="U66" s="81">
        <v>19240</v>
      </c>
      <c r="W66" s="9" t="s">
        <v>873</v>
      </c>
      <c r="X66" s="81">
        <v>0</v>
      </c>
    </row>
    <row r="67" spans="2:24" x14ac:dyDescent="0.25">
      <c r="W67" s="9" t="s">
        <v>874</v>
      </c>
      <c r="X67" s="81">
        <v>0</v>
      </c>
    </row>
    <row r="68" spans="2:24" x14ac:dyDescent="0.25">
      <c r="W68" s="9" t="s">
        <v>875</v>
      </c>
      <c r="X68" s="81">
        <v>0</v>
      </c>
    </row>
    <row r="69" spans="2:24" x14ac:dyDescent="0.25">
      <c r="W69" s="9" t="s">
        <v>876</v>
      </c>
      <c r="X69" s="81">
        <v>0</v>
      </c>
    </row>
    <row r="70" spans="2:24" x14ac:dyDescent="0.25">
      <c r="W70" s="9" t="s">
        <v>877</v>
      </c>
      <c r="X70" s="81">
        <v>0</v>
      </c>
    </row>
    <row r="71" spans="2:24" x14ac:dyDescent="0.25">
      <c r="W71" s="9" t="s">
        <v>878</v>
      </c>
      <c r="X71" s="81">
        <v>0</v>
      </c>
    </row>
    <row r="72" spans="2:24" x14ac:dyDescent="0.25">
      <c r="W72" s="9" t="s">
        <v>879</v>
      </c>
      <c r="X72" s="81">
        <v>0</v>
      </c>
    </row>
    <row r="73" spans="2:24" x14ac:dyDescent="0.25">
      <c r="W73" s="9" t="s">
        <v>880</v>
      </c>
      <c r="X73" s="81">
        <v>0</v>
      </c>
    </row>
    <row r="74" spans="2:24" x14ac:dyDescent="0.25">
      <c r="W74" s="9" t="s">
        <v>881</v>
      </c>
      <c r="X74" s="81">
        <v>0</v>
      </c>
    </row>
    <row r="75" spans="2:24" x14ac:dyDescent="0.25">
      <c r="W75" s="9" t="s">
        <v>882</v>
      </c>
      <c r="X75" s="81">
        <v>0</v>
      </c>
    </row>
    <row r="76" spans="2:24" x14ac:dyDescent="0.25">
      <c r="W76" s="9" t="s">
        <v>883</v>
      </c>
      <c r="X76" s="81">
        <v>0</v>
      </c>
    </row>
    <row r="77" spans="2:24" x14ac:dyDescent="0.25">
      <c r="W77" s="9" t="s">
        <v>884</v>
      </c>
      <c r="X77" s="81">
        <v>0</v>
      </c>
    </row>
    <row r="78" spans="2:24" x14ac:dyDescent="0.25">
      <c r="W78" s="9" t="s">
        <v>885</v>
      </c>
      <c r="X78" s="81">
        <v>0</v>
      </c>
    </row>
    <row r="79" spans="2:24" x14ac:dyDescent="0.25">
      <c r="W79" s="9" t="s">
        <v>886</v>
      </c>
      <c r="X79" s="81">
        <v>0</v>
      </c>
    </row>
    <row r="80" spans="2:24" x14ac:dyDescent="0.25">
      <c r="G80" s="4"/>
      <c r="W80" s="9" t="s">
        <v>888</v>
      </c>
      <c r="X80" s="81">
        <v>0</v>
      </c>
    </row>
    <row r="81" spans="7:24" x14ac:dyDescent="0.25">
      <c r="G81" s="4"/>
      <c r="W81" s="9" t="s">
        <v>889</v>
      </c>
      <c r="X81" s="81">
        <v>0</v>
      </c>
    </row>
    <row r="82" spans="7:24" x14ac:dyDescent="0.25">
      <c r="G82" s="4"/>
      <c r="W82" s="9" t="s">
        <v>890</v>
      </c>
      <c r="X82" s="81">
        <v>0</v>
      </c>
    </row>
    <row r="83" spans="7:24" x14ac:dyDescent="0.25">
      <c r="G83" s="4"/>
      <c r="W83" s="9" t="s">
        <v>891</v>
      </c>
      <c r="X83" s="81">
        <v>0</v>
      </c>
    </row>
    <row r="84" spans="7:24" x14ac:dyDescent="0.25">
      <c r="G84" s="4"/>
      <c r="W84" s="9" t="s">
        <v>892</v>
      </c>
      <c r="X84" s="81">
        <v>0</v>
      </c>
    </row>
    <row r="85" spans="7:24" x14ac:dyDescent="0.25">
      <c r="G85" s="4"/>
      <c r="W85" s="9" t="s">
        <v>893</v>
      </c>
      <c r="X85" s="81">
        <v>0</v>
      </c>
    </row>
    <row r="86" spans="7:24" x14ac:dyDescent="0.25">
      <c r="G86" s="4"/>
      <c r="W86" s="9" t="s">
        <v>894</v>
      </c>
      <c r="X86" s="81">
        <v>0</v>
      </c>
    </row>
    <row r="87" spans="7:24" x14ac:dyDescent="0.25">
      <c r="G87" s="4"/>
      <c r="W87" s="9" t="s">
        <v>895</v>
      </c>
      <c r="X87" s="81">
        <v>0</v>
      </c>
    </row>
    <row r="88" spans="7:24" x14ac:dyDescent="0.25">
      <c r="G88" s="4"/>
      <c r="W88" s="9" t="s">
        <v>896</v>
      </c>
      <c r="X88" s="81">
        <v>0</v>
      </c>
    </row>
    <row r="89" spans="7:24" x14ac:dyDescent="0.25">
      <c r="G89" s="4"/>
      <c r="W89" s="9" t="s">
        <v>897</v>
      </c>
      <c r="X89" s="81">
        <v>0</v>
      </c>
    </row>
    <row r="90" spans="7:24" x14ac:dyDescent="0.25">
      <c r="G90" s="4"/>
      <c r="W90" s="9" t="s">
        <v>898</v>
      </c>
      <c r="X90" s="81">
        <v>0</v>
      </c>
    </row>
    <row r="91" spans="7:24" x14ac:dyDescent="0.25">
      <c r="G91" s="4"/>
      <c r="W91" s="9" t="s">
        <v>899</v>
      </c>
      <c r="X91" s="81">
        <v>0</v>
      </c>
    </row>
    <row r="92" spans="7:24" x14ac:dyDescent="0.25">
      <c r="G92" s="4"/>
      <c r="W92" s="9" t="s">
        <v>900</v>
      </c>
      <c r="X92" s="81">
        <v>0</v>
      </c>
    </row>
    <row r="93" spans="7:24" x14ac:dyDescent="0.25">
      <c r="G93" s="4"/>
      <c r="W93" s="9" t="s">
        <v>901</v>
      </c>
      <c r="X93" s="81">
        <v>0</v>
      </c>
    </row>
    <row r="94" spans="7:24" x14ac:dyDescent="0.25">
      <c r="G94" s="4"/>
      <c r="W94" s="9" t="s">
        <v>902</v>
      </c>
      <c r="X94" s="81">
        <v>0</v>
      </c>
    </row>
    <row r="95" spans="7:24" x14ac:dyDescent="0.25">
      <c r="G95" s="4"/>
      <c r="W95" s="9" t="s">
        <v>903</v>
      </c>
      <c r="X95" s="81">
        <v>0</v>
      </c>
    </row>
    <row r="96" spans="7:24" x14ac:dyDescent="0.25">
      <c r="G96" s="4"/>
      <c r="W96" s="9" t="s">
        <v>904</v>
      </c>
      <c r="X96" s="81">
        <v>0</v>
      </c>
    </row>
    <row r="97" spans="23:24" x14ac:dyDescent="0.25">
      <c r="W97" s="9" t="s">
        <v>905</v>
      </c>
      <c r="X97" s="81">
        <v>0</v>
      </c>
    </row>
    <row r="98" spans="23:24" x14ac:dyDescent="0.25">
      <c r="W98" s="9" t="s">
        <v>906</v>
      </c>
      <c r="X98" s="81">
        <v>0</v>
      </c>
    </row>
    <row r="99" spans="23:24" x14ac:dyDescent="0.25">
      <c r="W99" s="9" t="s">
        <v>907</v>
      </c>
      <c r="X99" s="81">
        <v>0</v>
      </c>
    </row>
    <row r="100" spans="23:24" hidden="1" x14ac:dyDescent="0.25">
      <c r="W100" s="9" t="s">
        <v>908</v>
      </c>
      <c r="X100" s="81">
        <v>0</v>
      </c>
    </row>
    <row r="101" spans="23:24" hidden="1" x14ac:dyDescent="0.25">
      <c r="W101" s="9" t="s">
        <v>909</v>
      </c>
      <c r="X101" s="81">
        <v>0</v>
      </c>
    </row>
    <row r="102" spans="23:24" hidden="1" x14ac:dyDescent="0.25">
      <c r="W102" s="9" t="s">
        <v>910</v>
      </c>
      <c r="X102" s="81">
        <v>0</v>
      </c>
    </row>
    <row r="103" spans="23:24" hidden="1" x14ac:dyDescent="0.25">
      <c r="W103" s="9" t="s">
        <v>911</v>
      </c>
      <c r="X103" s="81">
        <v>0</v>
      </c>
    </row>
    <row r="104" spans="23:24" hidden="1" x14ac:dyDescent="0.25">
      <c r="W104" s="9" t="s">
        <v>912</v>
      </c>
      <c r="X104" s="81">
        <v>0</v>
      </c>
    </row>
    <row r="105" spans="23:24" hidden="1" x14ac:dyDescent="0.25">
      <c r="W105" s="9" t="s">
        <v>913</v>
      </c>
      <c r="X105" s="81">
        <v>0</v>
      </c>
    </row>
    <row r="106" spans="23:24" hidden="1" x14ac:dyDescent="0.25">
      <c r="W106" s="9" t="s">
        <v>914</v>
      </c>
      <c r="X106" s="81">
        <v>0</v>
      </c>
    </row>
    <row r="107" spans="23:24" hidden="1" x14ac:dyDescent="0.25">
      <c r="W107" s="9" t="s">
        <v>915</v>
      </c>
      <c r="X107" s="81">
        <v>0</v>
      </c>
    </row>
    <row r="108" spans="23:24" hidden="1" x14ac:dyDescent="0.25">
      <c r="W108" s="9" t="s">
        <v>916</v>
      </c>
      <c r="X108" s="81">
        <v>0</v>
      </c>
    </row>
    <row r="109" spans="23:24" hidden="1" x14ac:dyDescent="0.25">
      <c r="W109" s="9" t="s">
        <v>917</v>
      </c>
      <c r="X109" s="81">
        <v>0</v>
      </c>
    </row>
    <row r="110" spans="23:24" hidden="1" x14ac:dyDescent="0.25">
      <c r="W110" s="9" t="s">
        <v>918</v>
      </c>
      <c r="X110" s="81">
        <v>0</v>
      </c>
    </row>
    <row r="111" spans="23:24" hidden="1" x14ac:dyDescent="0.25">
      <c r="W111" s="9" t="s">
        <v>919</v>
      </c>
      <c r="X111" s="81">
        <v>0</v>
      </c>
    </row>
    <row r="112" spans="23:24" hidden="1" x14ac:dyDescent="0.25">
      <c r="W112" s="9" t="s">
        <v>921</v>
      </c>
      <c r="X112" s="81">
        <v>0</v>
      </c>
    </row>
    <row r="113" spans="23:24" hidden="1" x14ac:dyDescent="0.25">
      <c r="W113" s="9" t="s">
        <v>922</v>
      </c>
      <c r="X113" s="81">
        <v>0</v>
      </c>
    </row>
    <row r="114" spans="23:24" hidden="1" x14ac:dyDescent="0.25">
      <c r="W114" s="9" t="s">
        <v>923</v>
      </c>
      <c r="X114" s="81">
        <v>0</v>
      </c>
    </row>
    <row r="115" spans="23:24" hidden="1" x14ac:dyDescent="0.25">
      <c r="W115" s="9" t="s">
        <v>924</v>
      </c>
      <c r="X115" s="81">
        <v>0</v>
      </c>
    </row>
    <row r="116" spans="23:24" hidden="1" x14ac:dyDescent="0.25">
      <c r="W116" s="9" t="s">
        <v>925</v>
      </c>
      <c r="X116" s="81">
        <v>0</v>
      </c>
    </row>
    <row r="117" spans="23:24" hidden="1" x14ac:dyDescent="0.25">
      <c r="W117" s="9" t="s">
        <v>926</v>
      </c>
      <c r="X117" s="81">
        <v>0</v>
      </c>
    </row>
    <row r="118" spans="23:24" hidden="1" x14ac:dyDescent="0.25">
      <c r="W118" s="9" t="s">
        <v>928</v>
      </c>
      <c r="X118" s="81">
        <v>0</v>
      </c>
    </row>
    <row r="119" spans="23:24" hidden="1" x14ac:dyDescent="0.25">
      <c r="W119" s="9" t="s">
        <v>929</v>
      </c>
      <c r="X119" s="81">
        <v>0</v>
      </c>
    </row>
    <row r="120" spans="23:24" hidden="1" x14ac:dyDescent="0.25">
      <c r="W120" s="9" t="s">
        <v>930</v>
      </c>
      <c r="X120" s="81">
        <v>0</v>
      </c>
    </row>
    <row r="121" spans="23:24" hidden="1" x14ac:dyDescent="0.25">
      <c r="W121" s="9" t="s">
        <v>932</v>
      </c>
      <c r="X121" s="81">
        <v>0</v>
      </c>
    </row>
    <row r="122" spans="23:24" hidden="1" x14ac:dyDescent="0.25">
      <c r="W122" s="9" t="s">
        <v>933</v>
      </c>
      <c r="X122" s="81">
        <v>0</v>
      </c>
    </row>
    <row r="123" spans="23:24" hidden="1" x14ac:dyDescent="0.25">
      <c r="W123" s="9" t="s">
        <v>935</v>
      </c>
      <c r="X123" s="81">
        <v>0</v>
      </c>
    </row>
    <row r="124" spans="23:24" hidden="1" x14ac:dyDescent="0.25">
      <c r="W124" s="9" t="s">
        <v>936</v>
      </c>
      <c r="X124" s="81">
        <v>0</v>
      </c>
    </row>
    <row r="125" spans="23:24" hidden="1" x14ac:dyDescent="0.25">
      <c r="W125" s="9" t="s">
        <v>420</v>
      </c>
      <c r="X125" s="81">
        <v>0</v>
      </c>
    </row>
    <row r="126" spans="23:24" hidden="1" x14ac:dyDescent="0.25"/>
    <row r="127" spans="23:24" hidden="1" x14ac:dyDescent="0.25"/>
    <row r="128" spans="23:24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1549</v>
      </c>
      <c r="D503" t="s">
        <v>1550</v>
      </c>
      <c r="F503" s="8" t="s">
        <v>419</v>
      </c>
      <c r="G503" t="s">
        <v>1556</v>
      </c>
      <c r="J503" s="8" t="s">
        <v>419</v>
      </c>
      <c r="K503" t="s">
        <v>1552</v>
      </c>
      <c r="L503" t="s">
        <v>1640</v>
      </c>
      <c r="O503" s="8" t="s">
        <v>419</v>
      </c>
      <c r="P503" t="s">
        <v>1587</v>
      </c>
      <c r="S503" s="8" t="s">
        <v>419</v>
      </c>
      <c r="T503" t="s">
        <v>1702</v>
      </c>
      <c r="U503" t="s">
        <v>1703</v>
      </c>
      <c r="W503" s="8" t="s">
        <v>419</v>
      </c>
      <c r="X503" t="s">
        <v>1722</v>
      </c>
      <c r="Y503" t="s">
        <v>1723</v>
      </c>
      <c r="AA503" s="8" t="s">
        <v>419</v>
      </c>
      <c r="AB503" t="s">
        <v>1727</v>
      </c>
      <c r="AC503" t="s">
        <v>1726</v>
      </c>
    </row>
    <row r="504" spans="2:29" x14ac:dyDescent="0.25">
      <c r="B504" s="39">
        <v>46143</v>
      </c>
      <c r="C504" s="81">
        <v>14</v>
      </c>
      <c r="D504" s="81">
        <v>0</v>
      </c>
      <c r="F504" s="9" t="s">
        <v>1558</v>
      </c>
      <c r="G504" s="81">
        <v>6</v>
      </c>
      <c r="J504" s="9">
        <v>18</v>
      </c>
      <c r="K504" s="81">
        <v>0</v>
      </c>
      <c r="L504" s="24">
        <v>0</v>
      </c>
      <c r="O504" s="9" t="s">
        <v>1586</v>
      </c>
      <c r="P504" s="13">
        <v>0</v>
      </c>
      <c r="S504" s="9" t="s">
        <v>422</v>
      </c>
      <c r="T504" s="13">
        <v>8.4654888297492422E-4</v>
      </c>
      <c r="U504" s="13">
        <v>1.3964559800471526E-3</v>
      </c>
      <c r="W504" s="9" t="s">
        <v>422</v>
      </c>
      <c r="X504" s="71">
        <v>29.609439249491725</v>
      </c>
      <c r="Y504" s="72">
        <v>17.949608208433983</v>
      </c>
      <c r="AA504" s="9" t="s">
        <v>421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 s="81">
        <v>14</v>
      </c>
      <c r="D505" s="81">
        <v>0</v>
      </c>
      <c r="F505" s="9" t="s">
        <v>1559</v>
      </c>
      <c r="G505" s="81">
        <v>8</v>
      </c>
      <c r="J505" s="9">
        <v>19</v>
      </c>
      <c r="K505" s="81">
        <v>8</v>
      </c>
      <c r="L505" s="24">
        <v>5</v>
      </c>
      <c r="O505" s="9" t="s">
        <v>422</v>
      </c>
      <c r="P505" s="13">
        <v>0.99999999999999978</v>
      </c>
      <c r="S505" s="9" t="s">
        <v>423</v>
      </c>
      <c r="T505" s="13">
        <v>9.3647233775872099E-3</v>
      </c>
      <c r="U505" s="13">
        <v>1.52686946647998E-2</v>
      </c>
      <c r="W505" s="9" t="s">
        <v>423</v>
      </c>
      <c r="X505" s="71">
        <v>323.74632180039259</v>
      </c>
      <c r="Y505" s="72">
        <v>198.56279889868111</v>
      </c>
      <c r="AA505" s="9" t="s">
        <v>422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 s="81">
        <v>14</v>
      </c>
      <c r="D506" s="81">
        <v>0</v>
      </c>
      <c r="F506" s="9" t="s">
        <v>1560</v>
      </c>
      <c r="G506" s="81">
        <v>8</v>
      </c>
      <c r="J506" s="9">
        <v>20</v>
      </c>
      <c r="K506" s="81">
        <v>9</v>
      </c>
      <c r="L506" s="24">
        <v>5</v>
      </c>
      <c r="O506" s="9" t="s">
        <v>423</v>
      </c>
      <c r="P506" s="13">
        <v>0.99999999999999978</v>
      </c>
      <c r="S506" s="9" t="s">
        <v>453</v>
      </c>
      <c r="T506" s="13">
        <v>3.4398712573989215E-2</v>
      </c>
      <c r="U506" s="13">
        <v>5.368932585398551E-2</v>
      </c>
      <c r="W506" s="9" t="s">
        <v>453</v>
      </c>
      <c r="X506" s="71">
        <v>1138.3895052431735</v>
      </c>
      <c r="Y506" s="72">
        <v>729.36533966925981</v>
      </c>
      <c r="AA506" s="9" t="s">
        <v>423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 s="81">
        <v>16</v>
      </c>
      <c r="D507" s="81">
        <v>0</v>
      </c>
      <c r="F507" s="9" t="s">
        <v>1561</v>
      </c>
      <c r="G507" s="81">
        <v>11</v>
      </c>
      <c r="J507" s="9">
        <v>21</v>
      </c>
      <c r="K507" s="81">
        <v>3</v>
      </c>
      <c r="L507" s="24">
        <v>4</v>
      </c>
      <c r="O507" s="9" t="s">
        <v>453</v>
      </c>
      <c r="P507" s="13">
        <v>0.99999999999999989</v>
      </c>
      <c r="S507" s="9" t="s">
        <v>778</v>
      </c>
      <c r="T507" s="13">
        <v>9.2752758885822087E-2</v>
      </c>
      <c r="U507" s="13">
        <v>0.10405226706624732</v>
      </c>
      <c r="W507" s="9" t="s">
        <v>778</v>
      </c>
      <c r="X507" s="71">
        <v>2206.2487643655677</v>
      </c>
      <c r="Y507" s="72">
        <v>1966.6621925023151</v>
      </c>
      <c r="AA507" s="9" t="s">
        <v>453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 s="81">
        <v>20</v>
      </c>
      <c r="D508" s="81">
        <v>0</v>
      </c>
      <c r="F508" s="9" t="s">
        <v>1562</v>
      </c>
      <c r="G508" s="81">
        <v>11</v>
      </c>
      <c r="J508" s="9">
        <v>22</v>
      </c>
      <c r="K508" s="81">
        <v>10</v>
      </c>
      <c r="L508" s="24">
        <v>5</v>
      </c>
      <c r="O508" s="9" t="s">
        <v>778</v>
      </c>
      <c r="P508" s="13">
        <v>0.99999999999999989</v>
      </c>
      <c r="S508" s="9" t="s">
        <v>1593</v>
      </c>
      <c r="T508" s="13">
        <v>0.14460000000000001</v>
      </c>
      <c r="U508" s="13">
        <v>0.16602659701966191</v>
      </c>
      <c r="W508" s="9" t="s">
        <v>1593</v>
      </c>
      <c r="X508" s="71">
        <v>3520.3074844418165</v>
      </c>
      <c r="Y508" s="72">
        <v>3065.9934696487412</v>
      </c>
      <c r="AA508" s="9" t="s">
        <v>778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 s="81">
        <v>24</v>
      </c>
      <c r="D509" s="81">
        <v>0</v>
      </c>
      <c r="F509" s="9" t="s">
        <v>1565</v>
      </c>
      <c r="G509" s="81">
        <v>109</v>
      </c>
      <c r="J509" s="9">
        <v>23</v>
      </c>
      <c r="K509" s="81">
        <v>0</v>
      </c>
      <c r="L509" s="24">
        <v>0</v>
      </c>
      <c r="O509" s="9" t="s">
        <v>1593</v>
      </c>
      <c r="P509" s="13">
        <v>0.9832352941176471</v>
      </c>
      <c r="S509" s="9" t="s">
        <v>420</v>
      </c>
      <c r="T509" s="13">
        <v>0.14460000000000001</v>
      </c>
      <c r="U509" s="13">
        <v>0.16602659701966191</v>
      </c>
      <c r="W509" s="9" t="s">
        <v>420</v>
      </c>
      <c r="X509" s="71">
        <v>3520.3074844418165</v>
      </c>
      <c r="Y509" s="72">
        <v>3065.9934696487412</v>
      </c>
      <c r="AA509" s="9" t="s">
        <v>1593</v>
      </c>
      <c r="AB509" s="72">
        <v>1314.0587200762486</v>
      </c>
      <c r="AC509" s="75">
        <v>1099.3312771464261</v>
      </c>
    </row>
    <row r="510" spans="2:29" x14ac:dyDescent="0.25">
      <c r="B510" s="39">
        <v>46149</v>
      </c>
      <c r="C510" s="81">
        <v>26</v>
      </c>
      <c r="D510" s="81">
        <v>0</v>
      </c>
      <c r="F510" s="9" t="s">
        <v>420</v>
      </c>
      <c r="G510" s="81">
        <v>153</v>
      </c>
      <c r="J510" s="9" t="s">
        <v>420</v>
      </c>
      <c r="K510" s="81">
        <v>30</v>
      </c>
      <c r="L510" s="24">
        <v>4.290322580645161</v>
      </c>
      <c r="O510" s="9" t="s">
        <v>1594</v>
      </c>
      <c r="P510" s="13">
        <v>0.66875000000000007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 s="81">
        <v>28</v>
      </c>
      <c r="D511" s="81">
        <v>1</v>
      </c>
      <c r="O511" s="9" t="s">
        <v>420</v>
      </c>
      <c r="P511" s="13">
        <v>0.20764204545454532</v>
      </c>
    </row>
    <row r="512" spans="2:29" x14ac:dyDescent="0.25">
      <c r="B512" s="39">
        <v>46151</v>
      </c>
      <c r="C512" s="81">
        <v>29</v>
      </c>
      <c r="D512" s="81">
        <v>1</v>
      </c>
    </row>
    <row r="513" spans="2:36" x14ac:dyDescent="0.25">
      <c r="B513" s="39">
        <v>46152</v>
      </c>
      <c r="C513" s="81">
        <v>30</v>
      </c>
      <c r="D513" s="81">
        <v>1</v>
      </c>
    </row>
    <row r="514" spans="2:36" x14ac:dyDescent="0.25">
      <c r="B514" s="39">
        <v>46153</v>
      </c>
      <c r="C514" s="81">
        <v>33</v>
      </c>
      <c r="D514" s="81">
        <v>2</v>
      </c>
    </row>
    <row r="515" spans="2:36" x14ac:dyDescent="0.25">
      <c r="B515" s="39">
        <v>46154</v>
      </c>
      <c r="C515" s="81">
        <v>35</v>
      </c>
      <c r="D515" s="81">
        <v>2</v>
      </c>
    </row>
    <row r="516" spans="2:36" x14ac:dyDescent="0.25">
      <c r="B516" s="39">
        <v>46155</v>
      </c>
      <c r="C516" s="81">
        <v>38</v>
      </c>
      <c r="D516" s="81">
        <v>2</v>
      </c>
      <c r="AG516" s="73">
        <f>+GETPIVOTDATA("% AVANCE",$O$503)</f>
        <v>0.20764204545454532</v>
      </c>
      <c r="AH516" s="73">
        <f>+AI516-AG516</f>
        <v>0.79235795454545466</v>
      </c>
      <c r="AI516" s="73">
        <v>1</v>
      </c>
      <c r="AJ516" s="52"/>
    </row>
    <row r="517" spans="2:36" x14ac:dyDescent="0.25">
      <c r="B517" s="39">
        <v>46156</v>
      </c>
      <c r="C517" s="81">
        <v>39</v>
      </c>
      <c r="D517" s="81">
        <v>10</v>
      </c>
    </row>
    <row r="518" spans="2:36" x14ac:dyDescent="0.25">
      <c r="B518" s="39">
        <v>46157</v>
      </c>
      <c r="C518" s="81">
        <v>39</v>
      </c>
      <c r="D518" s="81">
        <v>12</v>
      </c>
    </row>
    <row r="519" spans="2:36" x14ac:dyDescent="0.25">
      <c r="B519" s="39">
        <v>46158</v>
      </c>
      <c r="C519" s="81">
        <v>39</v>
      </c>
      <c r="D519" s="81">
        <v>12</v>
      </c>
    </row>
    <row r="520" spans="2:36" x14ac:dyDescent="0.25">
      <c r="B520" s="39">
        <v>46159</v>
      </c>
      <c r="C520" s="81">
        <v>41</v>
      </c>
      <c r="D520" s="81">
        <v>12</v>
      </c>
    </row>
    <row r="521" spans="2:36" x14ac:dyDescent="0.25">
      <c r="B521" s="39">
        <v>46160</v>
      </c>
      <c r="C521" s="81">
        <v>41</v>
      </c>
      <c r="D521" s="81">
        <v>14</v>
      </c>
    </row>
    <row r="522" spans="2:36" x14ac:dyDescent="0.25">
      <c r="B522" s="39">
        <v>46161</v>
      </c>
      <c r="C522" s="81">
        <v>42</v>
      </c>
      <c r="D522" s="81">
        <v>15</v>
      </c>
    </row>
    <row r="523" spans="2:36" x14ac:dyDescent="0.25">
      <c r="B523" s="39">
        <v>46162</v>
      </c>
      <c r="C523" s="81">
        <v>43</v>
      </c>
      <c r="D523" s="81">
        <v>17</v>
      </c>
    </row>
    <row r="524" spans="2:36" x14ac:dyDescent="0.25">
      <c r="B524" s="39">
        <v>46163</v>
      </c>
      <c r="C524" s="81">
        <v>47</v>
      </c>
      <c r="D524" s="81">
        <v>17</v>
      </c>
    </row>
    <row r="525" spans="2:36" x14ac:dyDescent="0.25">
      <c r="B525" s="39">
        <v>46164</v>
      </c>
      <c r="C525" s="81">
        <v>47</v>
      </c>
      <c r="D525" s="81">
        <v>17</v>
      </c>
    </row>
    <row r="526" spans="2:36" x14ac:dyDescent="0.25">
      <c r="B526" s="39">
        <v>46165</v>
      </c>
      <c r="C526" s="81">
        <v>47</v>
      </c>
      <c r="D526" s="81">
        <v>17</v>
      </c>
    </row>
    <row r="527" spans="2:36" x14ac:dyDescent="0.25">
      <c r="B527" s="39">
        <v>46166</v>
      </c>
      <c r="C527" s="81">
        <v>48</v>
      </c>
      <c r="D527" s="81">
        <v>17</v>
      </c>
    </row>
    <row r="528" spans="2:36" x14ac:dyDescent="0.25">
      <c r="B528" s="39">
        <v>46167</v>
      </c>
      <c r="C528" s="81">
        <v>50</v>
      </c>
      <c r="D528" s="81">
        <v>17</v>
      </c>
    </row>
    <row r="529" spans="2:4" x14ac:dyDescent="0.25">
      <c r="B529" s="39">
        <v>46168</v>
      </c>
      <c r="C529" s="81">
        <v>51</v>
      </c>
      <c r="D529" s="81">
        <v>17</v>
      </c>
    </row>
    <row r="530" spans="2:4" x14ac:dyDescent="0.25">
      <c r="B530" s="39">
        <v>46169</v>
      </c>
      <c r="C530" s="81">
        <v>52</v>
      </c>
      <c r="D530" s="81">
        <v>21</v>
      </c>
    </row>
    <row r="531" spans="2:4" x14ac:dyDescent="0.25">
      <c r="B531" s="39">
        <v>46170</v>
      </c>
      <c r="C531" s="81">
        <v>52</v>
      </c>
      <c r="D531" s="81">
        <v>21</v>
      </c>
    </row>
    <row r="532" spans="2:4" x14ac:dyDescent="0.25">
      <c r="B532" s="39">
        <v>46171</v>
      </c>
      <c r="C532" s="81">
        <v>52</v>
      </c>
      <c r="D532" s="81">
        <v>21</v>
      </c>
    </row>
    <row r="533" spans="2:4" x14ac:dyDescent="0.25">
      <c r="B533" s="39">
        <v>46172</v>
      </c>
      <c r="C533" s="81">
        <v>52</v>
      </c>
      <c r="D533" s="81">
        <v>21</v>
      </c>
    </row>
    <row r="534" spans="2:4" x14ac:dyDescent="0.25">
      <c r="B534" s="39">
        <v>46173</v>
      </c>
      <c r="C534" s="81">
        <v>52</v>
      </c>
      <c r="D534" s="81">
        <v>21</v>
      </c>
    </row>
    <row r="535" spans="2:4" x14ac:dyDescent="0.25">
      <c r="B535" s="39">
        <v>46508</v>
      </c>
      <c r="C535" s="81">
        <v>693</v>
      </c>
      <c r="D535" s="81">
        <v>109</v>
      </c>
    </row>
    <row r="536" spans="2:4" x14ac:dyDescent="0.25">
      <c r="B536" s="39">
        <v>46509</v>
      </c>
      <c r="C536" s="81">
        <v>696</v>
      </c>
      <c r="D536" s="81">
        <v>109</v>
      </c>
    </row>
    <row r="537" spans="2:4" x14ac:dyDescent="0.25">
      <c r="B537" s="39">
        <v>46510</v>
      </c>
      <c r="C537" s="81">
        <v>696</v>
      </c>
      <c r="D537" s="81">
        <v>109</v>
      </c>
    </row>
    <row r="538" spans="2:4" x14ac:dyDescent="0.25">
      <c r="B538" s="39">
        <v>46511</v>
      </c>
      <c r="C538" s="81">
        <v>696</v>
      </c>
      <c r="D538" s="81">
        <v>109</v>
      </c>
    </row>
    <row r="539" spans="2:4" x14ac:dyDescent="0.25">
      <c r="B539" s="39">
        <v>46512</v>
      </c>
      <c r="C539" s="81">
        <v>698</v>
      </c>
      <c r="D539" s="81">
        <v>109</v>
      </c>
    </row>
    <row r="540" spans="2:4" x14ac:dyDescent="0.25">
      <c r="B540" s="39">
        <v>46513</v>
      </c>
      <c r="C540" s="81">
        <v>699</v>
      </c>
      <c r="D540" s="81">
        <v>109</v>
      </c>
    </row>
    <row r="541" spans="2:4" x14ac:dyDescent="0.25">
      <c r="B541" s="39">
        <v>46514</v>
      </c>
      <c r="C541" s="81">
        <v>700</v>
      </c>
      <c r="D541" s="81">
        <v>109</v>
      </c>
    </row>
    <row r="542" spans="2:4" x14ac:dyDescent="0.25">
      <c r="B542" s="39">
        <v>46515</v>
      </c>
      <c r="C542" s="81">
        <v>702</v>
      </c>
      <c r="D542" s="81">
        <v>109</v>
      </c>
    </row>
    <row r="543" spans="2:4" x14ac:dyDescent="0.25">
      <c r="B543" s="39">
        <v>46516</v>
      </c>
      <c r="C543" s="81">
        <v>704</v>
      </c>
      <c r="D543" s="81">
        <v>109</v>
      </c>
    </row>
    <row r="544" spans="2:4" x14ac:dyDescent="0.25">
      <c r="B544" s="39">
        <v>46517</v>
      </c>
      <c r="C544" s="81">
        <v>704</v>
      </c>
      <c r="D544" s="81">
        <v>109</v>
      </c>
    </row>
    <row r="545" spans="2:4" x14ac:dyDescent="0.25">
      <c r="B545" s="39">
        <v>46518</v>
      </c>
      <c r="C545" s="81">
        <v>704</v>
      </c>
      <c r="D545" s="81">
        <v>109</v>
      </c>
    </row>
    <row r="546" spans="2:4" x14ac:dyDescent="0.25">
      <c r="B546" s="39">
        <v>46519</v>
      </c>
      <c r="C546" s="81">
        <v>704</v>
      </c>
      <c r="D546" s="81">
        <v>109</v>
      </c>
    </row>
    <row r="547" spans="2:4" x14ac:dyDescent="0.25">
      <c r="B547" s="39">
        <v>46520</v>
      </c>
      <c r="C547" s="81">
        <v>704</v>
      </c>
      <c r="D547" s="81">
        <v>109</v>
      </c>
    </row>
    <row r="548" spans="2:4" x14ac:dyDescent="0.25">
      <c r="B548" s="39">
        <v>46521</v>
      </c>
      <c r="C548" s="81">
        <v>704</v>
      </c>
      <c r="D548" s="81">
        <v>109</v>
      </c>
    </row>
    <row r="549" spans="2:4" x14ac:dyDescent="0.25">
      <c r="B549" s="39">
        <v>46522</v>
      </c>
      <c r="C549" s="81">
        <v>704</v>
      </c>
      <c r="D549" s="81">
        <v>109</v>
      </c>
    </row>
    <row r="550" spans="2:4" x14ac:dyDescent="0.25">
      <c r="B550" s="39">
        <v>46523</v>
      </c>
      <c r="C550" s="81">
        <v>704</v>
      </c>
      <c r="D550" s="81">
        <v>109</v>
      </c>
    </row>
    <row r="551" spans="2:4" x14ac:dyDescent="0.25">
      <c r="B551" s="39">
        <v>46524</v>
      </c>
      <c r="C551" s="81">
        <v>704</v>
      </c>
      <c r="D551" s="81">
        <v>109</v>
      </c>
    </row>
    <row r="552" spans="2:4" x14ac:dyDescent="0.25">
      <c r="B552" s="39">
        <v>46525</v>
      </c>
      <c r="C552" s="81">
        <v>704</v>
      </c>
      <c r="D552" s="81">
        <v>109</v>
      </c>
    </row>
    <row r="553" spans="2:4" x14ac:dyDescent="0.25">
      <c r="B553" s="39">
        <v>46526</v>
      </c>
      <c r="C553" s="81">
        <v>704</v>
      </c>
      <c r="D553" s="81">
        <v>109</v>
      </c>
    </row>
    <row r="554" spans="2:4" x14ac:dyDescent="0.25">
      <c r="B554" s="39">
        <v>46527</v>
      </c>
      <c r="C554" s="81">
        <v>704</v>
      </c>
      <c r="D554" s="81">
        <v>109</v>
      </c>
    </row>
    <row r="555" spans="2:4" x14ac:dyDescent="0.25">
      <c r="B555" s="39">
        <v>46528</v>
      </c>
      <c r="C555" s="81">
        <v>704</v>
      </c>
      <c r="D555" s="81">
        <v>109</v>
      </c>
    </row>
    <row r="556" spans="2:4" x14ac:dyDescent="0.25">
      <c r="B556" s="39">
        <v>46529</v>
      </c>
      <c r="C556" s="81">
        <v>704</v>
      </c>
      <c r="D556" s="81">
        <v>109</v>
      </c>
    </row>
    <row r="557" spans="2:4" x14ac:dyDescent="0.25">
      <c r="B557" s="39">
        <v>46530</v>
      </c>
      <c r="C557" s="81">
        <v>704</v>
      </c>
      <c r="D557" s="81">
        <v>109</v>
      </c>
    </row>
    <row r="558" spans="2:4" x14ac:dyDescent="0.25">
      <c r="B558" s="39">
        <v>46531</v>
      </c>
      <c r="C558" s="81">
        <v>704</v>
      </c>
      <c r="D558" s="81">
        <v>109</v>
      </c>
    </row>
    <row r="559" spans="2:4" x14ac:dyDescent="0.25">
      <c r="B559" s="39">
        <v>46532</v>
      </c>
      <c r="C559" s="81">
        <v>704</v>
      </c>
      <c r="D559" s="81">
        <v>109</v>
      </c>
    </row>
    <row r="560" spans="2:4" x14ac:dyDescent="0.25">
      <c r="B560" s="39">
        <v>46533</v>
      </c>
      <c r="C560" s="81">
        <v>704</v>
      </c>
      <c r="D560" s="81">
        <v>109</v>
      </c>
    </row>
    <row r="561" spans="2:4" x14ac:dyDescent="0.25">
      <c r="B561" s="39">
        <v>46534</v>
      </c>
      <c r="C561" s="81">
        <v>704</v>
      </c>
      <c r="D561" s="81">
        <v>109</v>
      </c>
    </row>
    <row r="562" spans="2:4" x14ac:dyDescent="0.25">
      <c r="B562" s="39">
        <v>46535</v>
      </c>
      <c r="C562" s="81">
        <v>704</v>
      </c>
      <c r="D562" s="81">
        <v>109</v>
      </c>
    </row>
    <row r="563" spans="2:4" x14ac:dyDescent="0.25">
      <c r="B563" s="39">
        <v>46536</v>
      </c>
      <c r="C563" s="81">
        <v>704</v>
      </c>
      <c r="D563" s="81">
        <v>109</v>
      </c>
    </row>
    <row r="564" spans="2:4" x14ac:dyDescent="0.25">
      <c r="B564" s="39">
        <v>46537</v>
      </c>
      <c r="C564" s="81">
        <v>704</v>
      </c>
      <c r="D564" s="81">
        <v>109</v>
      </c>
    </row>
    <row r="565" spans="2:4" x14ac:dyDescent="0.25">
      <c r="B565" s="39">
        <v>46538</v>
      </c>
      <c r="C565" s="81">
        <v>704</v>
      </c>
      <c r="D565" s="81">
        <v>109</v>
      </c>
    </row>
    <row r="566" spans="2:4" x14ac:dyDescent="0.25">
      <c r="B566" s="39" t="s">
        <v>420</v>
      </c>
      <c r="C566" s="81">
        <v>22927</v>
      </c>
      <c r="D566" s="81">
        <v>3687</v>
      </c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7"/>
  <sheetViews>
    <sheetView showGridLines="0" topLeftCell="AE1" zoomScale="80" zoomScaleNormal="80" workbookViewId="0">
      <selection activeCell="AN171" sqref="AN171"/>
    </sheetView>
  </sheetViews>
  <sheetFormatPr baseColWidth="10" defaultRowHeight="15" x14ac:dyDescent="0.25"/>
  <cols>
    <col min="1" max="1" width="17.140625" customWidth="1"/>
    <col min="2" max="2" width="18.14062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523</v>
      </c>
    </row>
    <row r="5" spans="2:55" x14ac:dyDescent="0.25">
      <c r="B5" s="9">
        <v>0</v>
      </c>
      <c r="C5" s="24">
        <v>607.90584661382752</v>
      </c>
    </row>
    <row r="6" spans="2:55" x14ac:dyDescent="0.25">
      <c r="B6" s="9" t="s">
        <v>547</v>
      </c>
      <c r="C6" s="24">
        <v>91.902876323195002</v>
      </c>
    </row>
    <row r="7" spans="2:55" x14ac:dyDescent="0.25">
      <c r="B7" s="9" t="s">
        <v>537</v>
      </c>
      <c r="C7" s="24">
        <v>112.39729934037273</v>
      </c>
    </row>
    <row r="8" spans="2:55" x14ac:dyDescent="0.25">
      <c r="B8" s="9" t="s">
        <v>541</v>
      </c>
      <c r="C8" s="24">
        <v>56.635487156416168</v>
      </c>
    </row>
    <row r="9" spans="2:55" x14ac:dyDescent="0.25">
      <c r="B9" s="9" t="s">
        <v>530</v>
      </c>
      <c r="C9" s="24">
        <v>16.213203627704313</v>
      </c>
    </row>
    <row r="10" spans="2:55" x14ac:dyDescent="0.25">
      <c r="B10" s="9" t="s">
        <v>540</v>
      </c>
      <c r="C10" s="24">
        <v>52.826420890937001</v>
      </c>
    </row>
    <row r="11" spans="2:55" x14ac:dyDescent="0.25">
      <c r="B11" s="9" t="s">
        <v>528</v>
      </c>
      <c r="C11" s="24">
        <v>0</v>
      </c>
    </row>
    <row r="12" spans="2:55" x14ac:dyDescent="0.25">
      <c r="B12" s="9" t="s">
        <v>543</v>
      </c>
      <c r="C12" s="24">
        <v>95.617992349294298</v>
      </c>
    </row>
    <row r="13" spans="2:55" x14ac:dyDescent="0.25">
      <c r="B13" s="9" t="s">
        <v>538</v>
      </c>
      <c r="C13" s="24">
        <v>148.68686868686865</v>
      </c>
    </row>
    <row r="14" spans="2:55" x14ac:dyDescent="0.25">
      <c r="B14" s="9" t="s">
        <v>532</v>
      </c>
      <c r="C14" s="24">
        <v>109.58415322051691</v>
      </c>
      <c r="AH14" s="7">
        <f>+GETPIVOTDATA(" % AVANCE TOTAL",$B$526)</f>
        <v>0.14120491602596122</v>
      </c>
      <c r="AI14" s="7">
        <f>+AJ14-AH14</f>
        <v>0.85879508397403881</v>
      </c>
      <c r="AJ14" s="12">
        <v>1</v>
      </c>
      <c r="BA14" t="s">
        <v>419</v>
      </c>
      <c r="BB14" t="s">
        <v>460</v>
      </c>
      <c r="BC14" t="s">
        <v>414</v>
      </c>
    </row>
    <row r="15" spans="2:55" x14ac:dyDescent="0.25">
      <c r="B15" s="9" t="s">
        <v>535</v>
      </c>
      <c r="C15" s="24">
        <v>61.143436097843413</v>
      </c>
      <c r="BA15" t="str">
        <f t="shared" ref="BA15:BA34" si="0">+B262</f>
        <v>PINO 2X4X2,44</v>
      </c>
      <c r="BB15" s="7">
        <f t="shared" ref="BB15:BB34" si="1">+C262</f>
        <v>-0.77301708204672281</v>
      </c>
      <c r="BC15" s="2">
        <f t="shared" ref="BC15:BC34" si="2">+D262</f>
        <v>86254216</v>
      </c>
    </row>
    <row r="16" spans="2:55" x14ac:dyDescent="0.25">
      <c r="B16" s="9" t="s">
        <v>534</v>
      </c>
      <c r="C16" s="24">
        <v>98.646616541353325</v>
      </c>
      <c r="BA16" t="str">
        <f t="shared" si="0"/>
        <v>PINO 2X6X320</v>
      </c>
      <c r="BB16" s="7">
        <f t="shared" si="1"/>
        <v>-0.27760981123540751</v>
      </c>
      <c r="BC16" s="2">
        <f t="shared" si="2"/>
        <v>22944301</v>
      </c>
    </row>
    <row r="17" spans="2:55" x14ac:dyDescent="0.25">
      <c r="B17" s="9" t="s">
        <v>544</v>
      </c>
      <c r="C17" s="24">
        <v>139.59595959595961</v>
      </c>
      <c r="BA17" t="str">
        <f t="shared" si="0"/>
        <v>CUBREJUNTA</v>
      </c>
      <c r="BB17" s="7">
        <f t="shared" si="1"/>
        <v>-0.24994519665921655</v>
      </c>
      <c r="BC17" s="2">
        <f t="shared" si="2"/>
        <v>5843293</v>
      </c>
    </row>
    <row r="18" spans="2:55" x14ac:dyDescent="0.25">
      <c r="B18" s="9" t="s">
        <v>533</v>
      </c>
      <c r="C18" s="24">
        <v>111.61336176261551</v>
      </c>
      <c r="BA18" t="str">
        <f t="shared" si="0"/>
        <v>OSB 11MM</v>
      </c>
      <c r="BB18" s="7">
        <f t="shared" si="1"/>
        <v>-0.20755436159817942</v>
      </c>
      <c r="BC18" s="2">
        <f t="shared" si="2"/>
        <v>14808508</v>
      </c>
    </row>
    <row r="19" spans="2:55" x14ac:dyDescent="0.25">
      <c r="B19" s="9" t="s">
        <v>525</v>
      </c>
      <c r="C19" s="24">
        <v>140.95238095238093</v>
      </c>
      <c r="BA19" t="str">
        <f t="shared" si="0"/>
        <v>VOLCANITA EMPAPELADA CIELO</v>
      </c>
      <c r="BB19" s="7">
        <f t="shared" si="1"/>
        <v>-0.2017940081753643</v>
      </c>
      <c r="BC19" s="2">
        <f t="shared" si="2"/>
        <v>24250403</v>
      </c>
    </row>
    <row r="20" spans="2:55" x14ac:dyDescent="0.25">
      <c r="B20" s="9" t="s">
        <v>531</v>
      </c>
      <c r="C20" s="24">
        <v>105.09031198686371</v>
      </c>
      <c r="BA20" t="str">
        <f t="shared" si="0"/>
        <v>SMARTPANEL</v>
      </c>
      <c r="BB20" s="7">
        <f t="shared" si="1"/>
        <v>-0.20031975703989569</v>
      </c>
      <c r="BC20" s="2">
        <f t="shared" si="2"/>
        <v>75681896</v>
      </c>
    </row>
    <row r="21" spans="2:55" x14ac:dyDescent="0.25">
      <c r="B21" s="9" t="s">
        <v>529</v>
      </c>
      <c r="C21" s="24">
        <v>44.761904761904752</v>
      </c>
      <c r="L21" s="3"/>
      <c r="BA21" t="str">
        <f t="shared" si="0"/>
        <v>PINO 3X8X320</v>
      </c>
      <c r="BB21" s="7">
        <f t="shared" si="1"/>
        <v>-0.19585211151897863</v>
      </c>
      <c r="BC21" s="2">
        <f t="shared" si="2"/>
        <v>13713845</v>
      </c>
    </row>
    <row r="22" spans="2:55" x14ac:dyDescent="0.25">
      <c r="B22" s="9" t="s">
        <v>587</v>
      </c>
      <c r="C22" s="24">
        <v>122.17687074829932</v>
      </c>
      <c r="L22" s="3"/>
      <c r="BA22" t="str">
        <f t="shared" si="0"/>
        <v>PINO 2X6X400</v>
      </c>
      <c r="BB22" s="7">
        <f t="shared" si="1"/>
        <v>-0.18783487390938003</v>
      </c>
      <c r="BC22" s="2">
        <f t="shared" si="2"/>
        <v>49768122</v>
      </c>
    </row>
    <row r="23" spans="2:55" x14ac:dyDescent="0.25">
      <c r="B23" s="9" t="s">
        <v>542</v>
      </c>
      <c r="C23" s="24">
        <v>150.36351441985246</v>
      </c>
      <c r="L23" s="7"/>
      <c r="BA23" t="str">
        <f t="shared" si="0"/>
        <v>HOLDOWN PB2</v>
      </c>
      <c r="BB23" s="7">
        <f t="shared" si="1"/>
        <v>-0.18647817836113778</v>
      </c>
      <c r="BC23" s="2">
        <f t="shared" si="2"/>
        <v>36177719</v>
      </c>
    </row>
    <row r="24" spans="2:55" x14ac:dyDescent="0.25">
      <c r="B24" s="9" t="s">
        <v>536</v>
      </c>
      <c r="C24" s="24">
        <v>113.43495214462952</v>
      </c>
      <c r="BA24" t="str">
        <f t="shared" si="0"/>
        <v>TORNILLO SIMPSON 6"</v>
      </c>
      <c r="BB24" s="7">
        <f t="shared" si="1"/>
        <v>-0.18287988052065995</v>
      </c>
      <c r="BC24" s="2">
        <f t="shared" si="2"/>
        <v>31624546</v>
      </c>
    </row>
    <row r="25" spans="2:55" x14ac:dyDescent="0.25">
      <c r="B25" s="9" t="s">
        <v>546</v>
      </c>
      <c r="C25" s="24">
        <v>116.15306122448979</v>
      </c>
      <c r="BA25" t="str">
        <f t="shared" si="0"/>
        <v>AISLAN GLASS 90MM</v>
      </c>
      <c r="BB25" s="7">
        <f t="shared" si="1"/>
        <v>-0.17946791832639553</v>
      </c>
      <c r="BC25" s="2">
        <f t="shared" si="2"/>
        <v>14475950</v>
      </c>
    </row>
    <row r="26" spans="2:55" x14ac:dyDescent="0.25">
      <c r="B26" s="9" t="s">
        <v>527</v>
      </c>
      <c r="C26" s="24">
        <v>89.523809523809518</v>
      </c>
      <c r="BA26" t="str">
        <f t="shared" si="0"/>
        <v>SIMPLISIMA</v>
      </c>
      <c r="BB26" s="7">
        <f t="shared" si="1"/>
        <v>-0.17859236862408612</v>
      </c>
      <c r="BC26" s="2">
        <f t="shared" si="2"/>
        <v>10231413</v>
      </c>
    </row>
    <row r="27" spans="2:55" x14ac:dyDescent="0.25">
      <c r="B27" s="9" t="s">
        <v>526</v>
      </c>
      <c r="C27" s="24">
        <v>89.523809523809518</v>
      </c>
      <c r="BA27" t="str">
        <f t="shared" si="0"/>
        <v>PAPEL KRAFT</v>
      </c>
      <c r="BB27" s="7">
        <f t="shared" si="1"/>
        <v>-0.1692543808474829</v>
      </c>
      <c r="BC27" s="2">
        <f t="shared" si="2"/>
        <v>14952685</v>
      </c>
    </row>
    <row r="28" spans="2:55" x14ac:dyDescent="0.25">
      <c r="B28" s="9" t="s">
        <v>539</v>
      </c>
      <c r="C28" s="24">
        <v>93.605442176870753</v>
      </c>
      <c r="BA28" t="str">
        <f t="shared" si="0"/>
        <v>HOLDOWN PB1</v>
      </c>
      <c r="BB28" s="7">
        <f t="shared" si="1"/>
        <v>-0.1593629099328836</v>
      </c>
      <c r="BC28" s="2">
        <f t="shared" si="2"/>
        <v>53852106</v>
      </c>
    </row>
    <row r="29" spans="2:55" x14ac:dyDescent="0.25">
      <c r="B29" s="9" t="s">
        <v>545</v>
      </c>
      <c r="C29" s="24">
        <v>151.81657848324511</v>
      </c>
      <c r="BA29" t="str">
        <f t="shared" si="0"/>
        <v>OSB 9.5</v>
      </c>
      <c r="BB29" s="7">
        <f t="shared" si="1"/>
        <v>-0.15639976786017751</v>
      </c>
      <c r="BC29" s="2">
        <f t="shared" si="2"/>
        <v>50378048</v>
      </c>
    </row>
    <row r="30" spans="2:55" x14ac:dyDescent="0.25">
      <c r="B30" s="9" t="s">
        <v>300</v>
      </c>
      <c r="C30" s="24">
        <v>94.331065759637184</v>
      </c>
      <c r="BA30" t="str">
        <f t="shared" si="0"/>
        <v>TERCIADO FENOLICO</v>
      </c>
      <c r="BB30" s="7">
        <f t="shared" si="1"/>
        <v>-0.15479553266664658</v>
      </c>
      <c r="BC30" s="2">
        <f t="shared" si="2"/>
        <v>39851110</v>
      </c>
    </row>
    <row r="31" spans="2:55" x14ac:dyDescent="0.25">
      <c r="B31" s="9" t="s">
        <v>549</v>
      </c>
      <c r="C31" s="24">
        <v>117.58730158730158</v>
      </c>
      <c r="BA31" t="str">
        <f t="shared" si="0"/>
        <v>PINO 2X4X320</v>
      </c>
      <c r="BB31" s="7">
        <f t="shared" si="1"/>
        <v>-0.15458518226175777</v>
      </c>
      <c r="BC31" s="2">
        <f t="shared" si="2"/>
        <v>53232521</v>
      </c>
    </row>
    <row r="32" spans="2:55" x14ac:dyDescent="0.25">
      <c r="B32" s="9" t="s">
        <v>548</v>
      </c>
      <c r="C32" s="24">
        <v>107.35930735930735</v>
      </c>
      <c r="BA32" t="str">
        <f t="shared" si="0"/>
        <v>PINO 2X8X4</v>
      </c>
      <c r="BB32" s="7">
        <f t="shared" si="1"/>
        <v>-0.1506715330736248</v>
      </c>
      <c r="BC32" s="2">
        <f t="shared" si="2"/>
        <v>54073582</v>
      </c>
    </row>
    <row r="33" spans="2:55" x14ac:dyDescent="0.25">
      <c r="B33" s="9" t="s">
        <v>420</v>
      </c>
      <c r="C33" s="24">
        <v>3239.4498328593063</v>
      </c>
      <c r="BA33" t="str">
        <f t="shared" si="0"/>
        <v>MEMBRANA PVC</v>
      </c>
      <c r="BB33" s="7">
        <f t="shared" si="1"/>
        <v>-0.14842422469740313</v>
      </c>
      <c r="BC33" s="2">
        <f t="shared" si="2"/>
        <v>10471329</v>
      </c>
    </row>
    <row r="34" spans="2:55" hidden="1" x14ac:dyDescent="0.25">
      <c r="BA34" t="str">
        <f t="shared" si="0"/>
        <v>AISLAN GLASS 140MM</v>
      </c>
      <c r="BB34" s="7">
        <f t="shared" si="1"/>
        <v>-0.14808676086773409</v>
      </c>
      <c r="BC34" s="2">
        <f t="shared" si="2"/>
        <v>10626434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1580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520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2.5789013238915089E-2</v>
      </c>
    </row>
    <row r="175" spans="2:46" x14ac:dyDescent="0.25">
      <c r="B175" s="9" t="s">
        <v>279</v>
      </c>
      <c r="C175" s="13">
        <v>2.0380637382316446E-2</v>
      </c>
    </row>
    <row r="176" spans="2:46" x14ac:dyDescent="0.25">
      <c r="B176" s="9" t="s">
        <v>39</v>
      </c>
      <c r="C176" s="13">
        <v>1.1875413719596183E-2</v>
      </c>
    </row>
    <row r="177" spans="2:55" x14ac:dyDescent="0.25">
      <c r="B177" s="9" t="s">
        <v>83</v>
      </c>
      <c r="C177" s="13">
        <v>3.1998085880140682E-3</v>
      </c>
    </row>
    <row r="178" spans="2:55" x14ac:dyDescent="0.25">
      <c r="B178" s="9" t="s">
        <v>249</v>
      </c>
      <c r="C178" s="13">
        <v>1.101192926306655E-2</v>
      </c>
    </row>
    <row r="179" spans="2:55" x14ac:dyDescent="0.25">
      <c r="B179" s="9" t="s">
        <v>40</v>
      </c>
      <c r="C179" s="13">
        <v>2.7218617018827856E-2</v>
      </c>
    </row>
    <row r="180" spans="2:55" x14ac:dyDescent="0.25">
      <c r="B180" s="9" t="s">
        <v>41</v>
      </c>
      <c r="C180" s="13">
        <v>2.4425070589174473E-2</v>
      </c>
      <c r="BA180" t="s">
        <v>419</v>
      </c>
      <c r="BB180" s="7" t="s">
        <v>460</v>
      </c>
      <c r="BC180" t="s">
        <v>414</v>
      </c>
    </row>
    <row r="181" spans="2:55" x14ac:dyDescent="0.25">
      <c r="B181" s="9" t="s">
        <v>337</v>
      </c>
      <c r="C181" s="13">
        <v>9.2166959284487957E-3</v>
      </c>
      <c r="BA181" t="str">
        <f t="shared" ref="BA181:BA189" si="3">+B422</f>
        <v>CERRADURA DE EMB 85000 MULTIPLE C/REC</v>
      </c>
      <c r="BB181" s="7">
        <f t="shared" ref="BB181:BB189" si="4">+C422</f>
        <v>0.43392611382939683</v>
      </c>
      <c r="BC181" s="2">
        <f t="shared" ref="BC181:BC189" si="5">+D422</f>
        <v>547489</v>
      </c>
    </row>
    <row r="182" spans="2:55" x14ac:dyDescent="0.25">
      <c r="B182" s="9" t="s">
        <v>256</v>
      </c>
      <c r="C182" s="13">
        <v>2.1333998284223391E-2</v>
      </c>
      <c r="BA182" t="str">
        <f t="shared" si="3"/>
        <v>ANGULO PVC 25x25x3.0 MTS BLANCO</v>
      </c>
      <c r="BB182" s="7">
        <f t="shared" si="4"/>
        <v>0.19928210039608341</v>
      </c>
      <c r="BC182" s="2">
        <f t="shared" si="5"/>
        <v>363526</v>
      </c>
    </row>
    <row r="183" spans="2:55" x14ac:dyDescent="0.25">
      <c r="B183" s="9" t="s">
        <v>247</v>
      </c>
      <c r="C183" s="13">
        <v>5.7360231605324379E-3</v>
      </c>
      <c r="BA183" t="str">
        <f t="shared" si="3"/>
        <v>MARCO PUERTA HOME 30X120mm PINO FINGER (2 PIERNAS DE 2.400 MM - 1 CABEZAL DE 1.000 MM)</v>
      </c>
      <c r="BB183" s="7">
        <f t="shared" si="4"/>
        <v>0.15729164544537655</v>
      </c>
      <c r="BC183" s="2">
        <f t="shared" si="5"/>
        <v>46652</v>
      </c>
    </row>
    <row r="184" spans="2:55" x14ac:dyDescent="0.25">
      <c r="B184" s="9" t="s">
        <v>126</v>
      </c>
      <c r="C184" s="13">
        <v>1.8159869055911063E-2</v>
      </c>
      <c r="BA184" t="str">
        <f t="shared" si="3"/>
        <v>ESPEJO RECTO AL. BLANCO DE 50x70 CMS</v>
      </c>
      <c r="BB184" s="7">
        <f t="shared" si="4"/>
        <v>0.12645368291320502</v>
      </c>
      <c r="BC184" s="2">
        <f t="shared" si="5"/>
        <v>865168</v>
      </c>
    </row>
    <row r="185" spans="2:55" x14ac:dyDescent="0.25">
      <c r="B185" s="9" t="s">
        <v>356</v>
      </c>
      <c r="C185" s="13">
        <v>0.37126994094636712</v>
      </c>
      <c r="BA185" t="str">
        <f t="shared" si="3"/>
        <v>MANILLA JUEGO 2816-C 19MM REVERSIBLE SIN BOC.</v>
      </c>
      <c r="BB185" s="7">
        <f t="shared" si="4"/>
        <v>6.9027471087296455E-2</v>
      </c>
      <c r="BC185" s="2">
        <f t="shared" si="5"/>
        <v>354545</v>
      </c>
    </row>
    <row r="186" spans="2:55" x14ac:dyDescent="0.25">
      <c r="B186" s="9" t="s">
        <v>246</v>
      </c>
      <c r="C186" s="13">
        <v>1.3718162129469804E-2</v>
      </c>
      <c r="BA186" t="str">
        <f t="shared" si="3"/>
        <v>V03- VENTANA BAÑO PROYECTANTE (550X550 MM)</v>
      </c>
      <c r="BB186" s="7">
        <f t="shared" si="4"/>
        <v>3.1915031236718461E-2</v>
      </c>
      <c r="BC186" s="2">
        <f t="shared" si="5"/>
        <v>5624894</v>
      </c>
    </row>
    <row r="187" spans="2:55" x14ac:dyDescent="0.25">
      <c r="B187" s="9" t="s">
        <v>323</v>
      </c>
      <c r="C187" s="13">
        <v>2.6637519549091711E-2</v>
      </c>
      <c r="BA187" t="str">
        <f t="shared" si="3"/>
        <v>CILINDRO 03 LLAVE/LLAVE 70MM (35X35) AI</v>
      </c>
      <c r="BB187" s="7">
        <f t="shared" si="4"/>
        <v>2.7136019011710255E-2</v>
      </c>
      <c r="BC187" s="2">
        <f t="shared" si="5"/>
        <v>392172</v>
      </c>
    </row>
    <row r="188" spans="2:55" x14ac:dyDescent="0.25">
      <c r="B188" s="9" t="s">
        <v>115</v>
      </c>
      <c r="C188" s="13">
        <v>3.3573122193637971E-2</v>
      </c>
      <c r="BA188" t="str">
        <f t="shared" si="3"/>
        <v>AISLAN ROCA 90 MM D: 32 KG/M3 DE 0.375x1.200 MM (5.4 M2) SKU 3000481</v>
      </c>
      <c r="BB188" s="7">
        <f t="shared" si="4"/>
        <v>1.2643634586413155E-2</v>
      </c>
      <c r="BC188" s="2">
        <f t="shared" si="5"/>
        <v>10474240</v>
      </c>
    </row>
    <row r="189" spans="2:55" x14ac:dyDescent="0.25">
      <c r="B189" s="9" t="s">
        <v>22</v>
      </c>
      <c r="C189" s="13">
        <v>3.3981010293074813E-2</v>
      </c>
      <c r="BA189" t="str">
        <f t="shared" si="3"/>
        <v>GOLILLA PLANA CORRIENTE 3/8" (CODIGO:03-GPFU ENVASE DE 100 UND)</v>
      </c>
      <c r="BB189" s="7">
        <f t="shared" si="4"/>
        <v>6.0374204394477715E-3</v>
      </c>
      <c r="BC189" s="2">
        <f t="shared" si="5"/>
        <v>15257</v>
      </c>
    </row>
    <row r="190" spans="2:55" x14ac:dyDescent="0.25">
      <c r="B190" s="9" t="s">
        <v>167</v>
      </c>
      <c r="C190" s="13">
        <v>2.3818276896925769E-2</v>
      </c>
    </row>
    <row r="191" spans="2:55" x14ac:dyDescent="0.25">
      <c r="B191" s="9" t="s">
        <v>72</v>
      </c>
      <c r="C191" s="13">
        <v>2.8504078971085683E-2</v>
      </c>
    </row>
    <row r="192" spans="2:55" x14ac:dyDescent="0.25">
      <c r="B192" s="9" t="s">
        <v>17</v>
      </c>
      <c r="C192" s="13">
        <v>2.5024555608567856E-2</v>
      </c>
    </row>
    <row r="193" spans="2:3" x14ac:dyDescent="0.25">
      <c r="B193" s="9" t="s">
        <v>80</v>
      </c>
      <c r="C193" s="13">
        <v>3.6344915958304282E-2</v>
      </c>
    </row>
    <row r="194" spans="2:3" x14ac:dyDescent="0.25">
      <c r="B194" s="9" t="s">
        <v>37</v>
      </c>
      <c r="C194" s="13">
        <v>3.686606304889415E-2</v>
      </c>
    </row>
    <row r="195" spans="2:3" x14ac:dyDescent="0.25">
      <c r="B195" s="9" t="s">
        <v>197</v>
      </c>
      <c r="C195" s="13">
        <v>3.7320274784925382E-2</v>
      </c>
    </row>
    <row r="196" spans="2:3" x14ac:dyDescent="0.25">
      <c r="B196" s="9" t="s">
        <v>204</v>
      </c>
      <c r="C196" s="13">
        <v>2.0816103714443434E-2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2.6072828557408455E-2</v>
      </c>
    </row>
    <row r="199" spans="2:3" x14ac:dyDescent="0.25">
      <c r="B199" s="9" t="s">
        <v>30</v>
      </c>
      <c r="C199" s="13">
        <v>2.6821026545939118E-2</v>
      </c>
    </row>
    <row r="200" spans="2:3" x14ac:dyDescent="0.25">
      <c r="B200" s="9" t="s">
        <v>297</v>
      </c>
      <c r="C200" s="13">
        <v>1.9776183886150826E-2</v>
      </c>
    </row>
    <row r="201" spans="2:3" x14ac:dyDescent="0.25">
      <c r="B201" s="9" t="s">
        <v>289</v>
      </c>
      <c r="C201" s="13">
        <v>1.9776183886150829E-2</v>
      </c>
    </row>
    <row r="202" spans="2:3" x14ac:dyDescent="0.25">
      <c r="B202" s="9" t="s">
        <v>287</v>
      </c>
      <c r="C202" s="13">
        <v>1.9776183886150829E-2</v>
      </c>
    </row>
    <row r="203" spans="2:3" x14ac:dyDescent="0.25">
      <c r="B203" s="9" t="s">
        <v>338</v>
      </c>
      <c r="C203" s="13">
        <v>5.5405682223459306E-4</v>
      </c>
    </row>
    <row r="204" spans="2:3" x14ac:dyDescent="0.25">
      <c r="B204" s="9" t="s">
        <v>316</v>
      </c>
      <c r="C204" s="13">
        <v>2.1002436092151147E-2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521</v>
      </c>
      <c r="C261" t="s">
        <v>460</v>
      </c>
      <c r="D261" t="s">
        <v>414</v>
      </c>
    </row>
    <row r="262" spans="2:4" x14ac:dyDescent="0.25">
      <c r="B262" s="9" t="s">
        <v>2004</v>
      </c>
      <c r="C262" s="13">
        <v>-0.77301708204672281</v>
      </c>
      <c r="D262" s="14">
        <v>86254216</v>
      </c>
    </row>
    <row r="263" spans="2:4" x14ac:dyDescent="0.25">
      <c r="B263" s="9" t="s">
        <v>534</v>
      </c>
      <c r="C263" s="13">
        <v>-0.27760981123540751</v>
      </c>
      <c r="D263" s="14">
        <v>22944301</v>
      </c>
    </row>
    <row r="264" spans="2:4" x14ac:dyDescent="0.25">
      <c r="B264" s="9" t="s">
        <v>540</v>
      </c>
      <c r="C264" s="13">
        <v>-0.24994519665921655</v>
      </c>
      <c r="D264" s="14">
        <v>5843293</v>
      </c>
    </row>
    <row r="265" spans="2:4" x14ac:dyDescent="0.25">
      <c r="B265" s="9" t="s">
        <v>538</v>
      </c>
      <c r="C265" s="13">
        <v>-0.20755436159817942</v>
      </c>
      <c r="D265" s="14">
        <v>14808508</v>
      </c>
    </row>
    <row r="266" spans="2:4" x14ac:dyDescent="0.25">
      <c r="B266" s="9" t="s">
        <v>545</v>
      </c>
      <c r="C266" s="13">
        <v>-0.2017940081753643</v>
      </c>
      <c r="D266" s="14">
        <v>24250403</v>
      </c>
    </row>
    <row r="267" spans="2:4" x14ac:dyDescent="0.25">
      <c r="B267" s="9" t="s">
        <v>542</v>
      </c>
      <c r="C267" s="13">
        <v>-0.20031975703989569</v>
      </c>
      <c r="D267" s="14">
        <v>75681896</v>
      </c>
    </row>
    <row r="268" spans="2:4" x14ac:dyDescent="0.25">
      <c r="B268" s="9" t="s">
        <v>525</v>
      </c>
      <c r="C268" s="13">
        <v>-0.19585211151897863</v>
      </c>
      <c r="D268" s="14">
        <v>13713845</v>
      </c>
    </row>
    <row r="269" spans="2:4" x14ac:dyDescent="0.25">
      <c r="B269" s="9" t="s">
        <v>544</v>
      </c>
      <c r="C269" s="13">
        <v>-0.18783487390938003</v>
      </c>
      <c r="D269" s="14">
        <v>49768122</v>
      </c>
    </row>
    <row r="270" spans="2:4" x14ac:dyDescent="0.25">
      <c r="B270" s="9" t="s">
        <v>745</v>
      </c>
      <c r="C270" s="13">
        <v>-0.18647817836113778</v>
      </c>
      <c r="D270" s="14">
        <v>36177719</v>
      </c>
    </row>
    <row r="271" spans="2:4" x14ac:dyDescent="0.25">
      <c r="B271" s="9" t="s">
        <v>546</v>
      </c>
      <c r="C271" s="13">
        <v>-0.18287988052065995</v>
      </c>
      <c r="D271" s="14">
        <v>31624546</v>
      </c>
    </row>
    <row r="272" spans="2:4" x14ac:dyDescent="0.25">
      <c r="B272" s="9" t="s">
        <v>537</v>
      </c>
      <c r="C272" s="13">
        <v>-0.17946791832639553</v>
      </c>
      <c r="D272" s="14">
        <v>14475950</v>
      </c>
    </row>
    <row r="273" spans="2:7" x14ac:dyDescent="0.25">
      <c r="B273" s="9" t="s">
        <v>587</v>
      </c>
      <c r="C273" s="13">
        <v>-0.17859236862408612</v>
      </c>
      <c r="D273" s="14">
        <v>10231413</v>
      </c>
    </row>
    <row r="274" spans="2:7" x14ac:dyDescent="0.25">
      <c r="B274" s="9" t="s">
        <v>2005</v>
      </c>
      <c r="C274" s="13">
        <v>-0.1692543808474829</v>
      </c>
      <c r="D274" s="14">
        <v>14952685</v>
      </c>
    </row>
    <row r="275" spans="2:7" x14ac:dyDescent="0.25">
      <c r="B275" s="9" t="s">
        <v>744</v>
      </c>
      <c r="C275" s="13">
        <v>-0.1593629099328836</v>
      </c>
      <c r="D275" s="14">
        <v>53852106</v>
      </c>
    </row>
    <row r="276" spans="2:7" x14ac:dyDescent="0.25">
      <c r="B276" s="9" t="s">
        <v>532</v>
      </c>
      <c r="C276" s="13">
        <v>-0.15639976786017751</v>
      </c>
      <c r="D276" s="14">
        <v>50378048</v>
      </c>
    </row>
    <row r="277" spans="2:7" x14ac:dyDescent="0.25">
      <c r="B277" s="9" t="s">
        <v>536</v>
      </c>
      <c r="C277" s="13">
        <v>-0.15479553266664658</v>
      </c>
      <c r="D277" s="14">
        <v>39851110</v>
      </c>
    </row>
    <row r="278" spans="2:7" x14ac:dyDescent="0.25">
      <c r="B278" s="9" t="s">
        <v>535</v>
      </c>
      <c r="C278" s="13">
        <v>-0.15458518226175777</v>
      </c>
      <c r="D278" s="14">
        <v>53232521</v>
      </c>
    </row>
    <row r="279" spans="2:7" x14ac:dyDescent="0.25">
      <c r="B279" s="9" t="s">
        <v>533</v>
      </c>
      <c r="C279" s="13">
        <v>-0.1506715330736248</v>
      </c>
      <c r="D279" s="14">
        <v>54073582</v>
      </c>
    </row>
    <row r="280" spans="2:7" x14ac:dyDescent="0.25">
      <c r="B280" s="9" t="s">
        <v>543</v>
      </c>
      <c r="C280" s="13">
        <v>-0.14842422469740313</v>
      </c>
      <c r="D280" s="14">
        <v>10471329</v>
      </c>
    </row>
    <row r="281" spans="2:7" x14ac:dyDescent="0.25">
      <c r="B281" s="9" t="s">
        <v>547</v>
      </c>
      <c r="C281" s="13">
        <v>-0.14808676086773409</v>
      </c>
      <c r="D281" s="14">
        <v>10626434</v>
      </c>
    </row>
    <row r="282" spans="2:7" x14ac:dyDescent="0.25">
      <c r="B282" s="9" t="s">
        <v>526</v>
      </c>
      <c r="C282" s="13">
        <v>-0.13838311400712389</v>
      </c>
      <c r="D282" s="14">
        <v>28603076</v>
      </c>
    </row>
    <row r="283" spans="2:7" x14ac:dyDescent="0.25">
      <c r="B283" s="9" t="s">
        <v>300</v>
      </c>
      <c r="C283" s="13">
        <v>-0.13338933396044594</v>
      </c>
      <c r="D283" s="14">
        <v>15495874</v>
      </c>
      <c r="G283" s="7"/>
    </row>
    <row r="284" spans="2:7" x14ac:dyDescent="0.25">
      <c r="B284" s="9" t="s">
        <v>539</v>
      </c>
      <c r="C284" s="13">
        <v>-0.12152541233940606</v>
      </c>
      <c r="D284" s="14">
        <v>47460028</v>
      </c>
      <c r="G284" s="7"/>
    </row>
    <row r="285" spans="2:7" x14ac:dyDescent="0.25">
      <c r="B285" s="9" t="s">
        <v>529</v>
      </c>
      <c r="C285" s="13">
        <v>-8.1878472333178021E-2</v>
      </c>
      <c r="D285" s="14">
        <v>4877286</v>
      </c>
      <c r="G285" s="7"/>
    </row>
    <row r="286" spans="2:7" x14ac:dyDescent="0.25">
      <c r="B286" s="9" t="s">
        <v>527</v>
      </c>
      <c r="C286" s="13">
        <v>-4.8672421993316783E-2</v>
      </c>
      <c r="D286" s="14">
        <v>17936431</v>
      </c>
      <c r="G286" s="7"/>
    </row>
    <row r="287" spans="2:7" x14ac:dyDescent="0.25">
      <c r="B287" s="9" t="s">
        <v>531</v>
      </c>
      <c r="C287" s="13">
        <v>-4.5400194673726912E-2</v>
      </c>
      <c r="D287" s="14">
        <v>10666609</v>
      </c>
      <c r="G287" s="7"/>
    </row>
    <row r="288" spans="2:7" x14ac:dyDescent="0.25">
      <c r="B288" s="9" t="s">
        <v>530</v>
      </c>
      <c r="C288" s="13">
        <v>-2.7395305306378903E-2</v>
      </c>
      <c r="D288" s="14">
        <v>2059387</v>
      </c>
      <c r="G288" s="7"/>
    </row>
    <row r="289" spans="2:4" x14ac:dyDescent="0.25">
      <c r="B289" s="9" t="s">
        <v>528</v>
      </c>
      <c r="C289" s="13">
        <v>0</v>
      </c>
      <c r="D289" s="14">
        <v>0</v>
      </c>
    </row>
    <row r="290" spans="2:4" x14ac:dyDescent="0.25">
      <c r="B290" s="9" t="s">
        <v>541</v>
      </c>
      <c r="C290" s="13">
        <v>1.2643634586413155E-2</v>
      </c>
      <c r="D290" s="14">
        <v>10474240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-4.8150114290135786</v>
      </c>
      <c r="D292" s="14">
        <v>816409852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447</v>
      </c>
    </row>
    <row r="421" spans="2:4" x14ac:dyDescent="0.25">
      <c r="B421" s="8" t="s">
        <v>521</v>
      </c>
      <c r="C421" t="s">
        <v>460</v>
      </c>
      <c r="D421" t="s">
        <v>414</v>
      </c>
    </row>
    <row r="422" spans="2:4" x14ac:dyDescent="0.25">
      <c r="B422" s="9" t="s">
        <v>482</v>
      </c>
      <c r="C422" s="13">
        <v>0.43392611382939683</v>
      </c>
      <c r="D422" s="34">
        <v>547489</v>
      </c>
    </row>
    <row r="423" spans="2:4" x14ac:dyDescent="0.25">
      <c r="B423" s="9" t="s">
        <v>181</v>
      </c>
      <c r="C423" s="13">
        <v>0.19928210039608341</v>
      </c>
      <c r="D423" s="34">
        <v>363526</v>
      </c>
    </row>
    <row r="424" spans="2:4" x14ac:dyDescent="0.25">
      <c r="B424" s="9" t="s">
        <v>122</v>
      </c>
      <c r="C424" s="13">
        <v>0.15729164544537655</v>
      </c>
      <c r="D424" s="34">
        <v>46652</v>
      </c>
    </row>
    <row r="425" spans="2:4" x14ac:dyDescent="0.25">
      <c r="B425" s="9" t="s">
        <v>192</v>
      </c>
      <c r="C425" s="13">
        <v>0.12645368291320502</v>
      </c>
      <c r="D425" s="34">
        <v>865168</v>
      </c>
    </row>
    <row r="426" spans="2:4" x14ac:dyDescent="0.25">
      <c r="B426" s="9" t="s">
        <v>484</v>
      </c>
      <c r="C426" s="13">
        <v>6.9027471087296455E-2</v>
      </c>
      <c r="D426" s="34">
        <v>354545</v>
      </c>
    </row>
    <row r="427" spans="2:4" x14ac:dyDescent="0.25">
      <c r="B427" s="9" t="s">
        <v>289</v>
      </c>
      <c r="C427" s="13">
        <v>3.1915031236718461E-2</v>
      </c>
      <c r="D427" s="34">
        <v>5624894</v>
      </c>
    </row>
    <row r="428" spans="2:4" x14ac:dyDescent="0.25">
      <c r="B428" s="9" t="s">
        <v>483</v>
      </c>
      <c r="C428" s="13">
        <v>2.7136019011710255E-2</v>
      </c>
      <c r="D428" s="34">
        <v>392172</v>
      </c>
    </row>
    <row r="429" spans="2:4" x14ac:dyDescent="0.25">
      <c r="B429" s="9" t="s">
        <v>39</v>
      </c>
      <c r="C429" s="13">
        <v>1.2643634586413155E-2</v>
      </c>
      <c r="D429" s="34">
        <v>10474240</v>
      </c>
    </row>
    <row r="430" spans="2:4" x14ac:dyDescent="0.25">
      <c r="B430" s="9" t="s">
        <v>164</v>
      </c>
      <c r="C430" s="13">
        <v>6.0374204394477715E-3</v>
      </c>
      <c r="D430" s="34">
        <v>15257</v>
      </c>
    </row>
    <row r="431" spans="2:4" x14ac:dyDescent="0.25">
      <c r="B431" s="9" t="s">
        <v>420</v>
      </c>
      <c r="C431" s="13">
        <v>1.0637131189456479</v>
      </c>
      <c r="D431" s="34">
        <v>18683943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550</v>
      </c>
      <c r="C526" t="s">
        <v>553</v>
      </c>
      <c r="D526" t="s">
        <v>551</v>
      </c>
      <c r="E526" t="s">
        <v>554</v>
      </c>
    </row>
    <row r="527" spans="2:5" x14ac:dyDescent="0.25">
      <c r="B527" t="s">
        <v>528</v>
      </c>
      <c r="C527" s="36">
        <v>24692.85</v>
      </c>
      <c r="D527" s="35">
        <v>0</v>
      </c>
      <c r="E527" s="13">
        <v>0</v>
      </c>
    </row>
    <row r="528" spans="2:5" x14ac:dyDescent="0.25">
      <c r="B528" t="s">
        <v>2005</v>
      </c>
      <c r="C528" s="36">
        <v>91494.933075000023</v>
      </c>
      <c r="D528" s="35">
        <v>373</v>
      </c>
      <c r="E528" s="13">
        <v>4.076728486092725E-3</v>
      </c>
    </row>
    <row r="529" spans="2:5" x14ac:dyDescent="0.25">
      <c r="B529" t="s">
        <v>530</v>
      </c>
      <c r="C529" s="36">
        <v>2424.6904499999996</v>
      </c>
      <c r="D529" s="35">
        <v>56</v>
      </c>
      <c r="E529" s="13">
        <v>2.3095731663396461E-2</v>
      </c>
    </row>
    <row r="530" spans="2:5" x14ac:dyDescent="0.25">
      <c r="B530" t="s">
        <v>529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540</v>
      </c>
      <c r="C531" s="36">
        <v>45700.200000000019</v>
      </c>
      <c r="D531" s="35">
        <v>3439</v>
      </c>
      <c r="E531" s="13">
        <v>7.5251311810451568E-2</v>
      </c>
    </row>
    <row r="532" spans="2:5" x14ac:dyDescent="0.25">
      <c r="B532" t="s">
        <v>533</v>
      </c>
      <c r="C532" s="36">
        <v>49385.7</v>
      </c>
      <c r="D532" s="35">
        <v>3926</v>
      </c>
      <c r="E532" s="13">
        <v>7.9496696412119303E-2</v>
      </c>
    </row>
    <row r="533" spans="2:5" x14ac:dyDescent="0.25">
      <c r="B533" t="s">
        <v>541</v>
      </c>
      <c r="C533" s="36">
        <v>28087.195499999998</v>
      </c>
      <c r="D533" s="35">
        <v>2266</v>
      </c>
      <c r="E533" s="13">
        <v>8.0677332131646975E-2</v>
      </c>
    </row>
    <row r="534" spans="2:5" x14ac:dyDescent="0.25">
      <c r="B534" t="s">
        <v>535</v>
      </c>
      <c r="C534" s="36">
        <v>121252.94999999995</v>
      </c>
      <c r="D534" s="35">
        <v>11161</v>
      </c>
      <c r="E534" s="13">
        <v>9.2047245036100192E-2</v>
      </c>
    </row>
    <row r="535" spans="2:5" x14ac:dyDescent="0.25">
      <c r="B535" t="s">
        <v>527</v>
      </c>
      <c r="C535" s="36">
        <v>368.55</v>
      </c>
      <c r="D535" s="35">
        <v>47</v>
      </c>
      <c r="E535" s="13">
        <v>0.12752679419346086</v>
      </c>
    </row>
    <row r="536" spans="2:5" x14ac:dyDescent="0.25">
      <c r="B536" t="s">
        <v>236</v>
      </c>
      <c r="C536" s="36">
        <v>368.55</v>
      </c>
      <c r="D536" s="35">
        <v>47</v>
      </c>
      <c r="E536" s="13">
        <v>0.12752679419346086</v>
      </c>
    </row>
    <row r="537" spans="2:5" x14ac:dyDescent="0.25">
      <c r="B537" t="s">
        <v>526</v>
      </c>
      <c r="C537" s="36">
        <v>1105.6500000000001</v>
      </c>
      <c r="D537" s="35">
        <v>141</v>
      </c>
      <c r="E537" s="13">
        <v>0.12752679419346086</v>
      </c>
    </row>
    <row r="538" spans="2:5" x14ac:dyDescent="0.25">
      <c r="B538" t="s">
        <v>547</v>
      </c>
      <c r="C538" s="36">
        <v>22319.693159400002</v>
      </c>
      <c r="D538" s="35">
        <v>2922</v>
      </c>
      <c r="E538" s="13">
        <v>0.13091577823816952</v>
      </c>
    </row>
    <row r="539" spans="2:5" x14ac:dyDescent="0.25">
      <c r="B539" t="s">
        <v>539</v>
      </c>
      <c r="C539" s="36">
        <v>21928.724999999999</v>
      </c>
      <c r="D539" s="35">
        <v>2924</v>
      </c>
      <c r="E539" s="13">
        <v>0.13334108572203812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543</v>
      </c>
      <c r="C541" s="36">
        <v>499.23658536585361</v>
      </c>
      <c r="D541" s="35">
        <v>68</v>
      </c>
      <c r="E541" s="13">
        <v>0.13620796630953605</v>
      </c>
    </row>
    <row r="542" spans="2:5" x14ac:dyDescent="0.25">
      <c r="B542" t="s">
        <v>531</v>
      </c>
      <c r="C542" s="36">
        <v>5343.9749999999995</v>
      </c>
      <c r="D542" s="35">
        <v>800</v>
      </c>
      <c r="E542" s="13">
        <v>0.1497012991265865</v>
      </c>
    </row>
    <row r="543" spans="2:5" x14ac:dyDescent="0.25">
      <c r="B543" t="s">
        <v>744</v>
      </c>
      <c r="C543" s="36">
        <v>4054.05</v>
      </c>
      <c r="D543" s="35">
        <v>620</v>
      </c>
      <c r="E543" s="13">
        <v>0.1529334862668196</v>
      </c>
    </row>
    <row r="544" spans="2:5" x14ac:dyDescent="0.25">
      <c r="B544" t="s">
        <v>532</v>
      </c>
      <c r="C544" s="36">
        <v>33445.912499999984</v>
      </c>
      <c r="D544" s="35">
        <v>5221</v>
      </c>
      <c r="E544" s="13">
        <v>0.1561027823654087</v>
      </c>
    </row>
    <row r="545" spans="2:5" x14ac:dyDescent="0.25">
      <c r="B545" t="s">
        <v>537</v>
      </c>
      <c r="C545" s="36">
        <v>43826.088606300007</v>
      </c>
      <c r="D545" s="35">
        <v>7017</v>
      </c>
      <c r="E545" s="13">
        <v>0.16011011302047395</v>
      </c>
    </row>
    <row r="546" spans="2:5" x14ac:dyDescent="0.25">
      <c r="B546" t="s">
        <v>536</v>
      </c>
      <c r="C546" s="36">
        <v>16337.821500000005</v>
      </c>
      <c r="D546" s="35">
        <v>2640</v>
      </c>
      <c r="E546" s="13">
        <v>0.16158825091827567</v>
      </c>
    </row>
    <row r="547" spans="2:5" x14ac:dyDescent="0.25">
      <c r="B547" t="s">
        <v>534</v>
      </c>
      <c r="C547" s="36">
        <v>24508.575000000015</v>
      </c>
      <c r="D547" s="35">
        <v>4032</v>
      </c>
      <c r="E547" s="13">
        <v>0.16451384872437494</v>
      </c>
    </row>
    <row r="548" spans="2:5" x14ac:dyDescent="0.25">
      <c r="B548" t="s">
        <v>546</v>
      </c>
      <c r="C548" s="36">
        <v>412776</v>
      </c>
      <c r="D548" s="35">
        <v>68298</v>
      </c>
      <c r="E548" s="13">
        <v>0.1654602011744869</v>
      </c>
    </row>
    <row r="549" spans="2:5" x14ac:dyDescent="0.25">
      <c r="B549" t="s">
        <v>745</v>
      </c>
      <c r="C549" s="36">
        <v>5528.25</v>
      </c>
      <c r="D549" s="35">
        <v>926</v>
      </c>
      <c r="E549" s="13">
        <v>0.16750327861438974</v>
      </c>
    </row>
    <row r="550" spans="2:5" x14ac:dyDescent="0.25">
      <c r="B550" t="s">
        <v>587</v>
      </c>
      <c r="C550" s="36">
        <v>2579.85</v>
      </c>
      <c r="D550" s="35">
        <v>449</v>
      </c>
      <c r="E550" s="13">
        <v>0.17404112642207881</v>
      </c>
    </row>
    <row r="551" spans="2:5" x14ac:dyDescent="0.25">
      <c r="B551" t="s">
        <v>544</v>
      </c>
      <c r="C551" s="36">
        <v>24324.3</v>
      </c>
      <c r="D551" s="35">
        <v>4837</v>
      </c>
      <c r="E551" s="13">
        <v>0.19885464329908775</v>
      </c>
    </row>
    <row r="552" spans="2:5" x14ac:dyDescent="0.25">
      <c r="B552" t="s">
        <v>525</v>
      </c>
      <c r="C552" s="36">
        <v>4422.6000000000004</v>
      </c>
      <c r="D552" s="35">
        <v>888</v>
      </c>
      <c r="E552" s="13">
        <v>0.20078686745353411</v>
      </c>
    </row>
    <row r="553" spans="2:5" x14ac:dyDescent="0.25">
      <c r="B553" t="s">
        <v>538</v>
      </c>
      <c r="C553" s="36">
        <v>6081.0750000000007</v>
      </c>
      <c r="D553" s="35">
        <v>1288</v>
      </c>
      <c r="E553" s="13">
        <v>0.21180465624910066</v>
      </c>
    </row>
    <row r="554" spans="2:5" x14ac:dyDescent="0.25">
      <c r="B554" t="s">
        <v>542</v>
      </c>
      <c r="C554" s="36">
        <v>16354.406249999998</v>
      </c>
      <c r="D554" s="35">
        <v>3503</v>
      </c>
      <c r="E554" s="13">
        <v>0.21419304048412033</v>
      </c>
    </row>
    <row r="555" spans="2:5" x14ac:dyDescent="0.25">
      <c r="B555" t="s">
        <v>545</v>
      </c>
      <c r="C555" s="36">
        <v>4975.4250000000011</v>
      </c>
      <c r="D555" s="35">
        <v>1076</v>
      </c>
      <c r="E555" s="13">
        <v>0.21626293231231497</v>
      </c>
    </row>
    <row r="556" spans="2:5" x14ac:dyDescent="0.25">
      <c r="B556" t="s">
        <v>2004</v>
      </c>
      <c r="C556" s="36">
        <v>24249.712500000001</v>
      </c>
      <c r="D556" s="35">
        <v>17808</v>
      </c>
      <c r="E556" s="13">
        <v>0.73435922178458812</v>
      </c>
    </row>
    <row r="557" spans="2:5" x14ac:dyDescent="0.25">
      <c r="B557" t="s">
        <v>420</v>
      </c>
      <c r="C557" s="36">
        <v>1043780.940126066</v>
      </c>
      <c r="D557" s="35">
        <v>147387</v>
      </c>
      <c r="E557" s="13">
        <v>0.14120491602596122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430</v>
      </c>
    </row>
    <row r="753" spans="2:6" x14ac:dyDescent="0.25">
      <c r="C753" t="s">
        <v>300</v>
      </c>
      <c r="E753" t="s">
        <v>791</v>
      </c>
      <c r="F753" t="s">
        <v>792</v>
      </c>
    </row>
    <row r="754" spans="2:6" x14ac:dyDescent="0.25">
      <c r="B754" s="8" t="s">
        <v>419</v>
      </c>
      <c r="C754" t="s">
        <v>790</v>
      </c>
      <c r="D754" t="s">
        <v>793</v>
      </c>
    </row>
    <row r="755" spans="2:6" x14ac:dyDescent="0.25">
      <c r="B755" s="39">
        <v>46153</v>
      </c>
      <c r="C755" s="81">
        <v>365</v>
      </c>
      <c r="D755" s="81">
        <v>82.902494331065753</v>
      </c>
      <c r="E755" s="81">
        <v>365</v>
      </c>
      <c r="F755" s="81">
        <v>82.902494331065753</v>
      </c>
    </row>
    <row r="756" spans="2:6" x14ac:dyDescent="0.25">
      <c r="B756" s="39">
        <v>46160</v>
      </c>
      <c r="C756" s="81">
        <v>441</v>
      </c>
      <c r="D756" s="81">
        <v>82.902494331065753</v>
      </c>
      <c r="E756" s="81">
        <v>441</v>
      </c>
      <c r="F756" s="81">
        <v>82.902494331065753</v>
      </c>
    </row>
    <row r="757" spans="2:6" x14ac:dyDescent="0.25">
      <c r="B757" s="39">
        <v>46167</v>
      </c>
      <c r="C757" s="81">
        <v>445</v>
      </c>
      <c r="D757" s="81">
        <v>82.902494331065753</v>
      </c>
      <c r="E757" s="81">
        <v>445</v>
      </c>
      <c r="F757" s="81">
        <v>82.902494331065753</v>
      </c>
    </row>
    <row r="758" spans="2:6" x14ac:dyDescent="0.25">
      <c r="B758" s="39">
        <v>46174</v>
      </c>
      <c r="C758" s="81">
        <v>445</v>
      </c>
      <c r="D758" s="81">
        <v>82.902494331065753</v>
      </c>
      <c r="E758" s="81">
        <v>445</v>
      </c>
      <c r="F758" s="81">
        <v>82.902494331065753</v>
      </c>
    </row>
    <row r="759" spans="2:6" x14ac:dyDescent="0.25">
      <c r="B759" s="39">
        <v>46181</v>
      </c>
      <c r="C759" s="81">
        <v>477</v>
      </c>
      <c r="D759" s="81">
        <v>111.92743764172336</v>
      </c>
      <c r="E759" s="81">
        <v>477</v>
      </c>
      <c r="F759" s="81">
        <v>111.92743764172336</v>
      </c>
    </row>
    <row r="760" spans="2:6" x14ac:dyDescent="0.25">
      <c r="B760" s="39">
        <v>46188</v>
      </c>
      <c r="C760" s="81">
        <v>558</v>
      </c>
      <c r="D760" s="81">
        <v>111.92743764172336</v>
      </c>
      <c r="E760" s="81">
        <v>558</v>
      </c>
      <c r="F760" s="81">
        <v>111.92743764172336</v>
      </c>
    </row>
    <row r="761" spans="2:6" x14ac:dyDescent="0.25">
      <c r="B761" s="39">
        <v>46195</v>
      </c>
      <c r="C761" s="81">
        <v>558</v>
      </c>
      <c r="D761" s="81">
        <v>111.92743764172336</v>
      </c>
      <c r="E761" s="81">
        <v>558</v>
      </c>
      <c r="F761" s="81">
        <v>111.92743764172336</v>
      </c>
    </row>
    <row r="762" spans="2:6" x14ac:dyDescent="0.25">
      <c r="B762" s="39">
        <v>46203</v>
      </c>
      <c r="C762" s="81">
        <v>617</v>
      </c>
      <c r="D762" s="81">
        <v>111.92743764172336</v>
      </c>
      <c r="E762" s="81">
        <v>617</v>
      </c>
      <c r="F762" s="81">
        <v>111.92743764172336</v>
      </c>
    </row>
    <row r="763" spans="2:6" x14ac:dyDescent="0.25">
      <c r="B763" s="39">
        <v>46209</v>
      </c>
      <c r="C763" s="81">
        <v>565</v>
      </c>
      <c r="D763" s="81">
        <v>111.92743764172336</v>
      </c>
      <c r="E763" s="81">
        <v>565</v>
      </c>
      <c r="F763" s="81">
        <v>111.92743764172336</v>
      </c>
    </row>
    <row r="764" spans="2:6" x14ac:dyDescent="0.25">
      <c r="B764" s="39">
        <v>46214</v>
      </c>
      <c r="C764" s="81">
        <v>617</v>
      </c>
      <c r="D764" s="81">
        <v>111.92743764172336</v>
      </c>
      <c r="E764" s="81">
        <v>617</v>
      </c>
      <c r="F764" s="81">
        <v>111.92743764172336</v>
      </c>
    </row>
    <row r="765" spans="2:6" x14ac:dyDescent="0.25">
      <c r="B765" s="39">
        <v>46223</v>
      </c>
      <c r="C765" s="81">
        <v>617</v>
      </c>
      <c r="D765" s="81">
        <v>111.92743764172336</v>
      </c>
      <c r="E765" s="81">
        <v>617</v>
      </c>
      <c r="F765" s="81">
        <v>111.92743764172336</v>
      </c>
    </row>
    <row r="766" spans="2:6" x14ac:dyDescent="0.25">
      <c r="B766" s="39">
        <v>46230</v>
      </c>
      <c r="C766" s="81">
        <v>617</v>
      </c>
      <c r="D766" s="81">
        <v>111.92743764172336</v>
      </c>
      <c r="E766" s="81">
        <v>617</v>
      </c>
      <c r="F766" s="81">
        <v>111.92743764172336</v>
      </c>
    </row>
    <row r="767" spans="2:6" x14ac:dyDescent="0.25">
      <c r="B767" s="39" t="s">
        <v>420</v>
      </c>
      <c r="C767" s="81">
        <v>6322</v>
      </c>
      <c r="D767" s="81">
        <v>1227.0294784580499</v>
      </c>
      <c r="E767" s="81">
        <v>6322</v>
      </c>
      <c r="F767" s="81">
        <v>1227.0294784580499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Q90"/>
  <sheetViews>
    <sheetView showGridLines="0" workbookViewId="0">
      <selection activeCell="B36" sqref="B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570312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5.2851562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3" hidden="1" x14ac:dyDescent="0.25"/>
    <row r="8" spans="2:43" hidden="1" x14ac:dyDescent="0.25">
      <c r="B8" s="82" t="s">
        <v>416</v>
      </c>
      <c r="C8" s="82" t="s">
        <v>319</v>
      </c>
      <c r="AP8" s="82" t="s">
        <v>416</v>
      </c>
      <c r="AQ8" s="82" t="s">
        <v>319</v>
      </c>
    </row>
    <row r="10" spans="2:43" x14ac:dyDescent="0.25">
      <c r="B10" s="82" t="s">
        <v>419</v>
      </c>
      <c r="C10" s="82" t="s">
        <v>431</v>
      </c>
      <c r="AP10" s="82" t="s">
        <v>419</v>
      </c>
      <c r="AQ10" s="82" t="s">
        <v>434</v>
      </c>
    </row>
    <row r="11" spans="2:43" x14ac:dyDescent="0.25">
      <c r="B11" s="83" t="s">
        <v>278</v>
      </c>
      <c r="C11" s="85">
        <v>-2.2847757324340381E-2</v>
      </c>
      <c r="AP11" s="83" t="s">
        <v>278</v>
      </c>
      <c r="AQ11" s="84">
        <v>349537.98100000003</v>
      </c>
    </row>
    <row r="12" spans="2:43" x14ac:dyDescent="0.25">
      <c r="B12" s="83" t="s">
        <v>279</v>
      </c>
      <c r="C12" s="85">
        <v>-2.1300769157435041E-2</v>
      </c>
      <c r="AP12" s="83" t="s">
        <v>279</v>
      </c>
      <c r="AQ12" s="84">
        <v>218823.33330000006</v>
      </c>
    </row>
    <row r="13" spans="2:43" x14ac:dyDescent="0.25">
      <c r="B13" s="83" t="s">
        <v>39</v>
      </c>
      <c r="C13" s="85">
        <v>9.2585340779784212E-2</v>
      </c>
      <c r="AP13" s="83" t="s">
        <v>39</v>
      </c>
      <c r="AQ13" s="84">
        <v>-962891.09510000004</v>
      </c>
    </row>
    <row r="14" spans="2:43" x14ac:dyDescent="0.25">
      <c r="B14" s="83" t="s">
        <v>83</v>
      </c>
      <c r="C14" s="85">
        <v>-5.9562330674022678E-3</v>
      </c>
      <c r="AP14" s="83" t="s">
        <v>83</v>
      </c>
      <c r="AQ14" s="84">
        <v>9242.8182999999935</v>
      </c>
    </row>
    <row r="15" spans="2:43" x14ac:dyDescent="0.25">
      <c r="B15" s="83" t="s">
        <v>40</v>
      </c>
      <c r="C15" s="85">
        <v>-1.6071936855488612E-2</v>
      </c>
      <c r="AP15" s="83" t="s">
        <v>40</v>
      </c>
      <c r="AQ15" s="84">
        <v>864985.00619999983</v>
      </c>
    </row>
    <row r="16" spans="2:43" x14ac:dyDescent="0.25">
      <c r="B16" s="83" t="s">
        <v>41</v>
      </c>
      <c r="C16" s="85">
        <v>-3.62381798152067E-3</v>
      </c>
      <c r="AP16" s="83" t="s">
        <v>41</v>
      </c>
      <c r="AQ16" s="84">
        <v>439708.33639999997</v>
      </c>
    </row>
    <row r="17" spans="2:43" x14ac:dyDescent="0.25">
      <c r="B17" s="83" t="s">
        <v>337</v>
      </c>
      <c r="C17" s="85">
        <v>2.2920801077357632E-4</v>
      </c>
      <c r="AP17" s="83" t="s">
        <v>337</v>
      </c>
      <c r="AQ17" s="84">
        <v>-1224</v>
      </c>
    </row>
    <row r="18" spans="2:43" x14ac:dyDescent="0.25">
      <c r="B18" s="83" t="s">
        <v>256</v>
      </c>
      <c r="C18" s="85">
        <v>-1.294784481627367E-2</v>
      </c>
      <c r="AP18" s="83" t="s">
        <v>256</v>
      </c>
      <c r="AQ18" s="84">
        <v>154974.3334</v>
      </c>
    </row>
    <row r="19" spans="2:43" x14ac:dyDescent="0.25">
      <c r="B19" s="83" t="s">
        <v>247</v>
      </c>
      <c r="C19" s="85">
        <v>1.0192399466131666E-2</v>
      </c>
      <c r="AP19" s="83" t="s">
        <v>247</v>
      </c>
      <c r="AQ19" s="84">
        <v>-58923.615699999988</v>
      </c>
    </row>
    <row r="20" spans="2:43" x14ac:dyDescent="0.25">
      <c r="B20" s="83" t="s">
        <v>126</v>
      </c>
      <c r="C20" s="85">
        <v>6.1775548641579171E-3</v>
      </c>
      <c r="AP20" s="83" t="s">
        <v>126</v>
      </c>
      <c r="AQ20" s="84">
        <v>-171141.32370000007</v>
      </c>
    </row>
    <row r="21" spans="2:43" x14ac:dyDescent="0.25">
      <c r="B21" s="83" t="s">
        <v>356</v>
      </c>
      <c r="C21" s="85">
        <v>-0.14002929673065323</v>
      </c>
      <c r="AP21" s="83" t="s">
        <v>356</v>
      </c>
      <c r="AQ21" s="84">
        <v>15482888</v>
      </c>
    </row>
    <row r="22" spans="2:43" x14ac:dyDescent="0.25">
      <c r="B22" s="83" t="s">
        <v>246</v>
      </c>
      <c r="C22" s="85">
        <v>-2.2448591310040126E-2</v>
      </c>
      <c r="AP22" s="83" t="s">
        <v>246</v>
      </c>
      <c r="AQ22" s="84">
        <v>879957.48769999971</v>
      </c>
    </row>
    <row r="23" spans="2:43" x14ac:dyDescent="0.25">
      <c r="B23" s="83" t="s">
        <v>323</v>
      </c>
      <c r="C23" s="85">
        <v>1.2286626010342005E-2</v>
      </c>
      <c r="AP23" s="83" t="s">
        <v>323</v>
      </c>
      <c r="AQ23" s="84">
        <v>-265100.38200000004</v>
      </c>
    </row>
    <row r="24" spans="2:43" x14ac:dyDescent="0.25">
      <c r="B24" s="83" t="s">
        <v>115</v>
      </c>
      <c r="C24" s="85">
        <v>7.3740726028346994E-3</v>
      </c>
      <c r="AP24" s="83" t="s">
        <v>115</v>
      </c>
      <c r="AQ24" s="84">
        <v>-640655.21519999986</v>
      </c>
    </row>
    <row r="25" spans="2:43" x14ac:dyDescent="0.25">
      <c r="B25" s="83" t="s">
        <v>22</v>
      </c>
      <c r="C25" s="85">
        <v>4.1384361942212473E-3</v>
      </c>
      <c r="AP25" s="83" t="s">
        <v>22</v>
      </c>
      <c r="AQ25" s="84">
        <v>-74428.92680000003</v>
      </c>
    </row>
    <row r="26" spans="2:43" x14ac:dyDescent="0.25">
      <c r="B26" s="83" t="s">
        <v>167</v>
      </c>
      <c r="C26" s="85">
        <v>0.12717162189061945</v>
      </c>
      <c r="AP26" s="83" t="s">
        <v>167</v>
      </c>
      <c r="AQ26" s="84">
        <v>-1160698.6659999997</v>
      </c>
    </row>
    <row r="27" spans="2:43" x14ac:dyDescent="0.25">
      <c r="B27" s="83" t="s">
        <v>72</v>
      </c>
      <c r="C27" s="85">
        <v>-5.4049403510043441E-3</v>
      </c>
      <c r="AP27" s="83" t="s">
        <v>72</v>
      </c>
      <c r="AQ27" s="84">
        <v>62848.706900000005</v>
      </c>
    </row>
    <row r="28" spans="2:43" x14ac:dyDescent="0.25">
      <c r="B28" s="83" t="s">
        <v>17</v>
      </c>
      <c r="C28" s="85">
        <v>7.8544184265116109E-3</v>
      </c>
      <c r="AP28" s="83" t="s">
        <v>17</v>
      </c>
      <c r="AQ28" s="84">
        <v>44218.686999999984</v>
      </c>
    </row>
    <row r="29" spans="2:43" x14ac:dyDescent="0.25">
      <c r="B29" s="83" t="s">
        <v>80</v>
      </c>
      <c r="C29" s="85">
        <v>2.9834621275663293E-2</v>
      </c>
      <c r="AP29" s="83" t="s">
        <v>80</v>
      </c>
      <c r="AQ29" s="84">
        <v>-68181.307400000034</v>
      </c>
    </row>
    <row r="30" spans="2:43" x14ac:dyDescent="0.25">
      <c r="B30" s="83" t="s">
        <v>37</v>
      </c>
      <c r="C30" s="85">
        <v>1.6397421313560621E-2</v>
      </c>
      <c r="AP30" s="83" t="s">
        <v>37</v>
      </c>
      <c r="AQ30" s="84">
        <v>-1255381.4434000002</v>
      </c>
    </row>
    <row r="31" spans="2:43" x14ac:dyDescent="0.25">
      <c r="B31" s="83" t="s">
        <v>197</v>
      </c>
      <c r="C31" s="85">
        <v>1.5511226520681808E-2</v>
      </c>
      <c r="AP31" s="83" t="s">
        <v>197</v>
      </c>
      <c r="AQ31" s="84">
        <v>-420916.65729999996</v>
      </c>
    </row>
    <row r="32" spans="2:43" x14ac:dyDescent="0.25">
      <c r="B32" s="83" t="s">
        <v>204</v>
      </c>
      <c r="C32" s="85">
        <v>1.3866513833283226E-2</v>
      </c>
      <c r="AP32" s="83" t="s">
        <v>204</v>
      </c>
      <c r="AQ32" s="84">
        <v>-617882.25640000007</v>
      </c>
    </row>
    <row r="33" spans="2:43" x14ac:dyDescent="0.25">
      <c r="B33" s="83" t="s">
        <v>318</v>
      </c>
      <c r="C33" s="85">
        <v>6.2431597281817301E-3</v>
      </c>
      <c r="AP33" s="83" t="s">
        <v>318</v>
      </c>
      <c r="AQ33" s="84">
        <v>-298630</v>
      </c>
    </row>
    <row r="34" spans="2:43" x14ac:dyDescent="0.25">
      <c r="B34" s="83" t="s">
        <v>30</v>
      </c>
      <c r="C34" s="85">
        <v>-1.2262277388070167E-2</v>
      </c>
      <c r="AP34" s="83" t="s">
        <v>30</v>
      </c>
      <c r="AQ34" s="84">
        <v>692376.5414999997</v>
      </c>
    </row>
    <row r="35" spans="2:43" x14ac:dyDescent="0.25">
      <c r="B35" s="83" t="s">
        <v>338</v>
      </c>
      <c r="C35" s="85">
        <v>0.33137977753578363</v>
      </c>
      <c r="AP35" s="83" t="s">
        <v>338</v>
      </c>
      <c r="AQ35" s="84">
        <v>-3845118</v>
      </c>
    </row>
    <row r="36" spans="2:43" x14ac:dyDescent="0.25">
      <c r="B36" s="83" t="s">
        <v>316</v>
      </c>
      <c r="C36" s="85">
        <v>3.2309441456826498E-4</v>
      </c>
      <c r="AP36" s="83" t="s">
        <v>316</v>
      </c>
      <c r="AQ36" s="84">
        <v>-10794</v>
      </c>
    </row>
    <row r="37" spans="2:43" x14ac:dyDescent="0.25">
      <c r="B37" s="83" t="s">
        <v>249</v>
      </c>
      <c r="C37" s="85">
        <v>-0.17591985563499604</v>
      </c>
      <c r="AP37" s="83" t="s">
        <v>249</v>
      </c>
      <c r="AQ37" s="84">
        <v>1362616.0930000001</v>
      </c>
    </row>
    <row r="38" spans="2:43" x14ac:dyDescent="0.25">
      <c r="B38" s="83" t="s">
        <v>297</v>
      </c>
      <c r="C38" s="85">
        <v>-1.2876467542579101E-2</v>
      </c>
      <c r="AP38" s="83" t="s">
        <v>297</v>
      </c>
      <c r="AQ38" s="84">
        <v>372424</v>
      </c>
    </row>
    <row r="39" spans="2:43" x14ac:dyDescent="0.25">
      <c r="B39" s="83" t="s">
        <v>289</v>
      </c>
      <c r="C39" s="85">
        <v>0.18276923272975132</v>
      </c>
      <c r="AP39" s="83" t="s">
        <v>289</v>
      </c>
      <c r="AQ39" s="84">
        <v>-867131</v>
      </c>
    </row>
    <row r="40" spans="2:43" x14ac:dyDescent="0.25">
      <c r="B40" s="83" t="s">
        <v>287</v>
      </c>
      <c r="C40" s="85">
        <v>8.9508115976797781E-2</v>
      </c>
      <c r="AP40" s="83" t="s">
        <v>287</v>
      </c>
      <c r="AQ40" s="84">
        <v>-1479898</v>
      </c>
    </row>
    <row r="41" spans="2:43" x14ac:dyDescent="0.25">
      <c r="B41" s="83" t="s">
        <v>420</v>
      </c>
      <c r="C41" s="85">
        <v>7.4773403519379803E-3</v>
      </c>
      <c r="AP41" s="83" t="s">
        <v>420</v>
      </c>
      <c r="AQ41" s="84">
        <v>8735605.4357000031</v>
      </c>
    </row>
    <row r="47" spans="2:43" hidden="1" x14ac:dyDescent="0.25"/>
    <row r="48" spans="2:43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J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1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34.42578125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36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36" x14ac:dyDescent="0.25">
      <c r="B8" s="8" t="s">
        <v>419</v>
      </c>
      <c r="C8" t="s">
        <v>444</v>
      </c>
      <c r="AI8" s="8" t="s">
        <v>419</v>
      </c>
      <c r="AJ8" t="s">
        <v>789</v>
      </c>
    </row>
    <row r="9" spans="2:36" x14ac:dyDescent="0.25">
      <c r="B9" s="9" t="s">
        <v>278</v>
      </c>
      <c r="C9" s="25">
        <v>14475950</v>
      </c>
      <c r="AI9" s="9" t="s">
        <v>278</v>
      </c>
      <c r="AJ9" s="36">
        <v>7017</v>
      </c>
    </row>
    <row r="10" spans="2:36" x14ac:dyDescent="0.25">
      <c r="B10" s="9" t="s">
        <v>279</v>
      </c>
      <c r="C10" s="25">
        <v>10626434</v>
      </c>
      <c r="AI10" s="9" t="s">
        <v>279</v>
      </c>
      <c r="AJ10" s="36">
        <v>2922</v>
      </c>
    </row>
    <row r="11" spans="2:36" x14ac:dyDescent="0.25">
      <c r="B11" s="9" t="s">
        <v>39</v>
      </c>
      <c r="C11" s="25">
        <v>10474240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39</v>
      </c>
      <c r="AJ11" s="36">
        <v>2266</v>
      </c>
    </row>
    <row r="12" spans="2:36" x14ac:dyDescent="0.25">
      <c r="B12" s="9" t="s">
        <v>83</v>
      </c>
      <c r="C12" s="25">
        <v>2059387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83</v>
      </c>
      <c r="AJ12" s="36">
        <v>56</v>
      </c>
    </row>
    <row r="13" spans="2:36" x14ac:dyDescent="0.25">
      <c r="B13" s="9" t="s">
        <v>40</v>
      </c>
      <c r="C13" s="25">
        <v>36177719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40</v>
      </c>
      <c r="AJ13" s="36">
        <v>926</v>
      </c>
    </row>
    <row r="14" spans="2:36" x14ac:dyDescent="0.25">
      <c r="B14" s="9" t="s">
        <v>41</v>
      </c>
      <c r="C14" s="25">
        <v>53852106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41</v>
      </c>
      <c r="AJ14" s="36">
        <v>620</v>
      </c>
    </row>
    <row r="15" spans="2:36" x14ac:dyDescent="0.25">
      <c r="B15" s="9" t="s">
        <v>337</v>
      </c>
      <c r="C15" s="25">
        <v>4877286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337</v>
      </c>
      <c r="AJ15" s="36">
        <v>94</v>
      </c>
    </row>
    <row r="16" spans="2:36" x14ac:dyDescent="0.25">
      <c r="B16" s="9" t="s">
        <v>256</v>
      </c>
      <c r="C16" s="25">
        <v>10471329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256</v>
      </c>
      <c r="AJ16" s="36">
        <v>68</v>
      </c>
    </row>
    <row r="17" spans="2:36" x14ac:dyDescent="0.25">
      <c r="B17" s="9" t="s">
        <v>247</v>
      </c>
      <c r="C17" s="25">
        <v>13839790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247</v>
      </c>
      <c r="AJ17" s="36">
        <v>1004</v>
      </c>
    </row>
    <row r="18" spans="2:36" x14ac:dyDescent="0.25">
      <c r="B18" s="9" t="s">
        <v>126</v>
      </c>
      <c r="C18" s="25">
        <v>40233792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126</v>
      </c>
      <c r="AJ18" s="36">
        <v>2922</v>
      </c>
    </row>
    <row r="19" spans="2:36" x14ac:dyDescent="0.25">
      <c r="B19" s="9" t="s">
        <v>356</v>
      </c>
      <c r="C19" s="25">
        <v>86254216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356</v>
      </c>
      <c r="AJ19" s="36">
        <v>17808</v>
      </c>
    </row>
    <row r="20" spans="2:36" x14ac:dyDescent="0.25">
      <c r="B20" s="9" t="s">
        <v>246</v>
      </c>
      <c r="C20" s="25">
        <v>53232521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246</v>
      </c>
      <c r="AJ20" s="36">
        <v>10561</v>
      </c>
    </row>
    <row r="21" spans="2:36" x14ac:dyDescent="0.25">
      <c r="B21" s="9" t="s">
        <v>323</v>
      </c>
      <c r="C21" s="25">
        <v>22944301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323</v>
      </c>
      <c r="AJ21" s="36">
        <v>3444</v>
      </c>
    </row>
    <row r="22" spans="2:36" x14ac:dyDescent="0.25">
      <c r="B22" s="9" t="s">
        <v>115</v>
      </c>
      <c r="C22" s="25">
        <v>49768122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115</v>
      </c>
      <c r="AJ22" s="36">
        <v>4837</v>
      </c>
    </row>
    <row r="23" spans="2:36" x14ac:dyDescent="0.25">
      <c r="B23" s="9" t="s">
        <v>22</v>
      </c>
      <c r="C23" s="25">
        <v>13713845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22</v>
      </c>
      <c r="AJ23" s="36">
        <v>888</v>
      </c>
    </row>
    <row r="24" spans="2:36" x14ac:dyDescent="0.25">
      <c r="B24" s="9" t="s">
        <v>167</v>
      </c>
      <c r="C24" s="25">
        <v>10666609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167</v>
      </c>
      <c r="AJ24" s="36">
        <v>800</v>
      </c>
    </row>
    <row r="25" spans="2:36" x14ac:dyDescent="0.25">
      <c r="B25" s="9" t="s">
        <v>72</v>
      </c>
      <c r="C25" s="25">
        <v>10231413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72</v>
      </c>
      <c r="AJ25" s="36">
        <v>449</v>
      </c>
    </row>
    <row r="26" spans="2:36" x14ac:dyDescent="0.25">
      <c r="B26" s="9" t="s">
        <v>17</v>
      </c>
      <c r="C26" s="25">
        <v>50378048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17</v>
      </c>
      <c r="AJ26" s="36">
        <v>5221</v>
      </c>
    </row>
    <row r="27" spans="2:36" x14ac:dyDescent="0.25">
      <c r="B27" s="9" t="s">
        <v>80</v>
      </c>
      <c r="C27" s="25">
        <v>14808508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80</v>
      </c>
      <c r="AJ27" s="36">
        <v>1288</v>
      </c>
    </row>
    <row r="28" spans="2:36" x14ac:dyDescent="0.25">
      <c r="B28" s="9" t="s">
        <v>37</v>
      </c>
      <c r="C28" s="25">
        <v>75681896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37</v>
      </c>
      <c r="AJ28" s="36">
        <v>3503</v>
      </c>
    </row>
    <row r="29" spans="2:36" x14ac:dyDescent="0.25">
      <c r="B29" s="9" t="s">
        <v>197</v>
      </c>
      <c r="C29" s="25">
        <v>24250403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197</v>
      </c>
      <c r="AJ29" s="36">
        <v>1076</v>
      </c>
    </row>
    <row r="30" spans="2:36" x14ac:dyDescent="0.25">
      <c r="B30" s="9" t="s">
        <v>204</v>
      </c>
      <c r="C30" s="25">
        <v>47460028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204</v>
      </c>
      <c r="AJ30" s="36">
        <v>2924</v>
      </c>
    </row>
    <row r="31" spans="2:36" x14ac:dyDescent="0.25">
      <c r="B31" s="9" t="s">
        <v>318</v>
      </c>
      <c r="C31" s="25">
        <v>39851110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318</v>
      </c>
      <c r="AJ31" s="36">
        <v>2640</v>
      </c>
    </row>
    <row r="32" spans="2:36" x14ac:dyDescent="0.25">
      <c r="B32" s="9" t="s">
        <v>30</v>
      </c>
      <c r="C32" s="25">
        <v>31624546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30</v>
      </c>
      <c r="AJ32" s="36">
        <v>68298</v>
      </c>
    </row>
    <row r="33" spans="2:36" x14ac:dyDescent="0.25">
      <c r="B33" s="9" t="s">
        <v>338</v>
      </c>
      <c r="C33" s="25">
        <v>14952685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338</v>
      </c>
      <c r="AJ33" s="36">
        <v>373</v>
      </c>
    </row>
    <row r="34" spans="2:36" x14ac:dyDescent="0.25">
      <c r="B34" s="9" t="s">
        <v>316</v>
      </c>
      <c r="C34" s="25">
        <v>15495874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316</v>
      </c>
      <c r="AJ34" s="36">
        <v>520</v>
      </c>
    </row>
    <row r="35" spans="2:36" x14ac:dyDescent="0.25">
      <c r="B35" s="9" t="s">
        <v>249</v>
      </c>
      <c r="C35" s="25">
        <v>5843293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249</v>
      </c>
      <c r="AJ35" s="36">
        <v>3439</v>
      </c>
    </row>
    <row r="36" spans="2:36" x14ac:dyDescent="0.25">
      <c r="B36" s="9" t="s">
        <v>297</v>
      </c>
      <c r="C36" s="25">
        <v>28603076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297</v>
      </c>
      <c r="AJ36" s="36">
        <v>141</v>
      </c>
    </row>
    <row r="37" spans="2:36" x14ac:dyDescent="0.25">
      <c r="B37" s="9" t="s">
        <v>289</v>
      </c>
      <c r="C37" s="25">
        <v>5624894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289</v>
      </c>
      <c r="AJ37" s="36">
        <v>47</v>
      </c>
    </row>
    <row r="38" spans="2:36" x14ac:dyDescent="0.25">
      <c r="B38" s="9" t="s">
        <v>287</v>
      </c>
      <c r="C38" s="25">
        <v>17936431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287</v>
      </c>
      <c r="AJ38" s="36">
        <v>47</v>
      </c>
    </row>
    <row r="39" spans="2:36" x14ac:dyDescent="0.25">
      <c r="B39" s="9" t="s">
        <v>420</v>
      </c>
      <c r="C39" s="25">
        <v>816409852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420</v>
      </c>
      <c r="AJ39" s="36">
        <v>146199</v>
      </c>
    </row>
    <row r="40" spans="2:36" x14ac:dyDescent="0.25"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</row>
    <row r="41" spans="2:36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36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36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F705"/>
  <sheetViews>
    <sheetView workbookViewId="0"/>
  </sheetViews>
  <sheetFormatPr baseColWidth="10" defaultColWidth="9.140625" defaultRowHeight="15" x14ac:dyDescent="0.25"/>
  <sheetData>
    <row r="1" spans="1:6" x14ac:dyDescent="0.25">
      <c r="A1" t="s">
        <v>819</v>
      </c>
      <c r="B1" t="s">
        <v>2029</v>
      </c>
      <c r="C1" t="s">
        <v>2030</v>
      </c>
      <c r="D1" t="s">
        <v>2031</v>
      </c>
      <c r="E1" t="s">
        <v>2032</v>
      </c>
      <c r="F1" t="s">
        <v>2033</v>
      </c>
    </row>
    <row r="2" spans="1:6" x14ac:dyDescent="0.25">
      <c r="A2" t="s">
        <v>829</v>
      </c>
      <c r="B2">
        <v>2282600001</v>
      </c>
      <c r="C2" t="s">
        <v>753</v>
      </c>
      <c r="D2" t="s">
        <v>2034</v>
      </c>
      <c r="E2" t="s">
        <v>753</v>
      </c>
      <c r="F2" t="s">
        <v>2035</v>
      </c>
    </row>
    <row r="3" spans="1:6" x14ac:dyDescent="0.25">
      <c r="A3" t="s">
        <v>829</v>
      </c>
      <c r="B3">
        <v>2302600002</v>
      </c>
      <c r="C3" t="s">
        <v>753</v>
      </c>
      <c r="D3" t="s">
        <v>2036</v>
      </c>
      <c r="E3" t="s">
        <v>753</v>
      </c>
      <c r="F3" t="s">
        <v>2037</v>
      </c>
    </row>
    <row r="4" spans="1:6" x14ac:dyDescent="0.25">
      <c r="A4" t="s">
        <v>829</v>
      </c>
      <c r="B4">
        <v>2302600003</v>
      </c>
      <c r="C4" t="s">
        <v>753</v>
      </c>
      <c r="D4" t="s">
        <v>2038</v>
      </c>
      <c r="E4" t="s">
        <v>753</v>
      </c>
      <c r="F4" t="s">
        <v>2035</v>
      </c>
    </row>
    <row r="5" spans="1:6" x14ac:dyDescent="0.25">
      <c r="A5" t="s">
        <v>829</v>
      </c>
      <c r="B5">
        <v>2282600004</v>
      </c>
      <c r="C5" t="s">
        <v>753</v>
      </c>
      <c r="D5" t="s">
        <v>2039</v>
      </c>
      <c r="E5" t="s">
        <v>753</v>
      </c>
      <c r="F5" t="s">
        <v>2040</v>
      </c>
    </row>
    <row r="6" spans="1:6" x14ac:dyDescent="0.25">
      <c r="A6" t="s">
        <v>829</v>
      </c>
      <c r="B6">
        <v>2282600005</v>
      </c>
      <c r="C6" t="s">
        <v>753</v>
      </c>
      <c r="D6" t="s">
        <v>2041</v>
      </c>
      <c r="E6" t="s">
        <v>753</v>
      </c>
      <c r="F6" t="s">
        <v>2040</v>
      </c>
    </row>
    <row r="7" spans="1:6" x14ac:dyDescent="0.25">
      <c r="A7" t="s">
        <v>829</v>
      </c>
      <c r="B7">
        <v>2302600006</v>
      </c>
      <c r="C7" t="s">
        <v>753</v>
      </c>
      <c r="D7" t="s">
        <v>2042</v>
      </c>
      <c r="E7" t="s">
        <v>753</v>
      </c>
      <c r="F7" t="s">
        <v>2043</v>
      </c>
    </row>
    <row r="8" spans="1:6" x14ac:dyDescent="0.25">
      <c r="A8" t="s">
        <v>829</v>
      </c>
      <c r="B8">
        <v>2302600007</v>
      </c>
      <c r="C8" t="s">
        <v>753</v>
      </c>
      <c r="D8" t="s">
        <v>2042</v>
      </c>
      <c r="E8" t="s">
        <v>753</v>
      </c>
      <c r="F8" t="s">
        <v>2035</v>
      </c>
    </row>
    <row r="9" spans="1:6" x14ac:dyDescent="0.25">
      <c r="A9" t="s">
        <v>829</v>
      </c>
      <c r="B9">
        <v>2282600008</v>
      </c>
      <c r="C9" t="s">
        <v>753</v>
      </c>
      <c r="D9" t="s">
        <v>2044</v>
      </c>
      <c r="E9" t="s">
        <v>753</v>
      </c>
      <c r="F9" t="s">
        <v>2045</v>
      </c>
    </row>
    <row r="10" spans="1:6" x14ac:dyDescent="0.25">
      <c r="A10" t="s">
        <v>829</v>
      </c>
      <c r="B10">
        <v>2282600009</v>
      </c>
      <c r="C10" t="s">
        <v>753</v>
      </c>
      <c r="D10" t="s">
        <v>2046</v>
      </c>
      <c r="E10" t="s">
        <v>753</v>
      </c>
      <c r="F10" t="s">
        <v>2047</v>
      </c>
    </row>
    <row r="11" spans="1:6" x14ac:dyDescent="0.25">
      <c r="A11" t="s">
        <v>829</v>
      </c>
      <c r="B11">
        <v>2302600010</v>
      </c>
      <c r="C11" t="s">
        <v>753</v>
      </c>
      <c r="D11" t="s">
        <v>2046</v>
      </c>
      <c r="E11" t="s">
        <v>753</v>
      </c>
      <c r="F11" t="s">
        <v>2048</v>
      </c>
    </row>
    <row r="12" spans="1:6" x14ac:dyDescent="0.25">
      <c r="A12" t="s">
        <v>829</v>
      </c>
      <c r="B12">
        <v>2302600011</v>
      </c>
      <c r="C12" t="s">
        <v>753</v>
      </c>
      <c r="D12" t="s">
        <v>2047</v>
      </c>
      <c r="E12" t="s">
        <v>753</v>
      </c>
      <c r="F12" t="s">
        <v>2049</v>
      </c>
    </row>
    <row r="13" spans="1:6" x14ac:dyDescent="0.25">
      <c r="A13" t="s">
        <v>829</v>
      </c>
      <c r="B13">
        <v>2282600012</v>
      </c>
      <c r="C13" t="s">
        <v>753</v>
      </c>
      <c r="D13" t="s">
        <v>2050</v>
      </c>
      <c r="E13" t="s">
        <v>753</v>
      </c>
      <c r="F13" t="s">
        <v>2051</v>
      </c>
    </row>
    <row r="14" spans="1:6" x14ac:dyDescent="0.25">
      <c r="A14" t="s">
        <v>829</v>
      </c>
      <c r="B14">
        <v>2282600013</v>
      </c>
      <c r="C14" t="s">
        <v>753</v>
      </c>
      <c r="D14" t="s">
        <v>2050</v>
      </c>
      <c r="E14" t="s">
        <v>753</v>
      </c>
      <c r="F14" t="s">
        <v>2035</v>
      </c>
    </row>
    <row r="15" spans="1:6" x14ac:dyDescent="0.25">
      <c r="A15" t="s">
        <v>829</v>
      </c>
      <c r="B15">
        <v>2302600014</v>
      </c>
      <c r="C15" t="s">
        <v>753</v>
      </c>
      <c r="D15" t="s">
        <v>2047</v>
      </c>
      <c r="E15" t="s">
        <v>753</v>
      </c>
      <c r="F15" t="s">
        <v>2052</v>
      </c>
    </row>
    <row r="16" spans="1:6" x14ac:dyDescent="0.25">
      <c r="A16" t="s">
        <v>829</v>
      </c>
      <c r="B16">
        <v>2302600015</v>
      </c>
      <c r="C16" t="s">
        <v>753</v>
      </c>
      <c r="D16" t="s">
        <v>2053</v>
      </c>
      <c r="E16" t="s">
        <v>753</v>
      </c>
      <c r="F16" t="s">
        <v>2054</v>
      </c>
    </row>
    <row r="17" spans="1:6" x14ac:dyDescent="0.25">
      <c r="A17" t="s">
        <v>829</v>
      </c>
      <c r="B17">
        <v>2282600016</v>
      </c>
      <c r="C17" t="s">
        <v>753</v>
      </c>
      <c r="D17" t="s">
        <v>2055</v>
      </c>
      <c r="E17" t="s">
        <v>753</v>
      </c>
      <c r="F17" t="s">
        <v>2044</v>
      </c>
    </row>
    <row r="18" spans="1:6" x14ac:dyDescent="0.25">
      <c r="A18" t="s">
        <v>829</v>
      </c>
      <c r="B18">
        <v>2282600017</v>
      </c>
      <c r="C18" t="s">
        <v>753</v>
      </c>
      <c r="D18" t="s">
        <v>2056</v>
      </c>
      <c r="E18" t="s">
        <v>753</v>
      </c>
      <c r="F18" t="s">
        <v>2051</v>
      </c>
    </row>
    <row r="19" spans="1:6" x14ac:dyDescent="0.25">
      <c r="A19" t="s">
        <v>829</v>
      </c>
      <c r="B19">
        <v>2302600018</v>
      </c>
      <c r="C19" t="s">
        <v>753</v>
      </c>
      <c r="D19" t="s">
        <v>2049</v>
      </c>
      <c r="E19" t="s">
        <v>753</v>
      </c>
      <c r="F19" t="s">
        <v>2057</v>
      </c>
    </row>
    <row r="20" spans="1:6" x14ac:dyDescent="0.25">
      <c r="A20" t="s">
        <v>829</v>
      </c>
      <c r="B20">
        <v>2302600019</v>
      </c>
      <c r="C20" t="s">
        <v>753</v>
      </c>
      <c r="D20" t="s">
        <v>2051</v>
      </c>
      <c r="E20" t="s">
        <v>753</v>
      </c>
      <c r="F20" t="s">
        <v>2042</v>
      </c>
    </row>
    <row r="21" spans="1:6" x14ac:dyDescent="0.25">
      <c r="A21" t="s">
        <v>829</v>
      </c>
      <c r="B21">
        <v>2282600020</v>
      </c>
      <c r="C21" t="s">
        <v>753</v>
      </c>
      <c r="D21" t="s">
        <v>2058</v>
      </c>
      <c r="E21" t="s">
        <v>753</v>
      </c>
      <c r="F21" t="s">
        <v>2059</v>
      </c>
    </row>
    <row r="22" spans="1:6" x14ac:dyDescent="0.25">
      <c r="A22" t="s">
        <v>829</v>
      </c>
      <c r="B22">
        <v>2282600021</v>
      </c>
      <c r="C22" t="s">
        <v>753</v>
      </c>
      <c r="D22" t="s">
        <v>2060</v>
      </c>
      <c r="E22" t="s">
        <v>753</v>
      </c>
      <c r="F22" t="s">
        <v>2061</v>
      </c>
    </row>
    <row r="23" spans="1:6" x14ac:dyDescent="0.25">
      <c r="A23" t="s">
        <v>829</v>
      </c>
      <c r="B23">
        <v>2302600022</v>
      </c>
      <c r="C23" t="s">
        <v>753</v>
      </c>
      <c r="D23" t="s">
        <v>2062</v>
      </c>
      <c r="E23" t="s">
        <v>753</v>
      </c>
      <c r="F23" t="s">
        <v>2040</v>
      </c>
    </row>
    <row r="24" spans="1:6" x14ac:dyDescent="0.25">
      <c r="A24" t="s">
        <v>829</v>
      </c>
      <c r="B24">
        <v>2302600023</v>
      </c>
      <c r="C24" t="s">
        <v>753</v>
      </c>
      <c r="D24" t="s">
        <v>2039</v>
      </c>
      <c r="E24" t="s">
        <v>753</v>
      </c>
      <c r="F24" t="s">
        <v>2042</v>
      </c>
    </row>
    <row r="25" spans="1:6" x14ac:dyDescent="0.25">
      <c r="A25" t="s">
        <v>829</v>
      </c>
      <c r="B25">
        <v>2282600024</v>
      </c>
      <c r="C25" t="s">
        <v>753</v>
      </c>
      <c r="D25" t="s">
        <v>2054</v>
      </c>
      <c r="E25" t="s">
        <v>753</v>
      </c>
      <c r="F25" t="s">
        <v>2042</v>
      </c>
    </row>
    <row r="26" spans="1:6" x14ac:dyDescent="0.25">
      <c r="A26" t="s">
        <v>829</v>
      </c>
      <c r="B26">
        <v>2282600025</v>
      </c>
      <c r="C26" t="s">
        <v>753</v>
      </c>
      <c r="D26" t="s">
        <v>2057</v>
      </c>
      <c r="E26" t="s">
        <v>753</v>
      </c>
      <c r="F26" t="s">
        <v>2063</v>
      </c>
    </row>
    <row r="27" spans="1:6" x14ac:dyDescent="0.25">
      <c r="A27" t="s">
        <v>829</v>
      </c>
      <c r="B27">
        <v>2302600026</v>
      </c>
      <c r="C27" t="s">
        <v>753</v>
      </c>
      <c r="D27" t="s">
        <v>2064</v>
      </c>
      <c r="E27" t="s">
        <v>753</v>
      </c>
      <c r="F27" t="s">
        <v>2065</v>
      </c>
    </row>
    <row r="28" spans="1:6" x14ac:dyDescent="0.25">
      <c r="A28" t="s">
        <v>829</v>
      </c>
      <c r="B28">
        <v>2302600027</v>
      </c>
      <c r="C28" t="s">
        <v>753</v>
      </c>
      <c r="D28" t="s">
        <v>2066</v>
      </c>
      <c r="E28" t="s">
        <v>753</v>
      </c>
      <c r="F28" t="s">
        <v>2063</v>
      </c>
    </row>
    <row r="29" spans="1:6" x14ac:dyDescent="0.25">
      <c r="A29" t="s">
        <v>829</v>
      </c>
      <c r="B29">
        <v>2282600028</v>
      </c>
      <c r="C29" t="s">
        <v>753</v>
      </c>
      <c r="D29" t="s">
        <v>2057</v>
      </c>
      <c r="E29" t="s">
        <v>753</v>
      </c>
      <c r="F29" t="s">
        <v>2043</v>
      </c>
    </row>
    <row r="30" spans="1:6" x14ac:dyDescent="0.25">
      <c r="A30" t="s">
        <v>829</v>
      </c>
      <c r="B30">
        <v>2282600029</v>
      </c>
      <c r="C30" t="s">
        <v>753</v>
      </c>
      <c r="D30" t="s">
        <v>2066</v>
      </c>
      <c r="E30" t="s">
        <v>753</v>
      </c>
      <c r="F30" t="s">
        <v>2043</v>
      </c>
    </row>
    <row r="31" spans="1:6" x14ac:dyDescent="0.25">
      <c r="A31" t="s">
        <v>829</v>
      </c>
      <c r="B31">
        <v>2302600030</v>
      </c>
      <c r="C31" t="s">
        <v>753</v>
      </c>
      <c r="D31" t="s">
        <v>2067</v>
      </c>
      <c r="E31" t="s">
        <v>753</v>
      </c>
      <c r="F31" t="s">
        <v>2037</v>
      </c>
    </row>
    <row r="32" spans="1:6" x14ac:dyDescent="0.25">
      <c r="A32" t="s">
        <v>829</v>
      </c>
      <c r="B32">
        <v>2302600031</v>
      </c>
      <c r="C32" t="s">
        <v>753</v>
      </c>
      <c r="D32" t="s">
        <v>2052</v>
      </c>
      <c r="E32" t="s">
        <v>753</v>
      </c>
      <c r="F32" t="s">
        <v>2068</v>
      </c>
    </row>
    <row r="33" spans="1:6" x14ac:dyDescent="0.25">
      <c r="A33" t="s">
        <v>829</v>
      </c>
      <c r="B33">
        <v>2282600032</v>
      </c>
      <c r="C33" t="s">
        <v>753</v>
      </c>
      <c r="D33" t="s">
        <v>2066</v>
      </c>
      <c r="E33" t="s">
        <v>753</v>
      </c>
      <c r="F33" t="s">
        <v>2069</v>
      </c>
    </row>
    <row r="34" spans="1:6" x14ac:dyDescent="0.25">
      <c r="A34" t="s">
        <v>854</v>
      </c>
      <c r="B34">
        <v>2282600033</v>
      </c>
      <c r="C34" t="s">
        <v>753</v>
      </c>
      <c r="D34" t="s">
        <v>2035</v>
      </c>
      <c r="E34" t="s">
        <v>753</v>
      </c>
      <c r="F34" t="s">
        <v>2070</v>
      </c>
    </row>
    <row r="35" spans="1:6" x14ac:dyDescent="0.25">
      <c r="A35" t="s">
        <v>854</v>
      </c>
      <c r="B35">
        <v>2302600034</v>
      </c>
      <c r="C35" t="s">
        <v>753</v>
      </c>
      <c r="D35" t="s">
        <v>2040</v>
      </c>
      <c r="E35" t="s">
        <v>753</v>
      </c>
      <c r="F35" t="s">
        <v>2068</v>
      </c>
    </row>
    <row r="36" spans="1:6" x14ac:dyDescent="0.25">
      <c r="A36" t="s">
        <v>854</v>
      </c>
      <c r="B36">
        <v>2302600035</v>
      </c>
      <c r="C36" t="s">
        <v>753</v>
      </c>
      <c r="D36" t="s">
        <v>2071</v>
      </c>
      <c r="E36" t="s">
        <v>753</v>
      </c>
      <c r="F36" t="s">
        <v>2072</v>
      </c>
    </row>
    <row r="37" spans="1:6" x14ac:dyDescent="0.25">
      <c r="A37" t="s">
        <v>854</v>
      </c>
      <c r="B37">
        <v>2282600036</v>
      </c>
      <c r="C37" t="s">
        <v>753</v>
      </c>
      <c r="D37" t="s">
        <v>2071</v>
      </c>
      <c r="E37" t="s">
        <v>753</v>
      </c>
      <c r="F37" t="s">
        <v>2073</v>
      </c>
    </row>
    <row r="38" spans="1:6" x14ac:dyDescent="0.25">
      <c r="A38" t="s">
        <v>854</v>
      </c>
      <c r="B38">
        <v>2282600037</v>
      </c>
      <c r="C38" t="s">
        <v>753</v>
      </c>
      <c r="D38" t="s">
        <v>2065</v>
      </c>
      <c r="E38" t="s">
        <v>753</v>
      </c>
      <c r="F38" t="s">
        <v>2074</v>
      </c>
    </row>
    <row r="39" spans="1:6" x14ac:dyDescent="0.25">
      <c r="A39" t="s">
        <v>854</v>
      </c>
      <c r="B39">
        <v>2302600038</v>
      </c>
      <c r="C39" t="s">
        <v>753</v>
      </c>
      <c r="D39" t="s">
        <v>2065</v>
      </c>
      <c r="E39" t="s">
        <v>753</v>
      </c>
      <c r="F39" t="s">
        <v>2074</v>
      </c>
    </row>
    <row r="40" spans="1:6" x14ac:dyDescent="0.25">
      <c r="A40" t="s">
        <v>854</v>
      </c>
      <c r="B40">
        <v>2302600039</v>
      </c>
      <c r="C40" t="s">
        <v>753</v>
      </c>
      <c r="D40" t="s">
        <v>2040</v>
      </c>
      <c r="E40" t="s">
        <v>753</v>
      </c>
      <c r="F40" t="s">
        <v>2075</v>
      </c>
    </row>
    <row r="41" spans="1:6" x14ac:dyDescent="0.25">
      <c r="A41" t="s">
        <v>854</v>
      </c>
      <c r="B41">
        <v>2282600040</v>
      </c>
      <c r="C41" t="s">
        <v>753</v>
      </c>
      <c r="D41" t="s">
        <v>2040</v>
      </c>
      <c r="E41" t="s">
        <v>753</v>
      </c>
      <c r="F41" t="s">
        <v>2075</v>
      </c>
    </row>
    <row r="42" spans="1:6" x14ac:dyDescent="0.25">
      <c r="A42" t="s">
        <v>854</v>
      </c>
      <c r="B42">
        <v>2282600041</v>
      </c>
      <c r="C42" t="s">
        <v>753</v>
      </c>
      <c r="D42" t="s">
        <v>2076</v>
      </c>
      <c r="E42" t="s">
        <v>753</v>
      </c>
      <c r="F42" t="s">
        <v>2073</v>
      </c>
    </row>
    <row r="43" spans="1:6" x14ac:dyDescent="0.25">
      <c r="A43" t="s">
        <v>854</v>
      </c>
      <c r="B43">
        <v>2302600042</v>
      </c>
      <c r="C43" t="s">
        <v>753</v>
      </c>
      <c r="D43" t="s">
        <v>2077</v>
      </c>
      <c r="E43" t="s">
        <v>753</v>
      </c>
      <c r="F43" t="s">
        <v>2078</v>
      </c>
    </row>
    <row r="44" spans="1:6" x14ac:dyDescent="0.25">
      <c r="A44" t="s">
        <v>854</v>
      </c>
      <c r="B44">
        <v>2302600043</v>
      </c>
      <c r="C44" t="s">
        <v>753</v>
      </c>
      <c r="D44" t="s">
        <v>2037</v>
      </c>
      <c r="E44" t="s">
        <v>753</v>
      </c>
      <c r="F44" t="s">
        <v>2079</v>
      </c>
    </row>
    <row r="45" spans="1:6" x14ac:dyDescent="0.25">
      <c r="A45" t="s">
        <v>854</v>
      </c>
      <c r="B45">
        <v>2282600044</v>
      </c>
      <c r="C45" t="s">
        <v>753</v>
      </c>
      <c r="D45" t="s">
        <v>2037</v>
      </c>
      <c r="E45" t="s">
        <v>753</v>
      </c>
      <c r="F45" t="s">
        <v>2080</v>
      </c>
    </row>
    <row r="46" spans="1:6" x14ac:dyDescent="0.25">
      <c r="A46" t="s">
        <v>854</v>
      </c>
      <c r="B46">
        <v>2282600045</v>
      </c>
      <c r="C46" t="s">
        <v>753</v>
      </c>
      <c r="D46" t="s">
        <v>2081</v>
      </c>
      <c r="E46" t="s">
        <v>753</v>
      </c>
      <c r="F46" t="s">
        <v>2082</v>
      </c>
    </row>
    <row r="47" spans="1:6" x14ac:dyDescent="0.25">
      <c r="A47" t="s">
        <v>854</v>
      </c>
      <c r="B47">
        <v>2302600046</v>
      </c>
      <c r="C47" t="s">
        <v>753</v>
      </c>
      <c r="D47" t="s">
        <v>2043</v>
      </c>
      <c r="E47" t="s">
        <v>753</v>
      </c>
      <c r="F47" t="s">
        <v>2083</v>
      </c>
    </row>
    <row r="48" spans="1:6" x14ac:dyDescent="0.25">
      <c r="A48" t="s">
        <v>854</v>
      </c>
      <c r="B48">
        <v>2302600047</v>
      </c>
      <c r="C48" t="s">
        <v>753</v>
      </c>
      <c r="D48" t="s">
        <v>2037</v>
      </c>
      <c r="E48" t="s">
        <v>753</v>
      </c>
      <c r="F48" t="s">
        <v>2079</v>
      </c>
    </row>
    <row r="49" spans="1:6" x14ac:dyDescent="0.25">
      <c r="A49" t="s">
        <v>854</v>
      </c>
      <c r="B49">
        <v>2282600048</v>
      </c>
      <c r="C49" t="s">
        <v>753</v>
      </c>
      <c r="D49" t="s">
        <v>2043</v>
      </c>
      <c r="E49" t="s">
        <v>753</v>
      </c>
      <c r="F49" t="s">
        <v>2073</v>
      </c>
    </row>
    <row r="50" spans="1:6" x14ac:dyDescent="0.25">
      <c r="A50" t="s">
        <v>854</v>
      </c>
      <c r="B50">
        <v>2282600049</v>
      </c>
      <c r="C50" t="s">
        <v>753</v>
      </c>
      <c r="D50" t="s">
        <v>2068</v>
      </c>
      <c r="E50" t="s">
        <v>753</v>
      </c>
      <c r="F50" t="s">
        <v>2082</v>
      </c>
    </row>
    <row r="51" spans="1:6" x14ac:dyDescent="0.25">
      <c r="A51" t="s">
        <v>854</v>
      </c>
      <c r="B51">
        <v>2302600050</v>
      </c>
      <c r="C51" t="s">
        <v>753</v>
      </c>
      <c r="D51" t="s">
        <v>2045</v>
      </c>
      <c r="E51" t="s">
        <v>753</v>
      </c>
      <c r="F51" t="s">
        <v>2080</v>
      </c>
    </row>
    <row r="52" spans="1:6" x14ac:dyDescent="0.25">
      <c r="A52" t="s">
        <v>854</v>
      </c>
      <c r="B52">
        <v>2302600051</v>
      </c>
      <c r="C52" t="s">
        <v>753</v>
      </c>
      <c r="D52" t="s">
        <v>2084</v>
      </c>
      <c r="E52" t="s">
        <v>753</v>
      </c>
      <c r="F52" t="s">
        <v>2085</v>
      </c>
    </row>
    <row r="53" spans="1:6" x14ac:dyDescent="0.25">
      <c r="A53" t="s">
        <v>854</v>
      </c>
      <c r="B53">
        <v>2282600052</v>
      </c>
      <c r="C53" t="s">
        <v>753</v>
      </c>
      <c r="D53" t="s">
        <v>2068</v>
      </c>
      <c r="E53" t="s">
        <v>753</v>
      </c>
      <c r="F53" t="s">
        <v>2086</v>
      </c>
    </row>
    <row r="54" spans="1:6" x14ac:dyDescent="0.25">
      <c r="A54" t="s">
        <v>854</v>
      </c>
      <c r="B54">
        <v>2282600053</v>
      </c>
      <c r="C54" t="s">
        <v>753</v>
      </c>
      <c r="D54" t="s">
        <v>2087</v>
      </c>
      <c r="E54" t="s">
        <v>753</v>
      </c>
      <c r="F54" t="s">
        <v>2088</v>
      </c>
    </row>
    <row r="55" spans="1:6" x14ac:dyDescent="0.25">
      <c r="A55" t="s">
        <v>854</v>
      </c>
      <c r="B55">
        <v>2302600054</v>
      </c>
      <c r="C55" t="s">
        <v>753</v>
      </c>
      <c r="D55" t="s">
        <v>2074</v>
      </c>
      <c r="E55" t="s">
        <v>753</v>
      </c>
      <c r="F55" t="s">
        <v>2089</v>
      </c>
    </row>
    <row r="56" spans="1:6" x14ac:dyDescent="0.25">
      <c r="A56" t="s">
        <v>854</v>
      </c>
      <c r="B56">
        <v>2302600055</v>
      </c>
      <c r="C56" t="s">
        <v>753</v>
      </c>
      <c r="D56" t="s">
        <v>2045</v>
      </c>
      <c r="E56" t="s">
        <v>753</v>
      </c>
      <c r="F56" t="s">
        <v>2080</v>
      </c>
    </row>
    <row r="57" spans="1:6" x14ac:dyDescent="0.25">
      <c r="A57" t="s">
        <v>854</v>
      </c>
      <c r="B57">
        <v>2282600056</v>
      </c>
      <c r="C57" t="s">
        <v>753</v>
      </c>
      <c r="D57" t="s">
        <v>2068</v>
      </c>
      <c r="E57" t="s">
        <v>753</v>
      </c>
      <c r="F57" t="s">
        <v>2086</v>
      </c>
    </row>
    <row r="58" spans="1:6" x14ac:dyDescent="0.25">
      <c r="A58" t="s">
        <v>854</v>
      </c>
      <c r="B58">
        <v>2282600057</v>
      </c>
      <c r="C58" t="s">
        <v>753</v>
      </c>
      <c r="D58" t="s">
        <v>2079</v>
      </c>
      <c r="E58" t="s">
        <v>753</v>
      </c>
      <c r="F58" t="s">
        <v>2090</v>
      </c>
    </row>
    <row r="59" spans="1:6" x14ac:dyDescent="0.25">
      <c r="A59" t="s">
        <v>854</v>
      </c>
      <c r="B59">
        <v>2302600058</v>
      </c>
      <c r="C59" t="s">
        <v>753</v>
      </c>
      <c r="D59" t="s">
        <v>2091</v>
      </c>
      <c r="E59" t="s">
        <v>753</v>
      </c>
      <c r="F59" t="s">
        <v>2092</v>
      </c>
    </row>
    <row r="60" spans="1:6" x14ac:dyDescent="0.25">
      <c r="A60" t="s">
        <v>854</v>
      </c>
      <c r="B60">
        <v>2302600059</v>
      </c>
      <c r="C60" t="s">
        <v>753</v>
      </c>
      <c r="D60" t="s">
        <v>2083</v>
      </c>
      <c r="E60" t="s">
        <v>753</v>
      </c>
      <c r="F60" t="s">
        <v>2088</v>
      </c>
    </row>
    <row r="61" spans="1:6" x14ac:dyDescent="0.25">
      <c r="A61" t="s">
        <v>854</v>
      </c>
      <c r="B61">
        <v>2282600060</v>
      </c>
      <c r="C61" t="s">
        <v>753</v>
      </c>
      <c r="D61" t="s">
        <v>2082</v>
      </c>
      <c r="E61" t="s">
        <v>753</v>
      </c>
      <c r="F61" t="s">
        <v>2093</v>
      </c>
    </row>
    <row r="62" spans="1:6" x14ac:dyDescent="0.25">
      <c r="A62" t="s">
        <v>854</v>
      </c>
      <c r="B62">
        <v>2282600061</v>
      </c>
      <c r="C62" t="s">
        <v>753</v>
      </c>
      <c r="D62" t="s">
        <v>2086</v>
      </c>
      <c r="E62" t="s">
        <v>753</v>
      </c>
      <c r="F62" t="s">
        <v>2094</v>
      </c>
    </row>
    <row r="63" spans="1:6" x14ac:dyDescent="0.25">
      <c r="A63" t="s">
        <v>854</v>
      </c>
      <c r="B63">
        <v>2302600062</v>
      </c>
      <c r="C63" t="s">
        <v>753</v>
      </c>
      <c r="D63" t="s">
        <v>2082</v>
      </c>
      <c r="E63" t="s">
        <v>753</v>
      </c>
      <c r="F63" t="s">
        <v>2095</v>
      </c>
    </row>
    <row r="64" spans="1:6" x14ac:dyDescent="0.25">
      <c r="A64" t="s">
        <v>854</v>
      </c>
      <c r="B64">
        <v>2302600063</v>
      </c>
      <c r="C64" t="s">
        <v>753</v>
      </c>
      <c r="D64" t="s">
        <v>2091</v>
      </c>
      <c r="E64" t="s">
        <v>753</v>
      </c>
      <c r="F64" t="s">
        <v>2078</v>
      </c>
    </row>
    <row r="65" spans="1:6" x14ac:dyDescent="0.25">
      <c r="A65" t="s">
        <v>854</v>
      </c>
      <c r="B65">
        <v>2282600064</v>
      </c>
      <c r="C65" t="s">
        <v>753</v>
      </c>
      <c r="D65" t="s">
        <v>2082</v>
      </c>
      <c r="E65" t="s">
        <v>753</v>
      </c>
      <c r="F65" t="s">
        <v>2094</v>
      </c>
    </row>
    <row r="66" spans="1:6" x14ac:dyDescent="0.25">
      <c r="A66" t="s">
        <v>887</v>
      </c>
      <c r="B66">
        <v>2282600065</v>
      </c>
      <c r="C66" t="s">
        <v>753</v>
      </c>
      <c r="D66" t="s">
        <v>2080</v>
      </c>
      <c r="E66" t="s">
        <v>753</v>
      </c>
      <c r="F66" t="s">
        <v>2096</v>
      </c>
    </row>
    <row r="67" spans="1:6" x14ac:dyDescent="0.25">
      <c r="A67" t="s">
        <v>887</v>
      </c>
      <c r="B67">
        <v>2302600066</v>
      </c>
      <c r="C67" t="s">
        <v>753</v>
      </c>
      <c r="D67" t="s">
        <v>2085</v>
      </c>
      <c r="E67" t="s">
        <v>753</v>
      </c>
      <c r="F67" t="s">
        <v>2093</v>
      </c>
    </row>
    <row r="68" spans="1:6" x14ac:dyDescent="0.25">
      <c r="A68" t="s">
        <v>887</v>
      </c>
      <c r="B68">
        <v>2302600067</v>
      </c>
      <c r="C68" t="s">
        <v>753</v>
      </c>
      <c r="D68" t="s">
        <v>2089</v>
      </c>
      <c r="E68" t="s">
        <v>753</v>
      </c>
      <c r="F68" t="s">
        <v>2097</v>
      </c>
    </row>
    <row r="69" spans="1:6" x14ac:dyDescent="0.25">
      <c r="A69" t="s">
        <v>887</v>
      </c>
      <c r="B69">
        <v>2282600068</v>
      </c>
      <c r="C69" t="s">
        <v>753</v>
      </c>
      <c r="D69" t="s">
        <v>2088</v>
      </c>
      <c r="E69" t="s">
        <v>753</v>
      </c>
      <c r="F69" t="s">
        <v>2098</v>
      </c>
    </row>
    <row r="70" spans="1:6" x14ac:dyDescent="0.25">
      <c r="A70" t="s">
        <v>887</v>
      </c>
      <c r="B70">
        <v>2282600069</v>
      </c>
      <c r="C70" t="s">
        <v>753</v>
      </c>
      <c r="D70" t="s">
        <v>2088</v>
      </c>
      <c r="E70" t="s">
        <v>753</v>
      </c>
      <c r="F70" t="s">
        <v>2098</v>
      </c>
    </row>
    <row r="71" spans="1:6" x14ac:dyDescent="0.25">
      <c r="A71" t="s">
        <v>887</v>
      </c>
      <c r="B71">
        <v>2302600070</v>
      </c>
      <c r="C71" t="s">
        <v>753</v>
      </c>
      <c r="D71" t="s">
        <v>2089</v>
      </c>
      <c r="E71" t="s">
        <v>753</v>
      </c>
      <c r="F71" t="s">
        <v>2099</v>
      </c>
    </row>
    <row r="72" spans="1:6" x14ac:dyDescent="0.25">
      <c r="A72" t="s">
        <v>887</v>
      </c>
      <c r="B72">
        <v>2302600071</v>
      </c>
      <c r="C72" t="s">
        <v>753</v>
      </c>
      <c r="D72" t="s">
        <v>2088</v>
      </c>
      <c r="E72" t="s">
        <v>753</v>
      </c>
      <c r="F72" t="s">
        <v>2097</v>
      </c>
    </row>
    <row r="73" spans="1:6" x14ac:dyDescent="0.25">
      <c r="A73" t="s">
        <v>887</v>
      </c>
      <c r="B73">
        <v>2282600072</v>
      </c>
      <c r="C73" t="s">
        <v>753</v>
      </c>
      <c r="D73" t="s">
        <v>2085</v>
      </c>
      <c r="E73" t="s">
        <v>753</v>
      </c>
      <c r="F73" t="s">
        <v>2096</v>
      </c>
    </row>
    <row r="74" spans="1:6" x14ac:dyDescent="0.25">
      <c r="A74" t="s">
        <v>887</v>
      </c>
      <c r="B74">
        <v>2282600073</v>
      </c>
      <c r="C74" t="s">
        <v>753</v>
      </c>
      <c r="D74" t="s">
        <v>2095</v>
      </c>
      <c r="E74" t="s">
        <v>753</v>
      </c>
      <c r="F74" t="s">
        <v>2100</v>
      </c>
    </row>
    <row r="75" spans="1:6" x14ac:dyDescent="0.25">
      <c r="A75" t="s">
        <v>887</v>
      </c>
      <c r="B75">
        <v>2302600074</v>
      </c>
      <c r="C75" t="s">
        <v>753</v>
      </c>
      <c r="D75" t="s">
        <v>2090</v>
      </c>
      <c r="E75" t="s">
        <v>753</v>
      </c>
      <c r="F75" t="s">
        <v>2101</v>
      </c>
    </row>
    <row r="76" spans="1:6" x14ac:dyDescent="0.25">
      <c r="A76" t="s">
        <v>887</v>
      </c>
      <c r="B76">
        <v>2302600075</v>
      </c>
      <c r="C76" t="s">
        <v>753</v>
      </c>
      <c r="D76" t="s">
        <v>2092</v>
      </c>
      <c r="E76" t="s">
        <v>753</v>
      </c>
      <c r="F76" t="s">
        <v>2101</v>
      </c>
    </row>
    <row r="77" spans="1:6" x14ac:dyDescent="0.25">
      <c r="A77" t="s">
        <v>887</v>
      </c>
      <c r="B77">
        <v>2282600076</v>
      </c>
      <c r="C77" t="s">
        <v>753</v>
      </c>
      <c r="D77" t="s">
        <v>2093</v>
      </c>
      <c r="E77" t="s">
        <v>753</v>
      </c>
      <c r="F77" t="s">
        <v>2102</v>
      </c>
    </row>
    <row r="78" spans="1:6" x14ac:dyDescent="0.25">
      <c r="A78" t="s">
        <v>887</v>
      </c>
      <c r="B78">
        <v>2282600077</v>
      </c>
      <c r="C78" t="s">
        <v>753</v>
      </c>
      <c r="D78" t="s">
        <v>2096</v>
      </c>
      <c r="E78" t="s">
        <v>753</v>
      </c>
      <c r="F78" t="s">
        <v>2103</v>
      </c>
    </row>
    <row r="79" spans="1:6" x14ac:dyDescent="0.25">
      <c r="A79" t="s">
        <v>887</v>
      </c>
      <c r="B79">
        <v>2302600078</v>
      </c>
      <c r="C79" t="s">
        <v>753</v>
      </c>
      <c r="D79" t="s">
        <v>2089</v>
      </c>
      <c r="E79" t="s">
        <v>753</v>
      </c>
      <c r="F79" t="s">
        <v>2099</v>
      </c>
    </row>
    <row r="80" spans="1:6" x14ac:dyDescent="0.25">
      <c r="A80" t="s">
        <v>887</v>
      </c>
      <c r="B80">
        <v>2302600079</v>
      </c>
      <c r="C80" t="s">
        <v>753</v>
      </c>
      <c r="D80" t="s">
        <v>2094</v>
      </c>
      <c r="E80" t="s">
        <v>753</v>
      </c>
      <c r="F80" t="s">
        <v>2099</v>
      </c>
    </row>
    <row r="81" spans="1:6" x14ac:dyDescent="0.25">
      <c r="A81" t="s">
        <v>887</v>
      </c>
      <c r="B81">
        <v>2282600080</v>
      </c>
      <c r="C81" t="s">
        <v>753</v>
      </c>
      <c r="D81" t="s">
        <v>2096</v>
      </c>
      <c r="E81" t="s">
        <v>753</v>
      </c>
      <c r="F81" t="s">
        <v>2104</v>
      </c>
    </row>
    <row r="82" spans="1:6" x14ac:dyDescent="0.25">
      <c r="A82" t="s">
        <v>887</v>
      </c>
      <c r="B82">
        <v>2282600081</v>
      </c>
      <c r="C82" t="s">
        <v>753</v>
      </c>
      <c r="D82" t="s">
        <v>2098</v>
      </c>
      <c r="E82" t="s">
        <v>753</v>
      </c>
      <c r="F82" t="s">
        <v>2105</v>
      </c>
    </row>
    <row r="83" spans="1:6" x14ac:dyDescent="0.25">
      <c r="A83" t="s">
        <v>887</v>
      </c>
      <c r="B83">
        <v>2302600082</v>
      </c>
      <c r="C83" t="s">
        <v>753</v>
      </c>
      <c r="D83" t="s">
        <v>2098</v>
      </c>
      <c r="E83" t="s">
        <v>753</v>
      </c>
      <c r="F83" t="s">
        <v>2106</v>
      </c>
    </row>
    <row r="84" spans="1:6" x14ac:dyDescent="0.25">
      <c r="A84" t="s">
        <v>887</v>
      </c>
      <c r="B84">
        <v>2302600083</v>
      </c>
      <c r="C84" t="s">
        <v>753</v>
      </c>
      <c r="D84" t="s">
        <v>2097</v>
      </c>
      <c r="E84" t="s">
        <v>753</v>
      </c>
      <c r="F84" t="s">
        <v>2107</v>
      </c>
    </row>
    <row r="85" spans="1:6" x14ac:dyDescent="0.25">
      <c r="A85" t="s">
        <v>887</v>
      </c>
      <c r="B85">
        <v>2282600084</v>
      </c>
      <c r="C85" t="s">
        <v>753</v>
      </c>
      <c r="D85" t="s">
        <v>2098</v>
      </c>
      <c r="E85" t="s">
        <v>753</v>
      </c>
      <c r="F85" t="s">
        <v>2108</v>
      </c>
    </row>
    <row r="86" spans="1:6" x14ac:dyDescent="0.25">
      <c r="A86" t="s">
        <v>887</v>
      </c>
      <c r="B86">
        <v>2282600085</v>
      </c>
      <c r="C86" t="s">
        <v>753</v>
      </c>
      <c r="D86" t="s">
        <v>2098</v>
      </c>
      <c r="E86" t="s">
        <v>753</v>
      </c>
      <c r="F86" t="s">
        <v>2109</v>
      </c>
    </row>
    <row r="87" spans="1:6" x14ac:dyDescent="0.25">
      <c r="A87" t="s">
        <v>887</v>
      </c>
      <c r="B87">
        <v>2302600086</v>
      </c>
      <c r="C87" t="s">
        <v>753</v>
      </c>
      <c r="D87" t="s">
        <v>2099</v>
      </c>
      <c r="E87" t="s">
        <v>753</v>
      </c>
      <c r="F87" t="s">
        <v>2109</v>
      </c>
    </row>
    <row r="88" spans="1:6" x14ac:dyDescent="0.25">
      <c r="A88" t="s">
        <v>887</v>
      </c>
      <c r="B88">
        <v>2302600087</v>
      </c>
      <c r="C88" t="s">
        <v>753</v>
      </c>
      <c r="D88" t="s">
        <v>2098</v>
      </c>
      <c r="E88" t="s">
        <v>753</v>
      </c>
      <c r="F88" t="s">
        <v>2102</v>
      </c>
    </row>
    <row r="89" spans="1:6" x14ac:dyDescent="0.25">
      <c r="A89" t="s">
        <v>887</v>
      </c>
      <c r="B89">
        <v>2282600088</v>
      </c>
      <c r="C89" t="s">
        <v>753</v>
      </c>
      <c r="D89" t="s">
        <v>2098</v>
      </c>
      <c r="E89" t="s">
        <v>753</v>
      </c>
      <c r="F89" t="s">
        <v>2104</v>
      </c>
    </row>
    <row r="90" spans="1:6" x14ac:dyDescent="0.25">
      <c r="A90" t="s">
        <v>887</v>
      </c>
      <c r="B90">
        <v>2282600089</v>
      </c>
      <c r="C90" t="s">
        <v>753</v>
      </c>
      <c r="D90" t="s">
        <v>2104</v>
      </c>
      <c r="E90" t="s">
        <v>753</v>
      </c>
      <c r="F90" t="s">
        <v>2110</v>
      </c>
    </row>
    <row r="91" spans="1:6" x14ac:dyDescent="0.25">
      <c r="A91" t="s">
        <v>887</v>
      </c>
      <c r="B91">
        <v>2302600090</v>
      </c>
      <c r="C91" t="s">
        <v>753</v>
      </c>
      <c r="D91" t="s">
        <v>2099</v>
      </c>
      <c r="E91" t="s">
        <v>753</v>
      </c>
      <c r="F91" t="s">
        <v>2111</v>
      </c>
    </row>
    <row r="92" spans="1:6" x14ac:dyDescent="0.25">
      <c r="A92" t="s">
        <v>887</v>
      </c>
      <c r="B92">
        <v>2302600091</v>
      </c>
      <c r="C92" t="s">
        <v>753</v>
      </c>
      <c r="D92" t="s">
        <v>2100</v>
      </c>
      <c r="E92" t="s">
        <v>753</v>
      </c>
      <c r="F92" t="s">
        <v>2110</v>
      </c>
    </row>
    <row r="93" spans="1:6" x14ac:dyDescent="0.25">
      <c r="A93" t="s">
        <v>887</v>
      </c>
      <c r="B93">
        <v>2282600092</v>
      </c>
      <c r="C93" t="s">
        <v>753</v>
      </c>
      <c r="D93" t="s">
        <v>2105</v>
      </c>
      <c r="E93" t="s">
        <v>2112</v>
      </c>
      <c r="F93" t="s">
        <v>355</v>
      </c>
    </row>
    <row r="94" spans="1:6" x14ac:dyDescent="0.25">
      <c r="A94" t="s">
        <v>887</v>
      </c>
      <c r="B94">
        <v>2282600093</v>
      </c>
      <c r="C94" t="s">
        <v>753</v>
      </c>
      <c r="D94" t="s">
        <v>2105</v>
      </c>
      <c r="E94" t="s">
        <v>753</v>
      </c>
      <c r="F94" t="s">
        <v>2113</v>
      </c>
    </row>
    <row r="95" spans="1:6" x14ac:dyDescent="0.25">
      <c r="A95" t="s">
        <v>887</v>
      </c>
      <c r="B95">
        <v>2302600094</v>
      </c>
      <c r="C95" t="s">
        <v>753</v>
      </c>
      <c r="D95" t="s">
        <v>2100</v>
      </c>
      <c r="E95" t="s">
        <v>753</v>
      </c>
      <c r="F95" t="s">
        <v>2113</v>
      </c>
    </row>
    <row r="96" spans="1:6" x14ac:dyDescent="0.25">
      <c r="A96" t="s">
        <v>887</v>
      </c>
      <c r="B96">
        <v>2302600095</v>
      </c>
      <c r="C96" t="s">
        <v>753</v>
      </c>
      <c r="D96" t="s">
        <v>2101</v>
      </c>
      <c r="E96" t="s">
        <v>753</v>
      </c>
      <c r="F96" t="s">
        <v>2109</v>
      </c>
    </row>
    <row r="97" spans="1:6" x14ac:dyDescent="0.25">
      <c r="A97" t="s">
        <v>887</v>
      </c>
      <c r="B97">
        <v>2282600096</v>
      </c>
      <c r="C97" t="s">
        <v>753</v>
      </c>
      <c r="D97" t="s">
        <v>2101</v>
      </c>
      <c r="E97" t="s">
        <v>753</v>
      </c>
      <c r="F97" t="s">
        <v>2108</v>
      </c>
    </row>
    <row r="98" spans="1:6" x14ac:dyDescent="0.25">
      <c r="A98" t="s">
        <v>920</v>
      </c>
      <c r="B98">
        <v>2282600097</v>
      </c>
      <c r="C98" t="s">
        <v>753</v>
      </c>
      <c r="D98" t="s">
        <v>2105</v>
      </c>
      <c r="E98" t="s">
        <v>753</v>
      </c>
      <c r="F98" t="s">
        <v>2114</v>
      </c>
    </row>
    <row r="99" spans="1:6" x14ac:dyDescent="0.25">
      <c r="A99" t="s">
        <v>920</v>
      </c>
      <c r="B99">
        <v>2302600098</v>
      </c>
      <c r="C99" t="s">
        <v>753</v>
      </c>
      <c r="D99" t="s">
        <v>2105</v>
      </c>
      <c r="E99" t="s">
        <v>753</v>
      </c>
      <c r="F99" t="s">
        <v>2115</v>
      </c>
    </row>
    <row r="100" spans="1:6" x14ac:dyDescent="0.25">
      <c r="A100" t="s">
        <v>920</v>
      </c>
      <c r="B100">
        <v>2302600099</v>
      </c>
      <c r="C100" t="s">
        <v>753</v>
      </c>
      <c r="D100" t="s">
        <v>2116</v>
      </c>
      <c r="E100" t="s">
        <v>753</v>
      </c>
      <c r="F100" t="s">
        <v>2117</v>
      </c>
    </row>
    <row r="101" spans="1:6" x14ac:dyDescent="0.25">
      <c r="A101" t="s">
        <v>920</v>
      </c>
      <c r="B101">
        <v>2282600100</v>
      </c>
      <c r="C101" t="s">
        <v>753</v>
      </c>
      <c r="D101" t="s">
        <v>2107</v>
      </c>
      <c r="E101" t="s">
        <v>753</v>
      </c>
      <c r="F101" t="s">
        <v>2111</v>
      </c>
    </row>
    <row r="102" spans="1:6" x14ac:dyDescent="0.25">
      <c r="A102" t="s">
        <v>920</v>
      </c>
      <c r="B102">
        <v>2282600101</v>
      </c>
      <c r="C102" t="s">
        <v>753</v>
      </c>
      <c r="D102" t="s">
        <v>2109</v>
      </c>
      <c r="E102" t="s">
        <v>753</v>
      </c>
      <c r="F102" t="s">
        <v>2118</v>
      </c>
    </row>
    <row r="103" spans="1:6" x14ac:dyDescent="0.25">
      <c r="A103" t="s">
        <v>920</v>
      </c>
      <c r="B103">
        <v>2302600102</v>
      </c>
      <c r="C103" t="s">
        <v>753</v>
      </c>
      <c r="D103" t="s">
        <v>2109</v>
      </c>
      <c r="E103" t="s">
        <v>753</v>
      </c>
      <c r="F103" t="s">
        <v>2111</v>
      </c>
    </row>
    <row r="104" spans="1:6" x14ac:dyDescent="0.25">
      <c r="A104" t="s">
        <v>920</v>
      </c>
      <c r="B104">
        <v>2302600103</v>
      </c>
      <c r="C104" t="s">
        <v>753</v>
      </c>
      <c r="D104" t="s">
        <v>2105</v>
      </c>
      <c r="E104" t="s">
        <v>753</v>
      </c>
      <c r="F104" t="s">
        <v>2119</v>
      </c>
    </row>
    <row r="105" spans="1:6" x14ac:dyDescent="0.25">
      <c r="A105" t="s">
        <v>920</v>
      </c>
      <c r="B105">
        <v>2282600104</v>
      </c>
      <c r="C105" t="s">
        <v>753</v>
      </c>
      <c r="D105" t="s">
        <v>2105</v>
      </c>
      <c r="E105" t="s">
        <v>753</v>
      </c>
      <c r="F105" t="s">
        <v>2114</v>
      </c>
    </row>
    <row r="106" spans="1:6" x14ac:dyDescent="0.25">
      <c r="A106" t="s">
        <v>920</v>
      </c>
      <c r="B106">
        <v>2282600105</v>
      </c>
      <c r="C106" t="s">
        <v>753</v>
      </c>
      <c r="D106" t="s">
        <v>2108</v>
      </c>
      <c r="E106" t="s">
        <v>753</v>
      </c>
      <c r="F106" t="s">
        <v>2111</v>
      </c>
    </row>
    <row r="107" spans="1:6" x14ac:dyDescent="0.25">
      <c r="A107" t="s">
        <v>920</v>
      </c>
      <c r="B107">
        <v>2302600106</v>
      </c>
      <c r="C107" t="s">
        <v>753</v>
      </c>
      <c r="D107" t="s">
        <v>2109</v>
      </c>
      <c r="E107" t="s">
        <v>753</v>
      </c>
      <c r="F107" t="s">
        <v>2118</v>
      </c>
    </row>
    <row r="108" spans="1:6" x14ac:dyDescent="0.25">
      <c r="A108" t="s">
        <v>920</v>
      </c>
      <c r="B108">
        <v>2302600107</v>
      </c>
      <c r="C108" t="s">
        <v>753</v>
      </c>
      <c r="D108" t="s">
        <v>2119</v>
      </c>
      <c r="E108" t="s">
        <v>753</v>
      </c>
      <c r="F108" t="s">
        <v>2115</v>
      </c>
    </row>
    <row r="109" spans="1:6" x14ac:dyDescent="0.25">
      <c r="A109" t="s">
        <v>920</v>
      </c>
      <c r="B109">
        <v>2282600108</v>
      </c>
      <c r="C109" t="s">
        <v>753</v>
      </c>
      <c r="D109" t="s">
        <v>2119</v>
      </c>
      <c r="E109" t="s">
        <v>753</v>
      </c>
      <c r="F109" t="s">
        <v>2117</v>
      </c>
    </row>
    <row r="110" spans="1:6" x14ac:dyDescent="0.25">
      <c r="A110" t="s">
        <v>920</v>
      </c>
      <c r="B110">
        <v>2282600109</v>
      </c>
      <c r="C110" t="s">
        <v>753</v>
      </c>
      <c r="D110" t="s">
        <v>2119</v>
      </c>
      <c r="E110" t="s">
        <v>753</v>
      </c>
      <c r="F110" t="s">
        <v>2120</v>
      </c>
    </row>
    <row r="111" spans="1:6" x14ac:dyDescent="0.25">
      <c r="A111" t="s">
        <v>920</v>
      </c>
      <c r="B111">
        <v>2302600110</v>
      </c>
      <c r="C111" t="s">
        <v>753</v>
      </c>
      <c r="D111" t="s">
        <v>2114</v>
      </c>
      <c r="E111" t="s">
        <v>753</v>
      </c>
      <c r="F111" t="s">
        <v>2121</v>
      </c>
    </row>
    <row r="112" spans="1:6" x14ac:dyDescent="0.25">
      <c r="A112" t="s">
        <v>920</v>
      </c>
      <c r="B112">
        <v>2302600111</v>
      </c>
      <c r="C112" t="s">
        <v>753</v>
      </c>
      <c r="D112" t="s">
        <v>2109</v>
      </c>
      <c r="E112" t="s">
        <v>753</v>
      </c>
      <c r="F112" t="s">
        <v>2111</v>
      </c>
    </row>
    <row r="113" spans="1:6" x14ac:dyDescent="0.25">
      <c r="A113" t="s">
        <v>920</v>
      </c>
      <c r="B113">
        <v>2282600112</v>
      </c>
      <c r="C113" t="s">
        <v>753</v>
      </c>
      <c r="D113" t="s">
        <v>2116</v>
      </c>
      <c r="E113" t="s">
        <v>753</v>
      </c>
      <c r="F113" t="s">
        <v>2118</v>
      </c>
    </row>
    <row r="114" spans="1:6" x14ac:dyDescent="0.25">
      <c r="A114" t="s">
        <v>920</v>
      </c>
      <c r="B114">
        <v>2282600113</v>
      </c>
      <c r="C114" t="s">
        <v>753</v>
      </c>
      <c r="D114" t="s">
        <v>2111</v>
      </c>
      <c r="E114" t="s">
        <v>753</v>
      </c>
      <c r="F114" t="s">
        <v>2121</v>
      </c>
    </row>
    <row r="115" spans="1:6" x14ac:dyDescent="0.25">
      <c r="A115" t="s">
        <v>920</v>
      </c>
      <c r="B115">
        <v>2302600114</v>
      </c>
      <c r="C115" t="s">
        <v>753</v>
      </c>
      <c r="D115" t="s">
        <v>2111</v>
      </c>
      <c r="E115" t="s">
        <v>753</v>
      </c>
      <c r="F115" t="s">
        <v>2122</v>
      </c>
    </row>
    <row r="116" spans="1:6" x14ac:dyDescent="0.25">
      <c r="A116" t="s">
        <v>920</v>
      </c>
      <c r="B116">
        <v>2302600115</v>
      </c>
      <c r="C116" t="s">
        <v>753</v>
      </c>
      <c r="D116" t="s">
        <v>2118</v>
      </c>
      <c r="E116" t="s">
        <v>753</v>
      </c>
      <c r="F116" t="s">
        <v>2123</v>
      </c>
    </row>
    <row r="117" spans="1:6" x14ac:dyDescent="0.25">
      <c r="A117" t="s">
        <v>920</v>
      </c>
      <c r="B117">
        <v>2282600116</v>
      </c>
      <c r="C117" t="s">
        <v>753</v>
      </c>
      <c r="D117" t="s">
        <v>2118</v>
      </c>
      <c r="E117" t="s">
        <v>753</v>
      </c>
      <c r="F117" t="s">
        <v>2123</v>
      </c>
    </row>
    <row r="118" spans="1:6" x14ac:dyDescent="0.25">
      <c r="A118" t="s">
        <v>920</v>
      </c>
      <c r="B118">
        <v>2282600117</v>
      </c>
      <c r="C118" t="s">
        <v>753</v>
      </c>
      <c r="D118" t="s">
        <v>2118</v>
      </c>
      <c r="E118" t="s">
        <v>753</v>
      </c>
      <c r="F118" t="s">
        <v>2124</v>
      </c>
    </row>
    <row r="119" spans="1:6" x14ac:dyDescent="0.25">
      <c r="A119" t="s">
        <v>920</v>
      </c>
      <c r="B119">
        <v>2302600118</v>
      </c>
      <c r="C119" t="s">
        <v>753</v>
      </c>
      <c r="D119" t="s">
        <v>2118</v>
      </c>
      <c r="E119" t="s">
        <v>753</v>
      </c>
      <c r="F119" t="s">
        <v>2122</v>
      </c>
    </row>
    <row r="120" spans="1:6" x14ac:dyDescent="0.25">
      <c r="A120" t="s">
        <v>920</v>
      </c>
      <c r="B120">
        <v>2302600119</v>
      </c>
      <c r="C120" t="s">
        <v>753</v>
      </c>
      <c r="D120" t="s">
        <v>2118</v>
      </c>
      <c r="E120" t="s">
        <v>753</v>
      </c>
      <c r="F120" t="s">
        <v>2120</v>
      </c>
    </row>
    <row r="121" spans="1:6" x14ac:dyDescent="0.25">
      <c r="A121" t="s">
        <v>920</v>
      </c>
      <c r="B121">
        <v>2282600120</v>
      </c>
      <c r="C121" t="s">
        <v>753</v>
      </c>
      <c r="D121" t="s">
        <v>2111</v>
      </c>
      <c r="E121" t="s">
        <v>753</v>
      </c>
      <c r="F121" t="s">
        <v>2124</v>
      </c>
    </row>
    <row r="122" spans="1:6" x14ac:dyDescent="0.25">
      <c r="A122" t="s">
        <v>920</v>
      </c>
      <c r="B122">
        <v>2282600121</v>
      </c>
      <c r="C122" t="s">
        <v>753</v>
      </c>
      <c r="D122" t="s">
        <v>2120</v>
      </c>
      <c r="E122" t="s">
        <v>2112</v>
      </c>
      <c r="F122" t="s">
        <v>355</v>
      </c>
    </row>
    <row r="123" spans="1:6" x14ac:dyDescent="0.25">
      <c r="A123" t="s">
        <v>920</v>
      </c>
      <c r="B123">
        <v>2302600122</v>
      </c>
      <c r="C123" t="s">
        <v>753</v>
      </c>
      <c r="D123" t="s">
        <v>2115</v>
      </c>
      <c r="E123" t="s">
        <v>753</v>
      </c>
      <c r="F123" t="s">
        <v>2123</v>
      </c>
    </row>
    <row r="124" spans="1:6" x14ac:dyDescent="0.25">
      <c r="A124" t="s">
        <v>920</v>
      </c>
      <c r="B124">
        <v>2302600123</v>
      </c>
      <c r="C124" t="s">
        <v>753</v>
      </c>
      <c r="D124" t="s">
        <v>2120</v>
      </c>
      <c r="E124" t="s">
        <v>753</v>
      </c>
      <c r="F124" t="s">
        <v>2123</v>
      </c>
    </row>
    <row r="125" spans="1:6" x14ac:dyDescent="0.25">
      <c r="A125" t="s">
        <v>920</v>
      </c>
      <c r="B125">
        <v>2282600124</v>
      </c>
      <c r="C125" t="s">
        <v>753</v>
      </c>
      <c r="D125" t="s">
        <v>2120</v>
      </c>
      <c r="E125" t="s">
        <v>2112</v>
      </c>
      <c r="F125" t="s">
        <v>355</v>
      </c>
    </row>
    <row r="126" spans="1:6" x14ac:dyDescent="0.25">
      <c r="A126" t="s">
        <v>920</v>
      </c>
      <c r="B126">
        <v>2282600125</v>
      </c>
      <c r="C126" t="s">
        <v>753</v>
      </c>
      <c r="D126" t="s">
        <v>2122</v>
      </c>
      <c r="E126" t="s">
        <v>753</v>
      </c>
      <c r="F126" t="s">
        <v>2125</v>
      </c>
    </row>
    <row r="127" spans="1:6" x14ac:dyDescent="0.25">
      <c r="A127" t="s">
        <v>920</v>
      </c>
      <c r="B127">
        <v>2302600126</v>
      </c>
      <c r="C127" t="s">
        <v>753</v>
      </c>
      <c r="D127" t="s">
        <v>2120</v>
      </c>
      <c r="E127" t="s">
        <v>2112</v>
      </c>
      <c r="F127" t="s">
        <v>355</v>
      </c>
    </row>
    <row r="128" spans="1:6" x14ac:dyDescent="0.25">
      <c r="A128" t="s">
        <v>920</v>
      </c>
      <c r="B128">
        <v>2302600127</v>
      </c>
      <c r="C128" t="s">
        <v>753</v>
      </c>
      <c r="D128" t="s">
        <v>2115</v>
      </c>
      <c r="E128" t="s">
        <v>2112</v>
      </c>
      <c r="F128" t="s">
        <v>355</v>
      </c>
    </row>
    <row r="129" spans="1:6" x14ac:dyDescent="0.25">
      <c r="A129" t="s">
        <v>920</v>
      </c>
      <c r="B129">
        <v>2282600128</v>
      </c>
      <c r="C129" t="s">
        <v>753</v>
      </c>
      <c r="D129" t="s">
        <v>2115</v>
      </c>
      <c r="E129" t="s">
        <v>753</v>
      </c>
      <c r="F129" t="s">
        <v>2125</v>
      </c>
    </row>
    <row r="130" spans="1:6" x14ac:dyDescent="0.25">
      <c r="A130" t="s">
        <v>953</v>
      </c>
      <c r="B130">
        <v>2282600129</v>
      </c>
      <c r="C130" t="s">
        <v>753</v>
      </c>
      <c r="D130" t="s">
        <v>2126</v>
      </c>
      <c r="E130" t="s">
        <v>2112</v>
      </c>
      <c r="F130" t="s">
        <v>355</v>
      </c>
    </row>
    <row r="131" spans="1:6" x14ac:dyDescent="0.25">
      <c r="A131" t="s">
        <v>953</v>
      </c>
      <c r="B131">
        <v>2302600130</v>
      </c>
      <c r="C131" t="s">
        <v>753</v>
      </c>
      <c r="D131" t="s">
        <v>2123</v>
      </c>
      <c r="E131" t="s">
        <v>2112</v>
      </c>
      <c r="F131" t="s">
        <v>355</v>
      </c>
    </row>
    <row r="132" spans="1:6" x14ac:dyDescent="0.25">
      <c r="A132" t="s">
        <v>953</v>
      </c>
      <c r="B132">
        <v>2302600131</v>
      </c>
      <c r="C132" t="s">
        <v>753</v>
      </c>
      <c r="D132" t="s">
        <v>2126</v>
      </c>
      <c r="E132" t="s">
        <v>2112</v>
      </c>
      <c r="F132" t="s">
        <v>355</v>
      </c>
    </row>
    <row r="133" spans="1:6" x14ac:dyDescent="0.25">
      <c r="A133" t="s">
        <v>953</v>
      </c>
      <c r="B133">
        <v>2282600132</v>
      </c>
      <c r="C133" t="s">
        <v>2112</v>
      </c>
      <c r="D133" t="s">
        <v>355</v>
      </c>
      <c r="E133" t="s">
        <v>2112</v>
      </c>
      <c r="F133" t="s">
        <v>355</v>
      </c>
    </row>
    <row r="134" spans="1:6" x14ac:dyDescent="0.25">
      <c r="A134" t="s">
        <v>953</v>
      </c>
      <c r="B134">
        <v>2282600133</v>
      </c>
      <c r="C134" t="s">
        <v>2112</v>
      </c>
      <c r="D134" t="s">
        <v>355</v>
      </c>
      <c r="E134" t="s">
        <v>2112</v>
      </c>
      <c r="F134" t="s">
        <v>355</v>
      </c>
    </row>
    <row r="135" spans="1:6" x14ac:dyDescent="0.25">
      <c r="A135" t="s">
        <v>953</v>
      </c>
      <c r="B135">
        <v>2302600134</v>
      </c>
      <c r="C135" t="s">
        <v>2112</v>
      </c>
      <c r="D135" t="s">
        <v>355</v>
      </c>
      <c r="E135" t="s">
        <v>2112</v>
      </c>
      <c r="F135" t="s">
        <v>355</v>
      </c>
    </row>
    <row r="136" spans="1:6" x14ac:dyDescent="0.25">
      <c r="A136" t="s">
        <v>953</v>
      </c>
      <c r="B136">
        <v>2302600135</v>
      </c>
      <c r="C136" t="s">
        <v>753</v>
      </c>
      <c r="D136" t="s">
        <v>2126</v>
      </c>
      <c r="E136" t="s">
        <v>2112</v>
      </c>
      <c r="F136" t="s">
        <v>355</v>
      </c>
    </row>
    <row r="137" spans="1:6" x14ac:dyDescent="0.25">
      <c r="A137" t="s">
        <v>953</v>
      </c>
      <c r="B137">
        <v>2282600136</v>
      </c>
      <c r="C137" t="s">
        <v>753</v>
      </c>
      <c r="D137" t="s">
        <v>2126</v>
      </c>
      <c r="E137" t="s">
        <v>2112</v>
      </c>
      <c r="F137" t="s">
        <v>355</v>
      </c>
    </row>
    <row r="138" spans="1:6" x14ac:dyDescent="0.25">
      <c r="A138" t="s">
        <v>953</v>
      </c>
      <c r="B138">
        <v>2282600137</v>
      </c>
      <c r="C138" t="s">
        <v>2112</v>
      </c>
      <c r="D138" t="s">
        <v>355</v>
      </c>
      <c r="E138" t="s">
        <v>2112</v>
      </c>
      <c r="F138" t="s">
        <v>355</v>
      </c>
    </row>
    <row r="139" spans="1:6" x14ac:dyDescent="0.25">
      <c r="A139" t="s">
        <v>953</v>
      </c>
      <c r="B139">
        <v>2302600138</v>
      </c>
      <c r="C139" t="s">
        <v>2112</v>
      </c>
      <c r="D139" t="s">
        <v>355</v>
      </c>
      <c r="E139" t="s">
        <v>2112</v>
      </c>
      <c r="F139" t="s">
        <v>355</v>
      </c>
    </row>
    <row r="140" spans="1:6" x14ac:dyDescent="0.25">
      <c r="A140" t="s">
        <v>953</v>
      </c>
      <c r="B140">
        <v>2302600139</v>
      </c>
      <c r="C140" t="s">
        <v>2112</v>
      </c>
      <c r="D140" t="s">
        <v>355</v>
      </c>
      <c r="E140" t="s">
        <v>2112</v>
      </c>
      <c r="F140" t="s">
        <v>355</v>
      </c>
    </row>
    <row r="141" spans="1:6" x14ac:dyDescent="0.25">
      <c r="A141" t="s">
        <v>953</v>
      </c>
      <c r="B141">
        <v>2282600140</v>
      </c>
      <c r="C141" t="s">
        <v>2112</v>
      </c>
      <c r="D141" t="s">
        <v>355</v>
      </c>
      <c r="E141" t="s">
        <v>2112</v>
      </c>
      <c r="F141" t="s">
        <v>355</v>
      </c>
    </row>
    <row r="142" spans="1:6" x14ac:dyDescent="0.25">
      <c r="A142" t="s">
        <v>953</v>
      </c>
      <c r="B142">
        <v>2282600141</v>
      </c>
      <c r="C142" t="s">
        <v>2112</v>
      </c>
      <c r="D142" t="s">
        <v>355</v>
      </c>
      <c r="E142" t="s">
        <v>2112</v>
      </c>
      <c r="F142" t="s">
        <v>355</v>
      </c>
    </row>
    <row r="143" spans="1:6" x14ac:dyDescent="0.25">
      <c r="A143" t="s">
        <v>953</v>
      </c>
      <c r="B143">
        <v>2302600142</v>
      </c>
      <c r="C143" t="s">
        <v>2112</v>
      </c>
      <c r="D143" t="s">
        <v>355</v>
      </c>
      <c r="E143" t="s">
        <v>2112</v>
      </c>
      <c r="F143" t="s">
        <v>355</v>
      </c>
    </row>
    <row r="144" spans="1:6" x14ac:dyDescent="0.25">
      <c r="A144" t="s">
        <v>953</v>
      </c>
      <c r="B144">
        <v>2302600143</v>
      </c>
      <c r="C144" t="s">
        <v>2112</v>
      </c>
      <c r="D144" t="s">
        <v>355</v>
      </c>
      <c r="E144" t="s">
        <v>2112</v>
      </c>
      <c r="F144" t="s">
        <v>355</v>
      </c>
    </row>
    <row r="145" spans="1:6" x14ac:dyDescent="0.25">
      <c r="A145" t="s">
        <v>953</v>
      </c>
      <c r="B145">
        <v>2282600144</v>
      </c>
      <c r="C145" t="s">
        <v>2112</v>
      </c>
      <c r="D145" t="s">
        <v>355</v>
      </c>
      <c r="E145" t="s">
        <v>2112</v>
      </c>
      <c r="F145" t="s">
        <v>355</v>
      </c>
    </row>
    <row r="146" spans="1:6" x14ac:dyDescent="0.25">
      <c r="A146" t="s">
        <v>953</v>
      </c>
      <c r="B146">
        <v>2282600145</v>
      </c>
      <c r="C146" t="s">
        <v>2112</v>
      </c>
      <c r="D146" t="s">
        <v>355</v>
      </c>
      <c r="E146" t="s">
        <v>2112</v>
      </c>
      <c r="F146" t="s">
        <v>355</v>
      </c>
    </row>
    <row r="147" spans="1:6" x14ac:dyDescent="0.25">
      <c r="A147" t="s">
        <v>953</v>
      </c>
      <c r="B147">
        <v>2302600146</v>
      </c>
      <c r="C147" t="s">
        <v>2112</v>
      </c>
      <c r="D147" t="s">
        <v>355</v>
      </c>
      <c r="E147" t="s">
        <v>2112</v>
      </c>
      <c r="F147" t="s">
        <v>355</v>
      </c>
    </row>
    <row r="148" spans="1:6" x14ac:dyDescent="0.25">
      <c r="A148" t="s">
        <v>953</v>
      </c>
      <c r="B148">
        <v>2302600147</v>
      </c>
      <c r="C148" t="s">
        <v>2112</v>
      </c>
      <c r="D148" t="s">
        <v>355</v>
      </c>
      <c r="E148" t="s">
        <v>2112</v>
      </c>
      <c r="F148" t="s">
        <v>355</v>
      </c>
    </row>
    <row r="149" spans="1:6" x14ac:dyDescent="0.25">
      <c r="A149" t="s">
        <v>953</v>
      </c>
      <c r="B149">
        <v>2282600148</v>
      </c>
      <c r="C149" t="s">
        <v>2112</v>
      </c>
      <c r="D149" t="s">
        <v>355</v>
      </c>
      <c r="E149" t="s">
        <v>2112</v>
      </c>
      <c r="F149" t="s">
        <v>355</v>
      </c>
    </row>
    <row r="150" spans="1:6" x14ac:dyDescent="0.25">
      <c r="A150" t="s">
        <v>953</v>
      </c>
      <c r="B150">
        <v>2282600149</v>
      </c>
      <c r="C150" t="s">
        <v>2112</v>
      </c>
      <c r="D150" t="s">
        <v>355</v>
      </c>
      <c r="E150" t="s">
        <v>2112</v>
      </c>
      <c r="F150" t="s">
        <v>355</v>
      </c>
    </row>
    <row r="151" spans="1:6" x14ac:dyDescent="0.25">
      <c r="A151" t="s">
        <v>953</v>
      </c>
      <c r="B151">
        <v>2302600150</v>
      </c>
      <c r="C151" t="s">
        <v>2112</v>
      </c>
      <c r="D151" t="s">
        <v>355</v>
      </c>
      <c r="E151" t="s">
        <v>2112</v>
      </c>
      <c r="F151" t="s">
        <v>355</v>
      </c>
    </row>
    <row r="152" spans="1:6" x14ac:dyDescent="0.25">
      <c r="A152" t="s">
        <v>953</v>
      </c>
      <c r="B152">
        <v>2302600151</v>
      </c>
      <c r="C152" t="s">
        <v>2112</v>
      </c>
      <c r="D152" t="s">
        <v>355</v>
      </c>
      <c r="E152" t="s">
        <v>2112</v>
      </c>
      <c r="F152" t="s">
        <v>355</v>
      </c>
    </row>
    <row r="153" spans="1:6" x14ac:dyDescent="0.25">
      <c r="A153" t="s">
        <v>953</v>
      </c>
      <c r="B153">
        <v>2282600152</v>
      </c>
      <c r="C153" t="s">
        <v>2112</v>
      </c>
      <c r="D153" t="s">
        <v>355</v>
      </c>
      <c r="E153" t="s">
        <v>2112</v>
      </c>
      <c r="F153" t="s">
        <v>355</v>
      </c>
    </row>
    <row r="154" spans="1:6" x14ac:dyDescent="0.25">
      <c r="A154" t="s">
        <v>953</v>
      </c>
      <c r="B154">
        <v>2282600153</v>
      </c>
      <c r="C154" t="s">
        <v>2112</v>
      </c>
      <c r="D154" t="s">
        <v>355</v>
      </c>
      <c r="E154" t="s">
        <v>2112</v>
      </c>
      <c r="F154" t="s">
        <v>355</v>
      </c>
    </row>
    <row r="155" spans="1:6" x14ac:dyDescent="0.25">
      <c r="A155" t="s">
        <v>953</v>
      </c>
      <c r="B155">
        <v>2302600154</v>
      </c>
      <c r="C155" t="s">
        <v>2112</v>
      </c>
      <c r="D155" t="s">
        <v>355</v>
      </c>
      <c r="E155" t="s">
        <v>2112</v>
      </c>
      <c r="F155" t="s">
        <v>355</v>
      </c>
    </row>
    <row r="156" spans="1:6" x14ac:dyDescent="0.25">
      <c r="A156" t="s">
        <v>953</v>
      </c>
      <c r="B156">
        <v>2302600155</v>
      </c>
      <c r="C156" t="s">
        <v>2112</v>
      </c>
      <c r="D156" t="s">
        <v>355</v>
      </c>
      <c r="E156" t="s">
        <v>2112</v>
      </c>
      <c r="F156" t="s">
        <v>355</v>
      </c>
    </row>
    <row r="157" spans="1:6" x14ac:dyDescent="0.25">
      <c r="A157" t="s">
        <v>953</v>
      </c>
      <c r="B157">
        <v>2282600156</v>
      </c>
      <c r="C157" t="s">
        <v>2112</v>
      </c>
      <c r="D157" t="s">
        <v>355</v>
      </c>
      <c r="E157" t="s">
        <v>2112</v>
      </c>
      <c r="F157" t="s">
        <v>355</v>
      </c>
    </row>
    <row r="158" spans="1:6" x14ac:dyDescent="0.25">
      <c r="A158" t="s">
        <v>953</v>
      </c>
      <c r="B158">
        <v>2282600157</v>
      </c>
      <c r="C158" t="s">
        <v>2112</v>
      </c>
      <c r="D158" t="s">
        <v>355</v>
      </c>
      <c r="E158" t="s">
        <v>2112</v>
      </c>
      <c r="F158" t="s">
        <v>355</v>
      </c>
    </row>
    <row r="159" spans="1:6" x14ac:dyDescent="0.25">
      <c r="A159" t="s">
        <v>953</v>
      </c>
      <c r="B159">
        <v>2302600158</v>
      </c>
      <c r="C159" t="s">
        <v>2112</v>
      </c>
      <c r="D159" t="s">
        <v>355</v>
      </c>
      <c r="E159" t="s">
        <v>2112</v>
      </c>
      <c r="F159" t="s">
        <v>355</v>
      </c>
    </row>
    <row r="160" spans="1:6" x14ac:dyDescent="0.25">
      <c r="A160" t="s">
        <v>953</v>
      </c>
      <c r="B160">
        <v>2302600159</v>
      </c>
      <c r="C160" t="s">
        <v>2112</v>
      </c>
      <c r="D160" t="s">
        <v>355</v>
      </c>
      <c r="E160" t="s">
        <v>2112</v>
      </c>
      <c r="F160" t="s">
        <v>355</v>
      </c>
    </row>
    <row r="161" spans="1:6" x14ac:dyDescent="0.25">
      <c r="A161" t="s">
        <v>953</v>
      </c>
      <c r="B161">
        <v>2282600160</v>
      </c>
      <c r="C161" t="s">
        <v>2112</v>
      </c>
      <c r="D161" t="s">
        <v>355</v>
      </c>
      <c r="E161" t="s">
        <v>2112</v>
      </c>
      <c r="F161" t="s">
        <v>355</v>
      </c>
    </row>
    <row r="162" spans="1:6" x14ac:dyDescent="0.25">
      <c r="A162" t="s">
        <v>986</v>
      </c>
      <c r="B162">
        <v>2282600161</v>
      </c>
      <c r="C162" t="s">
        <v>2112</v>
      </c>
      <c r="D162" t="s">
        <v>355</v>
      </c>
      <c r="E162" t="s">
        <v>2112</v>
      </c>
      <c r="F162" t="s">
        <v>355</v>
      </c>
    </row>
    <row r="163" spans="1:6" x14ac:dyDescent="0.25">
      <c r="A163" t="s">
        <v>986</v>
      </c>
      <c r="B163">
        <v>2302600162</v>
      </c>
      <c r="C163" t="s">
        <v>2112</v>
      </c>
      <c r="D163" t="s">
        <v>355</v>
      </c>
      <c r="E163" t="s">
        <v>2112</v>
      </c>
      <c r="F163" t="s">
        <v>355</v>
      </c>
    </row>
    <row r="164" spans="1:6" x14ac:dyDescent="0.25">
      <c r="A164" t="s">
        <v>986</v>
      </c>
      <c r="B164">
        <v>2302600163</v>
      </c>
      <c r="C164" t="s">
        <v>2112</v>
      </c>
      <c r="D164" t="s">
        <v>355</v>
      </c>
      <c r="E164" t="s">
        <v>2112</v>
      </c>
      <c r="F164" t="s">
        <v>355</v>
      </c>
    </row>
    <row r="165" spans="1:6" x14ac:dyDescent="0.25">
      <c r="A165" t="s">
        <v>986</v>
      </c>
      <c r="B165">
        <v>2282600164</v>
      </c>
      <c r="C165" t="s">
        <v>2112</v>
      </c>
      <c r="D165" t="s">
        <v>355</v>
      </c>
      <c r="E165" t="s">
        <v>2112</v>
      </c>
      <c r="F165" t="s">
        <v>355</v>
      </c>
    </row>
    <row r="166" spans="1:6" x14ac:dyDescent="0.25">
      <c r="A166" t="s">
        <v>986</v>
      </c>
      <c r="B166">
        <v>2282600165</v>
      </c>
      <c r="C166" t="s">
        <v>2112</v>
      </c>
      <c r="D166" t="s">
        <v>355</v>
      </c>
      <c r="E166" t="s">
        <v>2112</v>
      </c>
      <c r="F166" t="s">
        <v>355</v>
      </c>
    </row>
    <row r="167" spans="1:6" x14ac:dyDescent="0.25">
      <c r="A167" t="s">
        <v>986</v>
      </c>
      <c r="B167">
        <v>2302600166</v>
      </c>
      <c r="C167" t="s">
        <v>2112</v>
      </c>
      <c r="D167" t="s">
        <v>355</v>
      </c>
      <c r="E167" t="s">
        <v>2112</v>
      </c>
      <c r="F167" t="s">
        <v>355</v>
      </c>
    </row>
    <row r="168" spans="1:6" x14ac:dyDescent="0.25">
      <c r="A168" t="s">
        <v>986</v>
      </c>
      <c r="B168">
        <v>2302600167</v>
      </c>
      <c r="C168" t="s">
        <v>2112</v>
      </c>
      <c r="D168" t="s">
        <v>355</v>
      </c>
      <c r="E168" t="s">
        <v>2112</v>
      </c>
      <c r="F168" t="s">
        <v>355</v>
      </c>
    </row>
    <row r="169" spans="1:6" x14ac:dyDescent="0.25">
      <c r="A169" t="s">
        <v>986</v>
      </c>
      <c r="B169">
        <v>2282600168</v>
      </c>
      <c r="C169" t="s">
        <v>2112</v>
      </c>
      <c r="D169" t="s">
        <v>355</v>
      </c>
      <c r="E169" t="s">
        <v>2112</v>
      </c>
      <c r="F169" t="s">
        <v>355</v>
      </c>
    </row>
    <row r="170" spans="1:6" x14ac:dyDescent="0.25">
      <c r="A170" t="s">
        <v>986</v>
      </c>
      <c r="B170">
        <v>2282600169</v>
      </c>
      <c r="C170" t="s">
        <v>2112</v>
      </c>
      <c r="D170" t="s">
        <v>355</v>
      </c>
      <c r="E170" t="s">
        <v>2112</v>
      </c>
      <c r="F170" t="s">
        <v>355</v>
      </c>
    </row>
    <row r="171" spans="1:6" x14ac:dyDescent="0.25">
      <c r="A171" t="s">
        <v>986</v>
      </c>
      <c r="B171">
        <v>2302600170</v>
      </c>
      <c r="C171" t="s">
        <v>2112</v>
      </c>
      <c r="D171" t="s">
        <v>355</v>
      </c>
      <c r="E171" t="s">
        <v>2112</v>
      </c>
      <c r="F171" t="s">
        <v>355</v>
      </c>
    </row>
    <row r="172" spans="1:6" x14ac:dyDescent="0.25">
      <c r="A172" t="s">
        <v>986</v>
      </c>
      <c r="B172">
        <v>2302600171</v>
      </c>
      <c r="C172" t="s">
        <v>2112</v>
      </c>
      <c r="D172" t="s">
        <v>355</v>
      </c>
      <c r="E172" t="s">
        <v>2112</v>
      </c>
      <c r="F172" t="s">
        <v>355</v>
      </c>
    </row>
    <row r="173" spans="1:6" x14ac:dyDescent="0.25">
      <c r="A173" t="s">
        <v>986</v>
      </c>
      <c r="B173">
        <v>2282600172</v>
      </c>
      <c r="C173" t="s">
        <v>2112</v>
      </c>
      <c r="D173" t="s">
        <v>355</v>
      </c>
      <c r="E173" t="s">
        <v>2112</v>
      </c>
      <c r="F173" t="s">
        <v>355</v>
      </c>
    </row>
    <row r="174" spans="1:6" x14ac:dyDescent="0.25">
      <c r="A174" t="s">
        <v>986</v>
      </c>
      <c r="B174">
        <v>2282600173</v>
      </c>
      <c r="C174" t="s">
        <v>2112</v>
      </c>
      <c r="D174" t="s">
        <v>355</v>
      </c>
      <c r="E174" t="s">
        <v>2112</v>
      </c>
      <c r="F174" t="s">
        <v>355</v>
      </c>
    </row>
    <row r="175" spans="1:6" x14ac:dyDescent="0.25">
      <c r="A175" t="s">
        <v>986</v>
      </c>
      <c r="B175">
        <v>2302600174</v>
      </c>
      <c r="C175" t="s">
        <v>2112</v>
      </c>
      <c r="D175" t="s">
        <v>355</v>
      </c>
      <c r="E175" t="s">
        <v>2112</v>
      </c>
      <c r="F175" t="s">
        <v>355</v>
      </c>
    </row>
    <row r="176" spans="1:6" x14ac:dyDescent="0.25">
      <c r="A176" t="s">
        <v>986</v>
      </c>
      <c r="B176">
        <v>2302600175</v>
      </c>
      <c r="C176" t="s">
        <v>2112</v>
      </c>
      <c r="D176" t="s">
        <v>355</v>
      </c>
      <c r="E176" t="s">
        <v>2112</v>
      </c>
      <c r="F176" t="s">
        <v>355</v>
      </c>
    </row>
    <row r="177" spans="1:6" x14ac:dyDescent="0.25">
      <c r="A177" t="s">
        <v>986</v>
      </c>
      <c r="B177">
        <v>2282600176</v>
      </c>
      <c r="C177" t="s">
        <v>2112</v>
      </c>
      <c r="D177" t="s">
        <v>355</v>
      </c>
      <c r="E177" t="s">
        <v>2112</v>
      </c>
      <c r="F177" t="s">
        <v>355</v>
      </c>
    </row>
    <row r="178" spans="1:6" x14ac:dyDescent="0.25">
      <c r="A178" t="s">
        <v>986</v>
      </c>
      <c r="B178">
        <v>2282600177</v>
      </c>
      <c r="C178" t="s">
        <v>2112</v>
      </c>
      <c r="D178" t="s">
        <v>355</v>
      </c>
      <c r="E178" t="s">
        <v>2112</v>
      </c>
      <c r="F178" t="s">
        <v>355</v>
      </c>
    </row>
    <row r="179" spans="1:6" x14ac:dyDescent="0.25">
      <c r="A179" t="s">
        <v>986</v>
      </c>
      <c r="B179">
        <v>2302600178</v>
      </c>
      <c r="C179" t="s">
        <v>2112</v>
      </c>
      <c r="D179" t="s">
        <v>355</v>
      </c>
      <c r="E179" t="s">
        <v>2112</v>
      </c>
      <c r="F179" t="s">
        <v>355</v>
      </c>
    </row>
    <row r="180" spans="1:6" x14ac:dyDescent="0.25">
      <c r="A180" t="s">
        <v>986</v>
      </c>
      <c r="B180">
        <v>2302600179</v>
      </c>
      <c r="C180" t="s">
        <v>2112</v>
      </c>
      <c r="D180" t="s">
        <v>355</v>
      </c>
      <c r="E180" t="s">
        <v>2112</v>
      </c>
      <c r="F180" t="s">
        <v>355</v>
      </c>
    </row>
    <row r="181" spans="1:6" x14ac:dyDescent="0.25">
      <c r="A181" t="s">
        <v>986</v>
      </c>
      <c r="B181">
        <v>2282600180</v>
      </c>
      <c r="C181" t="s">
        <v>2112</v>
      </c>
      <c r="D181" t="s">
        <v>355</v>
      </c>
      <c r="E181" t="s">
        <v>2112</v>
      </c>
      <c r="F181" t="s">
        <v>355</v>
      </c>
    </row>
    <row r="182" spans="1:6" x14ac:dyDescent="0.25">
      <c r="A182" t="s">
        <v>986</v>
      </c>
      <c r="B182">
        <v>2282600181</v>
      </c>
      <c r="C182" t="s">
        <v>2112</v>
      </c>
      <c r="D182" t="s">
        <v>355</v>
      </c>
      <c r="E182" t="s">
        <v>2112</v>
      </c>
      <c r="F182" t="s">
        <v>355</v>
      </c>
    </row>
    <row r="183" spans="1:6" x14ac:dyDescent="0.25">
      <c r="A183" t="s">
        <v>986</v>
      </c>
      <c r="B183">
        <v>2302600182</v>
      </c>
      <c r="C183" t="s">
        <v>2112</v>
      </c>
      <c r="D183" t="s">
        <v>355</v>
      </c>
      <c r="E183" t="s">
        <v>2112</v>
      </c>
      <c r="F183" t="s">
        <v>355</v>
      </c>
    </row>
    <row r="184" spans="1:6" x14ac:dyDescent="0.25">
      <c r="A184" t="s">
        <v>986</v>
      </c>
      <c r="B184">
        <v>2302600183</v>
      </c>
      <c r="C184" t="s">
        <v>2112</v>
      </c>
      <c r="D184" t="s">
        <v>355</v>
      </c>
      <c r="E184" t="s">
        <v>2112</v>
      </c>
      <c r="F184" t="s">
        <v>355</v>
      </c>
    </row>
    <row r="185" spans="1:6" x14ac:dyDescent="0.25">
      <c r="A185" t="s">
        <v>986</v>
      </c>
      <c r="B185">
        <v>2282600184</v>
      </c>
      <c r="C185" t="s">
        <v>2112</v>
      </c>
      <c r="D185" t="s">
        <v>355</v>
      </c>
      <c r="E185" t="s">
        <v>2112</v>
      </c>
      <c r="F185" t="s">
        <v>355</v>
      </c>
    </row>
    <row r="186" spans="1:6" x14ac:dyDescent="0.25">
      <c r="A186" t="s">
        <v>986</v>
      </c>
      <c r="B186">
        <v>2282600185</v>
      </c>
      <c r="C186" t="s">
        <v>2112</v>
      </c>
      <c r="D186" t="s">
        <v>355</v>
      </c>
      <c r="E186" t="s">
        <v>2112</v>
      </c>
      <c r="F186" t="s">
        <v>355</v>
      </c>
    </row>
    <row r="187" spans="1:6" x14ac:dyDescent="0.25">
      <c r="A187" t="s">
        <v>986</v>
      </c>
      <c r="B187">
        <v>2302600186</v>
      </c>
      <c r="C187" t="s">
        <v>2112</v>
      </c>
      <c r="D187" t="s">
        <v>355</v>
      </c>
      <c r="E187" t="s">
        <v>2112</v>
      </c>
      <c r="F187" t="s">
        <v>355</v>
      </c>
    </row>
    <row r="188" spans="1:6" x14ac:dyDescent="0.25">
      <c r="A188" t="s">
        <v>986</v>
      </c>
      <c r="B188">
        <v>2302600187</v>
      </c>
      <c r="C188" t="s">
        <v>2112</v>
      </c>
      <c r="D188" t="s">
        <v>355</v>
      </c>
      <c r="E188" t="s">
        <v>2112</v>
      </c>
      <c r="F188" t="s">
        <v>355</v>
      </c>
    </row>
    <row r="189" spans="1:6" x14ac:dyDescent="0.25">
      <c r="A189" t="s">
        <v>986</v>
      </c>
      <c r="B189">
        <v>2282600188</v>
      </c>
      <c r="C189" t="s">
        <v>2112</v>
      </c>
      <c r="D189" t="s">
        <v>355</v>
      </c>
      <c r="E189" t="s">
        <v>2112</v>
      </c>
      <c r="F189" t="s">
        <v>355</v>
      </c>
    </row>
    <row r="190" spans="1:6" x14ac:dyDescent="0.25">
      <c r="A190" t="s">
        <v>986</v>
      </c>
      <c r="B190">
        <v>2282600189</v>
      </c>
      <c r="C190" t="s">
        <v>2112</v>
      </c>
      <c r="D190" t="s">
        <v>355</v>
      </c>
      <c r="E190" t="s">
        <v>2112</v>
      </c>
      <c r="F190" t="s">
        <v>355</v>
      </c>
    </row>
    <row r="191" spans="1:6" x14ac:dyDescent="0.25">
      <c r="A191" t="s">
        <v>986</v>
      </c>
      <c r="B191">
        <v>2302600190</v>
      </c>
      <c r="C191" t="s">
        <v>2112</v>
      </c>
      <c r="D191" t="s">
        <v>355</v>
      </c>
      <c r="E191" t="s">
        <v>2112</v>
      </c>
      <c r="F191" t="s">
        <v>355</v>
      </c>
    </row>
    <row r="192" spans="1:6" x14ac:dyDescent="0.25">
      <c r="A192" t="s">
        <v>986</v>
      </c>
      <c r="B192">
        <v>2302600191</v>
      </c>
      <c r="C192" t="s">
        <v>2112</v>
      </c>
      <c r="D192" t="s">
        <v>355</v>
      </c>
      <c r="E192" t="s">
        <v>2112</v>
      </c>
      <c r="F192" t="s">
        <v>355</v>
      </c>
    </row>
    <row r="193" spans="1:6" x14ac:dyDescent="0.25">
      <c r="A193" t="s">
        <v>986</v>
      </c>
      <c r="B193">
        <v>2282600192</v>
      </c>
      <c r="C193" t="s">
        <v>2112</v>
      </c>
      <c r="D193" t="s">
        <v>355</v>
      </c>
      <c r="E193" t="s">
        <v>2112</v>
      </c>
      <c r="F193" t="s">
        <v>355</v>
      </c>
    </row>
    <row r="194" spans="1:6" x14ac:dyDescent="0.25">
      <c r="A194" t="s">
        <v>1019</v>
      </c>
      <c r="B194">
        <v>2282600193</v>
      </c>
      <c r="C194" t="s">
        <v>2112</v>
      </c>
      <c r="D194" t="s">
        <v>355</v>
      </c>
      <c r="E194" t="s">
        <v>2112</v>
      </c>
      <c r="F194" t="s">
        <v>355</v>
      </c>
    </row>
    <row r="195" spans="1:6" x14ac:dyDescent="0.25">
      <c r="A195" t="s">
        <v>1019</v>
      </c>
      <c r="B195">
        <v>2302600194</v>
      </c>
      <c r="C195" t="s">
        <v>2112</v>
      </c>
      <c r="D195" t="s">
        <v>355</v>
      </c>
      <c r="E195" t="s">
        <v>2112</v>
      </c>
      <c r="F195" t="s">
        <v>355</v>
      </c>
    </row>
    <row r="196" spans="1:6" x14ac:dyDescent="0.25">
      <c r="A196" t="s">
        <v>1019</v>
      </c>
      <c r="B196">
        <v>2302600195</v>
      </c>
      <c r="C196" t="s">
        <v>2112</v>
      </c>
      <c r="D196" t="s">
        <v>355</v>
      </c>
      <c r="E196" t="s">
        <v>2112</v>
      </c>
      <c r="F196" t="s">
        <v>355</v>
      </c>
    </row>
    <row r="197" spans="1:6" x14ac:dyDescent="0.25">
      <c r="A197" t="s">
        <v>1019</v>
      </c>
      <c r="B197">
        <v>2282600196</v>
      </c>
      <c r="C197" t="s">
        <v>2112</v>
      </c>
      <c r="D197" t="s">
        <v>355</v>
      </c>
      <c r="E197" t="s">
        <v>2112</v>
      </c>
      <c r="F197" t="s">
        <v>355</v>
      </c>
    </row>
    <row r="198" spans="1:6" x14ac:dyDescent="0.25">
      <c r="A198" t="s">
        <v>1019</v>
      </c>
      <c r="B198">
        <v>2282600197</v>
      </c>
      <c r="C198" t="s">
        <v>2112</v>
      </c>
      <c r="D198" t="s">
        <v>355</v>
      </c>
      <c r="E198" t="s">
        <v>2112</v>
      </c>
      <c r="F198" t="s">
        <v>355</v>
      </c>
    </row>
    <row r="199" spans="1:6" x14ac:dyDescent="0.25">
      <c r="A199" t="s">
        <v>1019</v>
      </c>
      <c r="B199">
        <v>2302600198</v>
      </c>
      <c r="C199" t="s">
        <v>2112</v>
      </c>
      <c r="D199" t="s">
        <v>355</v>
      </c>
      <c r="E199" t="s">
        <v>2112</v>
      </c>
      <c r="F199" t="s">
        <v>355</v>
      </c>
    </row>
    <row r="200" spans="1:6" x14ac:dyDescent="0.25">
      <c r="A200" t="s">
        <v>1019</v>
      </c>
      <c r="B200">
        <v>2302600199</v>
      </c>
      <c r="C200" t="s">
        <v>2112</v>
      </c>
      <c r="D200" t="s">
        <v>355</v>
      </c>
      <c r="E200" t="s">
        <v>2112</v>
      </c>
      <c r="F200" t="s">
        <v>355</v>
      </c>
    </row>
    <row r="201" spans="1:6" x14ac:dyDescent="0.25">
      <c r="A201" t="s">
        <v>1019</v>
      </c>
      <c r="B201">
        <v>2282600200</v>
      </c>
      <c r="C201" t="s">
        <v>2112</v>
      </c>
      <c r="D201" t="s">
        <v>355</v>
      </c>
      <c r="E201" t="s">
        <v>2112</v>
      </c>
      <c r="F201" t="s">
        <v>355</v>
      </c>
    </row>
    <row r="202" spans="1:6" x14ac:dyDescent="0.25">
      <c r="A202" t="s">
        <v>1019</v>
      </c>
      <c r="B202">
        <v>2282600201</v>
      </c>
      <c r="C202" t="s">
        <v>2112</v>
      </c>
      <c r="D202" t="s">
        <v>355</v>
      </c>
      <c r="E202" t="s">
        <v>2112</v>
      </c>
      <c r="F202" t="s">
        <v>355</v>
      </c>
    </row>
    <row r="203" spans="1:6" x14ac:dyDescent="0.25">
      <c r="A203" t="s">
        <v>1019</v>
      </c>
      <c r="B203">
        <v>2302600202</v>
      </c>
      <c r="C203" t="s">
        <v>2112</v>
      </c>
      <c r="D203" t="s">
        <v>355</v>
      </c>
      <c r="E203" t="s">
        <v>2112</v>
      </c>
      <c r="F203" t="s">
        <v>355</v>
      </c>
    </row>
    <row r="204" spans="1:6" x14ac:dyDescent="0.25">
      <c r="A204" t="s">
        <v>1019</v>
      </c>
      <c r="B204">
        <v>2302600203</v>
      </c>
      <c r="C204" t="s">
        <v>2112</v>
      </c>
      <c r="D204" t="s">
        <v>355</v>
      </c>
      <c r="E204" t="s">
        <v>2112</v>
      </c>
      <c r="F204" t="s">
        <v>355</v>
      </c>
    </row>
    <row r="205" spans="1:6" x14ac:dyDescent="0.25">
      <c r="A205" t="s">
        <v>1019</v>
      </c>
      <c r="B205">
        <v>2282600204</v>
      </c>
      <c r="C205" t="s">
        <v>2112</v>
      </c>
      <c r="D205" t="s">
        <v>355</v>
      </c>
      <c r="E205" t="s">
        <v>2112</v>
      </c>
      <c r="F205" t="s">
        <v>355</v>
      </c>
    </row>
    <row r="206" spans="1:6" x14ac:dyDescent="0.25">
      <c r="A206" t="s">
        <v>1019</v>
      </c>
      <c r="B206">
        <v>2282600205</v>
      </c>
      <c r="C206" t="s">
        <v>2112</v>
      </c>
      <c r="D206" t="s">
        <v>355</v>
      </c>
      <c r="E206" t="s">
        <v>2112</v>
      </c>
      <c r="F206" t="s">
        <v>355</v>
      </c>
    </row>
    <row r="207" spans="1:6" x14ac:dyDescent="0.25">
      <c r="A207" t="s">
        <v>1019</v>
      </c>
      <c r="B207">
        <v>2302600206</v>
      </c>
      <c r="C207" t="s">
        <v>2112</v>
      </c>
      <c r="D207" t="s">
        <v>355</v>
      </c>
      <c r="E207" t="s">
        <v>2112</v>
      </c>
      <c r="F207" t="s">
        <v>355</v>
      </c>
    </row>
    <row r="208" spans="1:6" x14ac:dyDescent="0.25">
      <c r="A208" t="s">
        <v>1019</v>
      </c>
      <c r="B208">
        <v>2302600207</v>
      </c>
      <c r="C208" t="s">
        <v>2112</v>
      </c>
      <c r="D208" t="s">
        <v>355</v>
      </c>
      <c r="E208" t="s">
        <v>2112</v>
      </c>
      <c r="F208" t="s">
        <v>355</v>
      </c>
    </row>
    <row r="209" spans="1:6" x14ac:dyDescent="0.25">
      <c r="A209" t="s">
        <v>1019</v>
      </c>
      <c r="B209">
        <v>2282600208</v>
      </c>
      <c r="C209" t="s">
        <v>2112</v>
      </c>
      <c r="D209" t="s">
        <v>355</v>
      </c>
      <c r="E209" t="s">
        <v>2112</v>
      </c>
      <c r="F209" t="s">
        <v>355</v>
      </c>
    </row>
    <row r="210" spans="1:6" x14ac:dyDescent="0.25">
      <c r="A210" t="s">
        <v>1019</v>
      </c>
      <c r="B210">
        <v>2282600209</v>
      </c>
      <c r="C210" t="s">
        <v>2112</v>
      </c>
      <c r="D210" t="s">
        <v>355</v>
      </c>
      <c r="E210" t="s">
        <v>2112</v>
      </c>
      <c r="F210" t="s">
        <v>355</v>
      </c>
    </row>
    <row r="211" spans="1:6" x14ac:dyDescent="0.25">
      <c r="A211" t="s">
        <v>1019</v>
      </c>
      <c r="B211">
        <v>2302600210</v>
      </c>
      <c r="C211" t="s">
        <v>2112</v>
      </c>
      <c r="D211" t="s">
        <v>355</v>
      </c>
      <c r="E211" t="s">
        <v>2112</v>
      </c>
      <c r="F211" t="s">
        <v>355</v>
      </c>
    </row>
    <row r="212" spans="1:6" x14ac:dyDescent="0.25">
      <c r="A212" t="s">
        <v>1019</v>
      </c>
      <c r="B212">
        <v>2302600211</v>
      </c>
      <c r="C212" t="s">
        <v>2112</v>
      </c>
      <c r="D212" t="s">
        <v>355</v>
      </c>
      <c r="E212" t="s">
        <v>2112</v>
      </c>
      <c r="F212" t="s">
        <v>355</v>
      </c>
    </row>
    <row r="213" spans="1:6" x14ac:dyDescent="0.25">
      <c r="A213" t="s">
        <v>1019</v>
      </c>
      <c r="B213">
        <v>2282600212</v>
      </c>
      <c r="C213" t="s">
        <v>2112</v>
      </c>
      <c r="D213" t="s">
        <v>355</v>
      </c>
      <c r="E213" t="s">
        <v>2112</v>
      </c>
      <c r="F213" t="s">
        <v>355</v>
      </c>
    </row>
    <row r="214" spans="1:6" x14ac:dyDescent="0.25">
      <c r="A214" t="s">
        <v>1019</v>
      </c>
      <c r="B214">
        <v>2282600213</v>
      </c>
      <c r="C214" t="s">
        <v>2112</v>
      </c>
      <c r="D214" t="s">
        <v>355</v>
      </c>
      <c r="E214" t="s">
        <v>2112</v>
      </c>
      <c r="F214" t="s">
        <v>355</v>
      </c>
    </row>
    <row r="215" spans="1:6" x14ac:dyDescent="0.25">
      <c r="A215" t="s">
        <v>1019</v>
      </c>
      <c r="B215">
        <v>2302600214</v>
      </c>
      <c r="C215" t="s">
        <v>2112</v>
      </c>
      <c r="D215" t="s">
        <v>355</v>
      </c>
      <c r="E215" t="s">
        <v>2112</v>
      </c>
      <c r="F215" t="s">
        <v>355</v>
      </c>
    </row>
    <row r="216" spans="1:6" x14ac:dyDescent="0.25">
      <c r="A216" t="s">
        <v>1019</v>
      </c>
      <c r="B216">
        <v>2302600215</v>
      </c>
      <c r="C216" t="s">
        <v>2112</v>
      </c>
      <c r="D216" t="s">
        <v>355</v>
      </c>
      <c r="E216" t="s">
        <v>2112</v>
      </c>
      <c r="F216" t="s">
        <v>355</v>
      </c>
    </row>
    <row r="217" spans="1:6" x14ac:dyDescent="0.25">
      <c r="A217" t="s">
        <v>1019</v>
      </c>
      <c r="B217">
        <v>2282600216</v>
      </c>
      <c r="C217" t="s">
        <v>2112</v>
      </c>
      <c r="D217" t="s">
        <v>355</v>
      </c>
      <c r="E217" t="s">
        <v>2112</v>
      </c>
      <c r="F217" t="s">
        <v>355</v>
      </c>
    </row>
    <row r="218" spans="1:6" x14ac:dyDescent="0.25">
      <c r="A218" t="s">
        <v>1019</v>
      </c>
      <c r="B218">
        <v>2282600217</v>
      </c>
      <c r="C218" t="s">
        <v>2112</v>
      </c>
      <c r="D218" t="s">
        <v>355</v>
      </c>
      <c r="E218" t="s">
        <v>2112</v>
      </c>
      <c r="F218" t="s">
        <v>355</v>
      </c>
    </row>
    <row r="219" spans="1:6" x14ac:dyDescent="0.25">
      <c r="A219" t="s">
        <v>1019</v>
      </c>
      <c r="B219">
        <v>2302600218</v>
      </c>
      <c r="C219" t="s">
        <v>2112</v>
      </c>
      <c r="D219" t="s">
        <v>355</v>
      </c>
      <c r="E219" t="s">
        <v>2112</v>
      </c>
      <c r="F219" t="s">
        <v>355</v>
      </c>
    </row>
    <row r="220" spans="1:6" x14ac:dyDescent="0.25">
      <c r="A220" t="s">
        <v>1019</v>
      </c>
      <c r="B220">
        <v>2302600219</v>
      </c>
      <c r="C220" t="s">
        <v>2112</v>
      </c>
      <c r="D220" t="s">
        <v>355</v>
      </c>
      <c r="E220" t="s">
        <v>2112</v>
      </c>
      <c r="F220" t="s">
        <v>355</v>
      </c>
    </row>
    <row r="221" spans="1:6" x14ac:dyDescent="0.25">
      <c r="A221" t="s">
        <v>1019</v>
      </c>
      <c r="B221">
        <v>2282600220</v>
      </c>
      <c r="C221" t="s">
        <v>2112</v>
      </c>
      <c r="D221" t="s">
        <v>355</v>
      </c>
      <c r="E221" t="s">
        <v>2112</v>
      </c>
      <c r="F221" t="s">
        <v>355</v>
      </c>
    </row>
    <row r="222" spans="1:6" x14ac:dyDescent="0.25">
      <c r="A222" t="s">
        <v>1019</v>
      </c>
      <c r="B222">
        <v>2282600221</v>
      </c>
      <c r="C222" t="s">
        <v>2112</v>
      </c>
      <c r="D222" t="s">
        <v>355</v>
      </c>
      <c r="E222" t="s">
        <v>2112</v>
      </c>
      <c r="F222" t="s">
        <v>355</v>
      </c>
    </row>
    <row r="223" spans="1:6" x14ac:dyDescent="0.25">
      <c r="A223" t="s">
        <v>1019</v>
      </c>
      <c r="B223">
        <v>2302600222</v>
      </c>
      <c r="C223" t="s">
        <v>2112</v>
      </c>
      <c r="D223" t="s">
        <v>355</v>
      </c>
      <c r="E223" t="s">
        <v>2112</v>
      </c>
      <c r="F223" t="s">
        <v>355</v>
      </c>
    </row>
    <row r="224" spans="1:6" x14ac:dyDescent="0.25">
      <c r="A224" t="s">
        <v>1019</v>
      </c>
      <c r="B224">
        <v>2302600223</v>
      </c>
      <c r="C224" t="s">
        <v>2112</v>
      </c>
      <c r="D224" t="s">
        <v>355</v>
      </c>
      <c r="E224" t="s">
        <v>2112</v>
      </c>
      <c r="F224" t="s">
        <v>355</v>
      </c>
    </row>
    <row r="225" spans="1:6" x14ac:dyDescent="0.25">
      <c r="A225" t="s">
        <v>1019</v>
      </c>
      <c r="B225">
        <v>2282600224</v>
      </c>
      <c r="C225" t="s">
        <v>2112</v>
      </c>
      <c r="D225" t="s">
        <v>355</v>
      </c>
      <c r="E225" t="s">
        <v>2112</v>
      </c>
      <c r="F225" t="s">
        <v>355</v>
      </c>
    </row>
    <row r="226" spans="1:6" x14ac:dyDescent="0.25">
      <c r="A226" t="s">
        <v>1052</v>
      </c>
      <c r="B226">
        <v>2282600225</v>
      </c>
      <c r="C226" t="s">
        <v>2112</v>
      </c>
      <c r="D226" t="s">
        <v>355</v>
      </c>
      <c r="E226" t="s">
        <v>2112</v>
      </c>
      <c r="F226" t="s">
        <v>355</v>
      </c>
    </row>
    <row r="227" spans="1:6" x14ac:dyDescent="0.25">
      <c r="A227" t="s">
        <v>1052</v>
      </c>
      <c r="B227">
        <v>2302600226</v>
      </c>
      <c r="C227" t="s">
        <v>2112</v>
      </c>
      <c r="D227" t="s">
        <v>355</v>
      </c>
      <c r="E227" t="s">
        <v>2112</v>
      </c>
      <c r="F227" t="s">
        <v>355</v>
      </c>
    </row>
    <row r="228" spans="1:6" x14ac:dyDescent="0.25">
      <c r="A228" t="s">
        <v>1052</v>
      </c>
      <c r="B228">
        <v>2302600227</v>
      </c>
      <c r="C228" t="s">
        <v>2112</v>
      </c>
      <c r="D228" t="s">
        <v>355</v>
      </c>
      <c r="E228" t="s">
        <v>2112</v>
      </c>
      <c r="F228" t="s">
        <v>355</v>
      </c>
    </row>
    <row r="229" spans="1:6" x14ac:dyDescent="0.25">
      <c r="A229" t="s">
        <v>1052</v>
      </c>
      <c r="B229">
        <v>2282600228</v>
      </c>
      <c r="C229" t="s">
        <v>2112</v>
      </c>
      <c r="D229" t="s">
        <v>355</v>
      </c>
      <c r="E229" t="s">
        <v>2112</v>
      </c>
      <c r="F229" t="s">
        <v>355</v>
      </c>
    </row>
    <row r="230" spans="1:6" x14ac:dyDescent="0.25">
      <c r="A230" t="s">
        <v>1052</v>
      </c>
      <c r="B230">
        <v>2282600229</v>
      </c>
      <c r="C230" t="s">
        <v>2112</v>
      </c>
      <c r="D230" t="s">
        <v>355</v>
      </c>
      <c r="E230" t="s">
        <v>2112</v>
      </c>
      <c r="F230" t="s">
        <v>355</v>
      </c>
    </row>
    <row r="231" spans="1:6" x14ac:dyDescent="0.25">
      <c r="A231" t="s">
        <v>1052</v>
      </c>
      <c r="B231">
        <v>2302600230</v>
      </c>
      <c r="C231" t="s">
        <v>2112</v>
      </c>
      <c r="D231" t="s">
        <v>355</v>
      </c>
      <c r="E231" t="s">
        <v>2112</v>
      </c>
      <c r="F231" t="s">
        <v>355</v>
      </c>
    </row>
    <row r="232" spans="1:6" x14ac:dyDescent="0.25">
      <c r="A232" t="s">
        <v>1052</v>
      </c>
      <c r="B232">
        <v>2302600231</v>
      </c>
      <c r="C232" t="s">
        <v>2112</v>
      </c>
      <c r="D232" t="s">
        <v>355</v>
      </c>
      <c r="E232" t="s">
        <v>2112</v>
      </c>
      <c r="F232" t="s">
        <v>355</v>
      </c>
    </row>
    <row r="233" spans="1:6" x14ac:dyDescent="0.25">
      <c r="A233" t="s">
        <v>1052</v>
      </c>
      <c r="B233">
        <v>2282600232</v>
      </c>
      <c r="C233" t="s">
        <v>2112</v>
      </c>
      <c r="D233" t="s">
        <v>355</v>
      </c>
      <c r="E233" t="s">
        <v>2112</v>
      </c>
      <c r="F233" t="s">
        <v>355</v>
      </c>
    </row>
    <row r="234" spans="1:6" x14ac:dyDescent="0.25">
      <c r="A234" t="s">
        <v>1052</v>
      </c>
      <c r="B234">
        <v>2282600233</v>
      </c>
      <c r="C234" t="s">
        <v>2112</v>
      </c>
      <c r="D234" t="s">
        <v>355</v>
      </c>
      <c r="E234" t="s">
        <v>2112</v>
      </c>
      <c r="F234" t="s">
        <v>355</v>
      </c>
    </row>
    <row r="235" spans="1:6" x14ac:dyDescent="0.25">
      <c r="A235" t="s">
        <v>1052</v>
      </c>
      <c r="B235">
        <v>2302600234</v>
      </c>
      <c r="C235" t="s">
        <v>2112</v>
      </c>
      <c r="D235" t="s">
        <v>355</v>
      </c>
      <c r="E235" t="s">
        <v>2112</v>
      </c>
      <c r="F235" t="s">
        <v>355</v>
      </c>
    </row>
    <row r="236" spans="1:6" x14ac:dyDescent="0.25">
      <c r="A236" t="s">
        <v>1052</v>
      </c>
      <c r="B236">
        <v>2302600235</v>
      </c>
      <c r="C236" t="s">
        <v>2112</v>
      </c>
      <c r="D236" t="s">
        <v>355</v>
      </c>
      <c r="E236" t="s">
        <v>2112</v>
      </c>
      <c r="F236" t="s">
        <v>355</v>
      </c>
    </row>
    <row r="237" spans="1:6" x14ac:dyDescent="0.25">
      <c r="A237" t="s">
        <v>1052</v>
      </c>
      <c r="B237">
        <v>2282600236</v>
      </c>
      <c r="C237" t="s">
        <v>2112</v>
      </c>
      <c r="D237" t="s">
        <v>355</v>
      </c>
      <c r="E237" t="s">
        <v>2112</v>
      </c>
      <c r="F237" t="s">
        <v>355</v>
      </c>
    </row>
    <row r="238" spans="1:6" x14ac:dyDescent="0.25">
      <c r="A238" t="s">
        <v>1052</v>
      </c>
      <c r="B238">
        <v>2282600237</v>
      </c>
      <c r="C238" t="s">
        <v>2112</v>
      </c>
      <c r="D238" t="s">
        <v>355</v>
      </c>
      <c r="E238" t="s">
        <v>2112</v>
      </c>
      <c r="F238" t="s">
        <v>355</v>
      </c>
    </row>
    <row r="239" spans="1:6" x14ac:dyDescent="0.25">
      <c r="A239" t="s">
        <v>1052</v>
      </c>
      <c r="B239">
        <v>2302600238</v>
      </c>
      <c r="C239" t="s">
        <v>2112</v>
      </c>
      <c r="D239" t="s">
        <v>355</v>
      </c>
      <c r="E239" t="s">
        <v>2112</v>
      </c>
      <c r="F239" t="s">
        <v>355</v>
      </c>
    </row>
    <row r="240" spans="1:6" x14ac:dyDescent="0.25">
      <c r="A240" t="s">
        <v>1052</v>
      </c>
      <c r="B240">
        <v>2302600239</v>
      </c>
      <c r="C240" t="s">
        <v>2112</v>
      </c>
      <c r="D240" t="s">
        <v>355</v>
      </c>
      <c r="E240" t="s">
        <v>2112</v>
      </c>
      <c r="F240" t="s">
        <v>355</v>
      </c>
    </row>
    <row r="241" spans="1:6" x14ac:dyDescent="0.25">
      <c r="A241" t="s">
        <v>1052</v>
      </c>
      <c r="B241">
        <v>2282600240</v>
      </c>
      <c r="C241" t="s">
        <v>2112</v>
      </c>
      <c r="D241" t="s">
        <v>355</v>
      </c>
      <c r="E241" t="s">
        <v>2112</v>
      </c>
      <c r="F241" t="s">
        <v>355</v>
      </c>
    </row>
    <row r="242" spans="1:6" x14ac:dyDescent="0.25">
      <c r="A242" t="s">
        <v>1052</v>
      </c>
      <c r="B242">
        <v>2282600241</v>
      </c>
      <c r="C242" t="s">
        <v>2112</v>
      </c>
      <c r="D242" t="s">
        <v>355</v>
      </c>
      <c r="E242" t="s">
        <v>2112</v>
      </c>
      <c r="F242" t="s">
        <v>355</v>
      </c>
    </row>
    <row r="243" spans="1:6" x14ac:dyDescent="0.25">
      <c r="A243" t="s">
        <v>1052</v>
      </c>
      <c r="B243">
        <v>2302600242</v>
      </c>
      <c r="C243" t="s">
        <v>2112</v>
      </c>
      <c r="D243" t="s">
        <v>355</v>
      </c>
      <c r="E243" t="s">
        <v>2112</v>
      </c>
      <c r="F243" t="s">
        <v>355</v>
      </c>
    </row>
    <row r="244" spans="1:6" x14ac:dyDescent="0.25">
      <c r="A244" t="s">
        <v>1052</v>
      </c>
      <c r="B244">
        <v>2302600243</v>
      </c>
      <c r="C244" t="s">
        <v>2112</v>
      </c>
      <c r="D244" t="s">
        <v>355</v>
      </c>
      <c r="E244" t="s">
        <v>2112</v>
      </c>
      <c r="F244" t="s">
        <v>355</v>
      </c>
    </row>
    <row r="245" spans="1:6" x14ac:dyDescent="0.25">
      <c r="A245" t="s">
        <v>1052</v>
      </c>
      <c r="B245">
        <v>2282600244</v>
      </c>
      <c r="C245" t="s">
        <v>2112</v>
      </c>
      <c r="D245" t="s">
        <v>355</v>
      </c>
      <c r="E245" t="s">
        <v>2112</v>
      </c>
      <c r="F245" t="s">
        <v>355</v>
      </c>
    </row>
    <row r="246" spans="1:6" x14ac:dyDescent="0.25">
      <c r="A246" t="s">
        <v>1052</v>
      </c>
      <c r="B246">
        <v>2282600245</v>
      </c>
      <c r="C246" t="s">
        <v>2112</v>
      </c>
      <c r="D246" t="s">
        <v>355</v>
      </c>
      <c r="E246" t="s">
        <v>2112</v>
      </c>
      <c r="F246" t="s">
        <v>355</v>
      </c>
    </row>
    <row r="247" spans="1:6" x14ac:dyDescent="0.25">
      <c r="A247" t="s">
        <v>1052</v>
      </c>
      <c r="B247">
        <v>2302600246</v>
      </c>
      <c r="C247" t="s">
        <v>2112</v>
      </c>
      <c r="D247" t="s">
        <v>355</v>
      </c>
      <c r="E247" t="s">
        <v>2112</v>
      </c>
      <c r="F247" t="s">
        <v>355</v>
      </c>
    </row>
    <row r="248" spans="1:6" x14ac:dyDescent="0.25">
      <c r="A248" t="s">
        <v>1052</v>
      </c>
      <c r="B248">
        <v>2302600247</v>
      </c>
      <c r="C248" t="s">
        <v>2112</v>
      </c>
      <c r="D248" t="s">
        <v>355</v>
      </c>
      <c r="E248" t="s">
        <v>2112</v>
      </c>
      <c r="F248" t="s">
        <v>355</v>
      </c>
    </row>
    <row r="249" spans="1:6" x14ac:dyDescent="0.25">
      <c r="A249" t="s">
        <v>1052</v>
      </c>
      <c r="B249">
        <v>2282600248</v>
      </c>
      <c r="C249" t="s">
        <v>2112</v>
      </c>
      <c r="D249" t="s">
        <v>355</v>
      </c>
      <c r="E249" t="s">
        <v>2112</v>
      </c>
      <c r="F249" t="s">
        <v>355</v>
      </c>
    </row>
    <row r="250" spans="1:6" x14ac:dyDescent="0.25">
      <c r="A250" t="s">
        <v>1052</v>
      </c>
      <c r="B250">
        <v>2282600249</v>
      </c>
      <c r="C250" t="s">
        <v>2112</v>
      </c>
      <c r="D250" t="s">
        <v>355</v>
      </c>
      <c r="E250" t="s">
        <v>2112</v>
      </c>
      <c r="F250" t="s">
        <v>355</v>
      </c>
    </row>
    <row r="251" spans="1:6" x14ac:dyDescent="0.25">
      <c r="A251" t="s">
        <v>1052</v>
      </c>
      <c r="B251">
        <v>2302600250</v>
      </c>
      <c r="C251" t="s">
        <v>2112</v>
      </c>
      <c r="D251" t="s">
        <v>355</v>
      </c>
      <c r="E251" t="s">
        <v>2112</v>
      </c>
      <c r="F251" t="s">
        <v>355</v>
      </c>
    </row>
    <row r="252" spans="1:6" x14ac:dyDescent="0.25">
      <c r="A252" t="s">
        <v>1052</v>
      </c>
      <c r="B252">
        <v>2302600251</v>
      </c>
      <c r="C252" t="s">
        <v>2112</v>
      </c>
      <c r="D252" t="s">
        <v>355</v>
      </c>
      <c r="E252" t="s">
        <v>2112</v>
      </c>
      <c r="F252" t="s">
        <v>355</v>
      </c>
    </row>
    <row r="253" spans="1:6" x14ac:dyDescent="0.25">
      <c r="A253" t="s">
        <v>1052</v>
      </c>
      <c r="B253">
        <v>2282600252</v>
      </c>
      <c r="C253" t="s">
        <v>2112</v>
      </c>
      <c r="D253" t="s">
        <v>355</v>
      </c>
      <c r="E253" t="s">
        <v>2112</v>
      </c>
      <c r="F253" t="s">
        <v>355</v>
      </c>
    </row>
    <row r="254" spans="1:6" x14ac:dyDescent="0.25">
      <c r="A254" t="s">
        <v>1052</v>
      </c>
      <c r="B254">
        <v>2282600253</v>
      </c>
      <c r="C254" t="s">
        <v>2112</v>
      </c>
      <c r="D254" t="s">
        <v>355</v>
      </c>
      <c r="E254" t="s">
        <v>2112</v>
      </c>
      <c r="F254" t="s">
        <v>355</v>
      </c>
    </row>
    <row r="255" spans="1:6" x14ac:dyDescent="0.25">
      <c r="A255" t="s">
        <v>1052</v>
      </c>
      <c r="B255">
        <v>2302600254</v>
      </c>
      <c r="C255" t="s">
        <v>2112</v>
      </c>
      <c r="D255" t="s">
        <v>355</v>
      </c>
      <c r="E255" t="s">
        <v>2112</v>
      </c>
      <c r="F255" t="s">
        <v>355</v>
      </c>
    </row>
    <row r="256" spans="1:6" x14ac:dyDescent="0.25">
      <c r="A256" t="s">
        <v>1052</v>
      </c>
      <c r="B256">
        <v>2302600255</v>
      </c>
      <c r="C256" t="s">
        <v>2112</v>
      </c>
      <c r="D256" t="s">
        <v>355</v>
      </c>
      <c r="E256" t="s">
        <v>2112</v>
      </c>
      <c r="F256" t="s">
        <v>355</v>
      </c>
    </row>
    <row r="257" spans="1:6" x14ac:dyDescent="0.25">
      <c r="A257" t="s">
        <v>1052</v>
      </c>
      <c r="B257">
        <v>2282600256</v>
      </c>
      <c r="C257" t="s">
        <v>2112</v>
      </c>
      <c r="D257" t="s">
        <v>355</v>
      </c>
      <c r="E257" t="s">
        <v>2112</v>
      </c>
      <c r="F257" t="s">
        <v>355</v>
      </c>
    </row>
    <row r="258" spans="1:6" x14ac:dyDescent="0.25">
      <c r="A258" t="s">
        <v>1085</v>
      </c>
      <c r="B258">
        <v>2282600257</v>
      </c>
      <c r="C258" t="s">
        <v>2112</v>
      </c>
      <c r="D258" t="s">
        <v>355</v>
      </c>
      <c r="E258" t="s">
        <v>2112</v>
      </c>
      <c r="F258" t="s">
        <v>355</v>
      </c>
    </row>
    <row r="259" spans="1:6" x14ac:dyDescent="0.25">
      <c r="A259" t="s">
        <v>1085</v>
      </c>
      <c r="B259">
        <v>2302600258</v>
      </c>
      <c r="C259" t="s">
        <v>2112</v>
      </c>
      <c r="D259" t="s">
        <v>355</v>
      </c>
      <c r="E259" t="s">
        <v>2112</v>
      </c>
      <c r="F259" t="s">
        <v>355</v>
      </c>
    </row>
    <row r="260" spans="1:6" x14ac:dyDescent="0.25">
      <c r="A260" t="s">
        <v>1085</v>
      </c>
      <c r="B260">
        <v>2302600259</v>
      </c>
      <c r="C260" t="s">
        <v>2112</v>
      </c>
      <c r="D260" t="s">
        <v>355</v>
      </c>
      <c r="E260" t="s">
        <v>2112</v>
      </c>
      <c r="F260" t="s">
        <v>355</v>
      </c>
    </row>
    <row r="261" spans="1:6" x14ac:dyDescent="0.25">
      <c r="A261" t="s">
        <v>1085</v>
      </c>
      <c r="B261">
        <v>2282600260</v>
      </c>
      <c r="C261" t="s">
        <v>2112</v>
      </c>
      <c r="D261" t="s">
        <v>355</v>
      </c>
      <c r="E261" t="s">
        <v>2112</v>
      </c>
      <c r="F261" t="s">
        <v>355</v>
      </c>
    </row>
    <row r="262" spans="1:6" x14ac:dyDescent="0.25">
      <c r="A262" t="s">
        <v>1085</v>
      </c>
      <c r="B262">
        <v>2282600261</v>
      </c>
      <c r="C262" t="s">
        <v>2112</v>
      </c>
      <c r="D262" t="s">
        <v>355</v>
      </c>
      <c r="E262" t="s">
        <v>2112</v>
      </c>
      <c r="F262" t="s">
        <v>355</v>
      </c>
    </row>
    <row r="263" spans="1:6" x14ac:dyDescent="0.25">
      <c r="A263" t="s">
        <v>1085</v>
      </c>
      <c r="B263">
        <v>2302600262</v>
      </c>
      <c r="C263" t="s">
        <v>2112</v>
      </c>
      <c r="D263" t="s">
        <v>355</v>
      </c>
      <c r="E263" t="s">
        <v>2112</v>
      </c>
      <c r="F263" t="s">
        <v>355</v>
      </c>
    </row>
    <row r="264" spans="1:6" x14ac:dyDescent="0.25">
      <c r="A264" t="s">
        <v>1085</v>
      </c>
      <c r="B264">
        <v>2302600263</v>
      </c>
      <c r="C264" t="s">
        <v>2112</v>
      </c>
      <c r="D264" t="s">
        <v>355</v>
      </c>
      <c r="E264" t="s">
        <v>2112</v>
      </c>
      <c r="F264" t="s">
        <v>355</v>
      </c>
    </row>
    <row r="265" spans="1:6" x14ac:dyDescent="0.25">
      <c r="A265" t="s">
        <v>1085</v>
      </c>
      <c r="B265">
        <v>2282600264</v>
      </c>
      <c r="C265" t="s">
        <v>2112</v>
      </c>
      <c r="D265" t="s">
        <v>355</v>
      </c>
      <c r="E265" t="s">
        <v>2112</v>
      </c>
      <c r="F265" t="s">
        <v>355</v>
      </c>
    </row>
    <row r="266" spans="1:6" x14ac:dyDescent="0.25">
      <c r="A266" t="s">
        <v>1085</v>
      </c>
      <c r="B266">
        <v>2282600265</v>
      </c>
      <c r="C266" t="s">
        <v>2112</v>
      </c>
      <c r="D266" t="s">
        <v>355</v>
      </c>
      <c r="E266" t="s">
        <v>2112</v>
      </c>
      <c r="F266" t="s">
        <v>355</v>
      </c>
    </row>
    <row r="267" spans="1:6" x14ac:dyDescent="0.25">
      <c r="A267" t="s">
        <v>1085</v>
      </c>
      <c r="B267">
        <v>2302600266</v>
      </c>
      <c r="C267" t="s">
        <v>2112</v>
      </c>
      <c r="D267" t="s">
        <v>355</v>
      </c>
      <c r="E267" t="s">
        <v>2112</v>
      </c>
      <c r="F267" t="s">
        <v>355</v>
      </c>
    </row>
    <row r="268" spans="1:6" x14ac:dyDescent="0.25">
      <c r="A268" t="s">
        <v>1085</v>
      </c>
      <c r="B268">
        <v>2302600267</v>
      </c>
      <c r="C268" t="s">
        <v>2112</v>
      </c>
      <c r="D268" t="s">
        <v>355</v>
      </c>
      <c r="E268" t="s">
        <v>2112</v>
      </c>
      <c r="F268" t="s">
        <v>355</v>
      </c>
    </row>
    <row r="269" spans="1:6" x14ac:dyDescent="0.25">
      <c r="A269" t="s">
        <v>1085</v>
      </c>
      <c r="B269">
        <v>2282600268</v>
      </c>
      <c r="C269" t="s">
        <v>2112</v>
      </c>
      <c r="D269" t="s">
        <v>355</v>
      </c>
      <c r="E269" t="s">
        <v>2112</v>
      </c>
      <c r="F269" t="s">
        <v>355</v>
      </c>
    </row>
    <row r="270" spans="1:6" x14ac:dyDescent="0.25">
      <c r="A270" t="s">
        <v>1085</v>
      </c>
      <c r="B270">
        <v>2282600269</v>
      </c>
      <c r="C270" t="s">
        <v>2112</v>
      </c>
      <c r="D270" t="s">
        <v>355</v>
      </c>
      <c r="E270" t="s">
        <v>2112</v>
      </c>
      <c r="F270" t="s">
        <v>355</v>
      </c>
    </row>
    <row r="271" spans="1:6" x14ac:dyDescent="0.25">
      <c r="A271" t="s">
        <v>1085</v>
      </c>
      <c r="B271">
        <v>2302600270</v>
      </c>
      <c r="C271" t="s">
        <v>2112</v>
      </c>
      <c r="D271" t="s">
        <v>355</v>
      </c>
      <c r="E271" t="s">
        <v>2112</v>
      </c>
      <c r="F271" t="s">
        <v>355</v>
      </c>
    </row>
    <row r="272" spans="1:6" x14ac:dyDescent="0.25">
      <c r="A272" t="s">
        <v>1085</v>
      </c>
      <c r="B272">
        <v>2302600271</v>
      </c>
      <c r="C272" t="s">
        <v>2112</v>
      </c>
      <c r="D272" t="s">
        <v>355</v>
      </c>
      <c r="E272" t="s">
        <v>2112</v>
      </c>
      <c r="F272" t="s">
        <v>355</v>
      </c>
    </row>
    <row r="273" spans="1:6" x14ac:dyDescent="0.25">
      <c r="A273" t="s">
        <v>1085</v>
      </c>
      <c r="B273">
        <v>2282600272</v>
      </c>
      <c r="C273" t="s">
        <v>2112</v>
      </c>
      <c r="D273" t="s">
        <v>355</v>
      </c>
      <c r="E273" t="s">
        <v>2112</v>
      </c>
      <c r="F273" t="s">
        <v>355</v>
      </c>
    </row>
    <row r="274" spans="1:6" x14ac:dyDescent="0.25">
      <c r="A274" t="s">
        <v>1085</v>
      </c>
      <c r="B274">
        <v>2282600273</v>
      </c>
      <c r="C274" t="s">
        <v>2112</v>
      </c>
      <c r="D274" t="s">
        <v>355</v>
      </c>
      <c r="E274" t="s">
        <v>2112</v>
      </c>
      <c r="F274" t="s">
        <v>355</v>
      </c>
    </row>
    <row r="275" spans="1:6" x14ac:dyDescent="0.25">
      <c r="A275" t="s">
        <v>1085</v>
      </c>
      <c r="B275">
        <v>2302600274</v>
      </c>
      <c r="C275" t="s">
        <v>2112</v>
      </c>
      <c r="D275" t="s">
        <v>355</v>
      </c>
      <c r="E275" t="s">
        <v>2112</v>
      </c>
      <c r="F275" t="s">
        <v>355</v>
      </c>
    </row>
    <row r="276" spans="1:6" x14ac:dyDescent="0.25">
      <c r="A276" t="s">
        <v>1085</v>
      </c>
      <c r="B276">
        <v>2302600275</v>
      </c>
      <c r="C276" t="s">
        <v>2112</v>
      </c>
      <c r="D276" t="s">
        <v>355</v>
      </c>
      <c r="E276" t="s">
        <v>2112</v>
      </c>
      <c r="F276" t="s">
        <v>355</v>
      </c>
    </row>
    <row r="277" spans="1:6" x14ac:dyDescent="0.25">
      <c r="A277" t="s">
        <v>1085</v>
      </c>
      <c r="B277">
        <v>2282600276</v>
      </c>
      <c r="C277" t="s">
        <v>2112</v>
      </c>
      <c r="D277" t="s">
        <v>355</v>
      </c>
      <c r="E277" t="s">
        <v>2112</v>
      </c>
      <c r="F277" t="s">
        <v>355</v>
      </c>
    </row>
    <row r="278" spans="1:6" x14ac:dyDescent="0.25">
      <c r="A278" t="s">
        <v>1085</v>
      </c>
      <c r="B278">
        <v>2282600277</v>
      </c>
      <c r="C278" t="s">
        <v>2112</v>
      </c>
      <c r="D278" t="s">
        <v>355</v>
      </c>
      <c r="E278" t="s">
        <v>2112</v>
      </c>
      <c r="F278" t="s">
        <v>355</v>
      </c>
    </row>
    <row r="279" spans="1:6" x14ac:dyDescent="0.25">
      <c r="A279" t="s">
        <v>1085</v>
      </c>
      <c r="B279">
        <v>2302600278</v>
      </c>
      <c r="C279" t="s">
        <v>2112</v>
      </c>
      <c r="D279" t="s">
        <v>355</v>
      </c>
      <c r="E279" t="s">
        <v>2112</v>
      </c>
      <c r="F279" t="s">
        <v>355</v>
      </c>
    </row>
    <row r="280" spans="1:6" x14ac:dyDescent="0.25">
      <c r="A280" t="s">
        <v>1085</v>
      </c>
      <c r="B280">
        <v>2302600279</v>
      </c>
      <c r="C280" t="s">
        <v>2112</v>
      </c>
      <c r="D280" t="s">
        <v>355</v>
      </c>
      <c r="E280" t="s">
        <v>2112</v>
      </c>
      <c r="F280" t="s">
        <v>355</v>
      </c>
    </row>
    <row r="281" spans="1:6" x14ac:dyDescent="0.25">
      <c r="A281" t="s">
        <v>1085</v>
      </c>
      <c r="B281">
        <v>2282600280</v>
      </c>
      <c r="C281" t="s">
        <v>2112</v>
      </c>
      <c r="D281" t="s">
        <v>355</v>
      </c>
      <c r="E281" t="s">
        <v>2112</v>
      </c>
      <c r="F281" t="s">
        <v>355</v>
      </c>
    </row>
    <row r="282" spans="1:6" x14ac:dyDescent="0.25">
      <c r="A282" t="s">
        <v>1085</v>
      </c>
      <c r="B282">
        <v>2282600281</v>
      </c>
      <c r="C282" t="s">
        <v>2112</v>
      </c>
      <c r="D282" t="s">
        <v>355</v>
      </c>
      <c r="E282" t="s">
        <v>2112</v>
      </c>
      <c r="F282" t="s">
        <v>355</v>
      </c>
    </row>
    <row r="283" spans="1:6" x14ac:dyDescent="0.25">
      <c r="A283" t="s">
        <v>1085</v>
      </c>
      <c r="B283">
        <v>2302600282</v>
      </c>
      <c r="C283" t="s">
        <v>2112</v>
      </c>
      <c r="D283" t="s">
        <v>355</v>
      </c>
      <c r="E283" t="s">
        <v>2112</v>
      </c>
      <c r="F283" t="s">
        <v>355</v>
      </c>
    </row>
    <row r="284" spans="1:6" x14ac:dyDescent="0.25">
      <c r="A284" t="s">
        <v>1085</v>
      </c>
      <c r="B284">
        <v>2302600283</v>
      </c>
      <c r="C284" t="s">
        <v>2112</v>
      </c>
      <c r="D284" t="s">
        <v>355</v>
      </c>
      <c r="E284" t="s">
        <v>2112</v>
      </c>
      <c r="F284" t="s">
        <v>355</v>
      </c>
    </row>
    <row r="285" spans="1:6" x14ac:dyDescent="0.25">
      <c r="A285" t="s">
        <v>1085</v>
      </c>
      <c r="B285">
        <v>2282600284</v>
      </c>
      <c r="C285" t="s">
        <v>2112</v>
      </c>
      <c r="D285" t="s">
        <v>355</v>
      </c>
      <c r="E285" t="s">
        <v>2112</v>
      </c>
      <c r="F285" t="s">
        <v>355</v>
      </c>
    </row>
    <row r="286" spans="1:6" x14ac:dyDescent="0.25">
      <c r="A286" t="s">
        <v>1085</v>
      </c>
      <c r="B286">
        <v>2282600285</v>
      </c>
      <c r="C286" t="s">
        <v>2112</v>
      </c>
      <c r="D286" t="s">
        <v>355</v>
      </c>
      <c r="E286" t="s">
        <v>2112</v>
      </c>
      <c r="F286" t="s">
        <v>355</v>
      </c>
    </row>
    <row r="287" spans="1:6" x14ac:dyDescent="0.25">
      <c r="A287" t="s">
        <v>1085</v>
      </c>
      <c r="B287">
        <v>2302600286</v>
      </c>
      <c r="C287" t="s">
        <v>2112</v>
      </c>
      <c r="D287" t="s">
        <v>355</v>
      </c>
      <c r="E287" t="s">
        <v>2112</v>
      </c>
      <c r="F287" t="s">
        <v>355</v>
      </c>
    </row>
    <row r="288" spans="1:6" x14ac:dyDescent="0.25">
      <c r="A288" t="s">
        <v>1085</v>
      </c>
      <c r="B288">
        <v>2302600287</v>
      </c>
      <c r="C288" t="s">
        <v>2112</v>
      </c>
      <c r="D288" t="s">
        <v>355</v>
      </c>
      <c r="E288" t="s">
        <v>2112</v>
      </c>
      <c r="F288" t="s">
        <v>355</v>
      </c>
    </row>
    <row r="289" spans="1:6" x14ac:dyDescent="0.25">
      <c r="A289" t="s">
        <v>1085</v>
      </c>
      <c r="B289">
        <v>2282600288</v>
      </c>
      <c r="C289" t="s">
        <v>2112</v>
      </c>
      <c r="D289" t="s">
        <v>355</v>
      </c>
      <c r="E289" t="s">
        <v>2112</v>
      </c>
      <c r="F289" t="s">
        <v>355</v>
      </c>
    </row>
    <row r="290" spans="1:6" x14ac:dyDescent="0.25">
      <c r="A290" t="s">
        <v>1118</v>
      </c>
      <c r="B290">
        <v>2282600289</v>
      </c>
      <c r="C290" t="s">
        <v>2112</v>
      </c>
      <c r="D290" t="s">
        <v>355</v>
      </c>
      <c r="E290" t="s">
        <v>2112</v>
      </c>
      <c r="F290" t="s">
        <v>355</v>
      </c>
    </row>
    <row r="291" spans="1:6" x14ac:dyDescent="0.25">
      <c r="A291" t="s">
        <v>1118</v>
      </c>
      <c r="B291">
        <v>2302600290</v>
      </c>
      <c r="C291" t="s">
        <v>2112</v>
      </c>
      <c r="D291" t="s">
        <v>355</v>
      </c>
      <c r="E291" t="s">
        <v>2112</v>
      </c>
      <c r="F291" t="s">
        <v>355</v>
      </c>
    </row>
    <row r="292" spans="1:6" x14ac:dyDescent="0.25">
      <c r="A292" t="s">
        <v>1118</v>
      </c>
      <c r="B292">
        <v>2302600291</v>
      </c>
      <c r="C292" t="s">
        <v>2112</v>
      </c>
      <c r="D292" t="s">
        <v>355</v>
      </c>
      <c r="E292" t="s">
        <v>2112</v>
      </c>
      <c r="F292" t="s">
        <v>355</v>
      </c>
    </row>
    <row r="293" spans="1:6" x14ac:dyDescent="0.25">
      <c r="A293" t="s">
        <v>1118</v>
      </c>
      <c r="B293">
        <v>2282600292</v>
      </c>
      <c r="C293" t="s">
        <v>2112</v>
      </c>
      <c r="D293" t="s">
        <v>355</v>
      </c>
      <c r="E293" t="s">
        <v>2112</v>
      </c>
      <c r="F293" t="s">
        <v>355</v>
      </c>
    </row>
    <row r="294" spans="1:6" x14ac:dyDescent="0.25">
      <c r="A294" t="s">
        <v>1118</v>
      </c>
      <c r="B294">
        <v>2282600293</v>
      </c>
      <c r="C294" t="s">
        <v>2112</v>
      </c>
      <c r="D294" t="s">
        <v>355</v>
      </c>
      <c r="E294" t="s">
        <v>2112</v>
      </c>
      <c r="F294" t="s">
        <v>355</v>
      </c>
    </row>
    <row r="295" spans="1:6" x14ac:dyDescent="0.25">
      <c r="A295" t="s">
        <v>1118</v>
      </c>
      <c r="B295">
        <v>2302600294</v>
      </c>
      <c r="C295" t="s">
        <v>2112</v>
      </c>
      <c r="D295" t="s">
        <v>355</v>
      </c>
      <c r="E295" t="s">
        <v>2112</v>
      </c>
      <c r="F295" t="s">
        <v>355</v>
      </c>
    </row>
    <row r="296" spans="1:6" x14ac:dyDescent="0.25">
      <c r="A296" t="s">
        <v>1118</v>
      </c>
      <c r="B296">
        <v>2302600295</v>
      </c>
      <c r="C296" t="s">
        <v>2112</v>
      </c>
      <c r="D296" t="s">
        <v>355</v>
      </c>
      <c r="E296" t="s">
        <v>2112</v>
      </c>
      <c r="F296" t="s">
        <v>355</v>
      </c>
    </row>
    <row r="297" spans="1:6" x14ac:dyDescent="0.25">
      <c r="A297" t="s">
        <v>1118</v>
      </c>
      <c r="B297">
        <v>2282600296</v>
      </c>
      <c r="C297" t="s">
        <v>2112</v>
      </c>
      <c r="D297" t="s">
        <v>355</v>
      </c>
      <c r="E297" t="s">
        <v>2112</v>
      </c>
      <c r="F297" t="s">
        <v>355</v>
      </c>
    </row>
    <row r="298" spans="1:6" x14ac:dyDescent="0.25">
      <c r="A298" t="s">
        <v>1118</v>
      </c>
      <c r="B298">
        <v>2282600297</v>
      </c>
      <c r="C298" t="s">
        <v>2112</v>
      </c>
      <c r="D298" t="s">
        <v>355</v>
      </c>
      <c r="E298" t="s">
        <v>2112</v>
      </c>
      <c r="F298" t="s">
        <v>355</v>
      </c>
    </row>
    <row r="299" spans="1:6" x14ac:dyDescent="0.25">
      <c r="A299" t="s">
        <v>1118</v>
      </c>
      <c r="B299">
        <v>2302600298</v>
      </c>
      <c r="C299" t="s">
        <v>2112</v>
      </c>
      <c r="D299" t="s">
        <v>355</v>
      </c>
      <c r="E299" t="s">
        <v>2112</v>
      </c>
      <c r="F299" t="s">
        <v>355</v>
      </c>
    </row>
    <row r="300" spans="1:6" x14ac:dyDescent="0.25">
      <c r="A300" t="s">
        <v>1118</v>
      </c>
      <c r="B300">
        <v>2302600299</v>
      </c>
      <c r="C300" t="s">
        <v>2112</v>
      </c>
      <c r="D300" t="s">
        <v>355</v>
      </c>
      <c r="E300" t="s">
        <v>2112</v>
      </c>
      <c r="F300" t="s">
        <v>355</v>
      </c>
    </row>
    <row r="301" spans="1:6" x14ac:dyDescent="0.25">
      <c r="A301" t="s">
        <v>1118</v>
      </c>
      <c r="B301">
        <v>2282600300</v>
      </c>
      <c r="C301" t="s">
        <v>2112</v>
      </c>
      <c r="D301" t="s">
        <v>355</v>
      </c>
      <c r="E301" t="s">
        <v>2112</v>
      </c>
      <c r="F301" t="s">
        <v>355</v>
      </c>
    </row>
    <row r="302" spans="1:6" x14ac:dyDescent="0.25">
      <c r="A302" t="s">
        <v>1118</v>
      </c>
      <c r="B302">
        <v>2282600301</v>
      </c>
      <c r="C302" t="s">
        <v>2112</v>
      </c>
      <c r="D302" t="s">
        <v>355</v>
      </c>
      <c r="E302" t="s">
        <v>2112</v>
      </c>
      <c r="F302" t="s">
        <v>355</v>
      </c>
    </row>
    <row r="303" spans="1:6" x14ac:dyDescent="0.25">
      <c r="A303" t="s">
        <v>1118</v>
      </c>
      <c r="B303">
        <v>2302600302</v>
      </c>
      <c r="C303" t="s">
        <v>2112</v>
      </c>
      <c r="D303" t="s">
        <v>355</v>
      </c>
      <c r="E303" t="s">
        <v>2112</v>
      </c>
      <c r="F303" t="s">
        <v>355</v>
      </c>
    </row>
    <row r="304" spans="1:6" x14ac:dyDescent="0.25">
      <c r="A304" t="s">
        <v>1118</v>
      </c>
      <c r="B304">
        <v>2302600303</v>
      </c>
      <c r="C304" t="s">
        <v>2112</v>
      </c>
      <c r="D304" t="s">
        <v>355</v>
      </c>
      <c r="E304" t="s">
        <v>2112</v>
      </c>
      <c r="F304" t="s">
        <v>355</v>
      </c>
    </row>
    <row r="305" spans="1:6" x14ac:dyDescent="0.25">
      <c r="A305" t="s">
        <v>1118</v>
      </c>
      <c r="B305">
        <v>2282600304</v>
      </c>
      <c r="C305" t="s">
        <v>2112</v>
      </c>
      <c r="D305" t="s">
        <v>355</v>
      </c>
      <c r="E305" t="s">
        <v>2112</v>
      </c>
      <c r="F305" t="s">
        <v>355</v>
      </c>
    </row>
    <row r="306" spans="1:6" x14ac:dyDescent="0.25">
      <c r="A306" t="s">
        <v>1118</v>
      </c>
      <c r="B306">
        <v>2282600305</v>
      </c>
      <c r="C306" t="s">
        <v>2112</v>
      </c>
      <c r="D306" t="s">
        <v>355</v>
      </c>
      <c r="E306" t="s">
        <v>2112</v>
      </c>
      <c r="F306" t="s">
        <v>355</v>
      </c>
    </row>
    <row r="307" spans="1:6" x14ac:dyDescent="0.25">
      <c r="A307" t="s">
        <v>1118</v>
      </c>
      <c r="B307">
        <v>2302600306</v>
      </c>
      <c r="C307" t="s">
        <v>2112</v>
      </c>
      <c r="D307" t="s">
        <v>355</v>
      </c>
      <c r="E307" t="s">
        <v>2112</v>
      </c>
      <c r="F307" t="s">
        <v>355</v>
      </c>
    </row>
    <row r="308" spans="1:6" x14ac:dyDescent="0.25">
      <c r="A308" t="s">
        <v>1118</v>
      </c>
      <c r="B308">
        <v>2302600307</v>
      </c>
      <c r="C308" t="s">
        <v>2112</v>
      </c>
      <c r="D308" t="s">
        <v>355</v>
      </c>
      <c r="E308" t="s">
        <v>2112</v>
      </c>
      <c r="F308" t="s">
        <v>355</v>
      </c>
    </row>
    <row r="309" spans="1:6" x14ac:dyDescent="0.25">
      <c r="A309" t="s">
        <v>1118</v>
      </c>
      <c r="B309">
        <v>2282600308</v>
      </c>
      <c r="C309" t="s">
        <v>2112</v>
      </c>
      <c r="D309" t="s">
        <v>355</v>
      </c>
      <c r="E309" t="s">
        <v>2112</v>
      </c>
      <c r="F309" t="s">
        <v>355</v>
      </c>
    </row>
    <row r="310" spans="1:6" x14ac:dyDescent="0.25">
      <c r="A310" t="s">
        <v>1118</v>
      </c>
      <c r="B310">
        <v>2282600309</v>
      </c>
      <c r="C310" t="s">
        <v>2112</v>
      </c>
      <c r="D310" t="s">
        <v>355</v>
      </c>
      <c r="E310" t="s">
        <v>2112</v>
      </c>
      <c r="F310" t="s">
        <v>355</v>
      </c>
    </row>
    <row r="311" spans="1:6" x14ac:dyDescent="0.25">
      <c r="A311" t="s">
        <v>1118</v>
      </c>
      <c r="B311">
        <v>2302600310</v>
      </c>
      <c r="C311" t="s">
        <v>2112</v>
      </c>
      <c r="D311" t="s">
        <v>355</v>
      </c>
      <c r="E311" t="s">
        <v>2112</v>
      </c>
      <c r="F311" t="s">
        <v>355</v>
      </c>
    </row>
    <row r="312" spans="1:6" x14ac:dyDescent="0.25">
      <c r="A312" t="s">
        <v>1118</v>
      </c>
      <c r="B312">
        <v>2302600311</v>
      </c>
      <c r="C312" t="s">
        <v>2112</v>
      </c>
      <c r="D312" t="s">
        <v>355</v>
      </c>
      <c r="E312" t="s">
        <v>2112</v>
      </c>
      <c r="F312" t="s">
        <v>355</v>
      </c>
    </row>
    <row r="313" spans="1:6" x14ac:dyDescent="0.25">
      <c r="A313" t="s">
        <v>1118</v>
      </c>
      <c r="B313">
        <v>2282600312</v>
      </c>
      <c r="C313" t="s">
        <v>2112</v>
      </c>
      <c r="D313" t="s">
        <v>355</v>
      </c>
      <c r="E313" t="s">
        <v>2112</v>
      </c>
      <c r="F313" t="s">
        <v>355</v>
      </c>
    </row>
    <row r="314" spans="1:6" x14ac:dyDescent="0.25">
      <c r="A314" t="s">
        <v>1118</v>
      </c>
      <c r="B314">
        <v>2282600313</v>
      </c>
      <c r="C314" t="s">
        <v>2112</v>
      </c>
      <c r="D314" t="s">
        <v>355</v>
      </c>
      <c r="E314" t="s">
        <v>2112</v>
      </c>
      <c r="F314" t="s">
        <v>355</v>
      </c>
    </row>
    <row r="315" spans="1:6" x14ac:dyDescent="0.25">
      <c r="A315" t="s">
        <v>1118</v>
      </c>
      <c r="B315">
        <v>2302600314</v>
      </c>
      <c r="C315" t="s">
        <v>2112</v>
      </c>
      <c r="D315" t="s">
        <v>355</v>
      </c>
      <c r="E315" t="s">
        <v>2112</v>
      </c>
      <c r="F315" t="s">
        <v>355</v>
      </c>
    </row>
    <row r="316" spans="1:6" x14ac:dyDescent="0.25">
      <c r="A316" t="s">
        <v>1118</v>
      </c>
      <c r="B316">
        <v>2302600315</v>
      </c>
      <c r="C316" t="s">
        <v>2112</v>
      </c>
      <c r="D316" t="s">
        <v>355</v>
      </c>
      <c r="E316" t="s">
        <v>2112</v>
      </c>
      <c r="F316" t="s">
        <v>355</v>
      </c>
    </row>
    <row r="317" spans="1:6" x14ac:dyDescent="0.25">
      <c r="A317" t="s">
        <v>1118</v>
      </c>
      <c r="B317">
        <v>2282600316</v>
      </c>
      <c r="C317" t="s">
        <v>2112</v>
      </c>
      <c r="D317" t="s">
        <v>355</v>
      </c>
      <c r="E317" t="s">
        <v>2112</v>
      </c>
      <c r="F317" t="s">
        <v>355</v>
      </c>
    </row>
    <row r="318" spans="1:6" x14ac:dyDescent="0.25">
      <c r="A318" t="s">
        <v>1118</v>
      </c>
      <c r="B318">
        <v>2282600317</v>
      </c>
      <c r="C318" t="s">
        <v>2112</v>
      </c>
      <c r="D318" t="s">
        <v>355</v>
      </c>
      <c r="E318" t="s">
        <v>2112</v>
      </c>
      <c r="F318" t="s">
        <v>355</v>
      </c>
    </row>
    <row r="319" spans="1:6" x14ac:dyDescent="0.25">
      <c r="A319" t="s">
        <v>1118</v>
      </c>
      <c r="B319">
        <v>2302600318</v>
      </c>
      <c r="C319" t="s">
        <v>2112</v>
      </c>
      <c r="D319" t="s">
        <v>355</v>
      </c>
      <c r="E319" t="s">
        <v>2112</v>
      </c>
      <c r="F319" t="s">
        <v>355</v>
      </c>
    </row>
    <row r="320" spans="1:6" x14ac:dyDescent="0.25">
      <c r="A320" t="s">
        <v>1118</v>
      </c>
      <c r="B320">
        <v>2302600319</v>
      </c>
      <c r="C320" t="s">
        <v>2112</v>
      </c>
      <c r="D320" t="s">
        <v>355</v>
      </c>
      <c r="E320" t="s">
        <v>2112</v>
      </c>
      <c r="F320" t="s">
        <v>355</v>
      </c>
    </row>
    <row r="321" spans="1:6" x14ac:dyDescent="0.25">
      <c r="A321" t="s">
        <v>1118</v>
      </c>
      <c r="B321">
        <v>2282600320</v>
      </c>
      <c r="C321" t="s">
        <v>2112</v>
      </c>
      <c r="D321" t="s">
        <v>355</v>
      </c>
      <c r="E321" t="s">
        <v>2112</v>
      </c>
      <c r="F321" t="s">
        <v>355</v>
      </c>
    </row>
    <row r="322" spans="1:6" x14ac:dyDescent="0.25">
      <c r="A322" t="s">
        <v>1151</v>
      </c>
      <c r="B322">
        <v>2282600321</v>
      </c>
      <c r="C322" t="s">
        <v>2112</v>
      </c>
      <c r="D322" t="s">
        <v>355</v>
      </c>
      <c r="E322" t="s">
        <v>2112</v>
      </c>
      <c r="F322" t="s">
        <v>355</v>
      </c>
    </row>
    <row r="323" spans="1:6" x14ac:dyDescent="0.25">
      <c r="A323" t="s">
        <v>1151</v>
      </c>
      <c r="B323">
        <v>2302600322</v>
      </c>
      <c r="C323" t="s">
        <v>2112</v>
      </c>
      <c r="D323" t="s">
        <v>355</v>
      </c>
      <c r="E323" t="s">
        <v>2112</v>
      </c>
      <c r="F323" t="s">
        <v>355</v>
      </c>
    </row>
    <row r="324" spans="1:6" x14ac:dyDescent="0.25">
      <c r="A324" t="s">
        <v>1151</v>
      </c>
      <c r="B324">
        <v>2302600323</v>
      </c>
      <c r="C324" t="s">
        <v>2112</v>
      </c>
      <c r="D324" t="s">
        <v>355</v>
      </c>
      <c r="E324" t="s">
        <v>2112</v>
      </c>
      <c r="F324" t="s">
        <v>355</v>
      </c>
    </row>
    <row r="325" spans="1:6" x14ac:dyDescent="0.25">
      <c r="A325" t="s">
        <v>1151</v>
      </c>
      <c r="B325">
        <v>2282600324</v>
      </c>
      <c r="C325" t="s">
        <v>2112</v>
      </c>
      <c r="D325" t="s">
        <v>355</v>
      </c>
      <c r="E325" t="s">
        <v>2112</v>
      </c>
      <c r="F325" t="s">
        <v>355</v>
      </c>
    </row>
    <row r="326" spans="1:6" x14ac:dyDescent="0.25">
      <c r="A326" t="s">
        <v>1151</v>
      </c>
      <c r="B326">
        <v>2282600325</v>
      </c>
      <c r="C326" t="s">
        <v>2112</v>
      </c>
      <c r="D326" t="s">
        <v>355</v>
      </c>
      <c r="E326" t="s">
        <v>2112</v>
      </c>
      <c r="F326" t="s">
        <v>355</v>
      </c>
    </row>
    <row r="327" spans="1:6" x14ac:dyDescent="0.25">
      <c r="A327" t="s">
        <v>1151</v>
      </c>
      <c r="B327">
        <v>2302600326</v>
      </c>
      <c r="C327" t="s">
        <v>2112</v>
      </c>
      <c r="D327" t="s">
        <v>355</v>
      </c>
      <c r="E327" t="s">
        <v>2112</v>
      </c>
      <c r="F327" t="s">
        <v>355</v>
      </c>
    </row>
    <row r="328" spans="1:6" x14ac:dyDescent="0.25">
      <c r="A328" t="s">
        <v>1151</v>
      </c>
      <c r="B328">
        <v>2302600327</v>
      </c>
      <c r="C328" t="s">
        <v>2112</v>
      </c>
      <c r="D328" t="s">
        <v>355</v>
      </c>
      <c r="E328" t="s">
        <v>2112</v>
      </c>
      <c r="F328" t="s">
        <v>355</v>
      </c>
    </row>
    <row r="329" spans="1:6" x14ac:dyDescent="0.25">
      <c r="A329" t="s">
        <v>1151</v>
      </c>
      <c r="B329">
        <v>2282600328</v>
      </c>
      <c r="C329" t="s">
        <v>2112</v>
      </c>
      <c r="D329" t="s">
        <v>355</v>
      </c>
      <c r="E329" t="s">
        <v>2112</v>
      </c>
      <c r="F329" t="s">
        <v>355</v>
      </c>
    </row>
    <row r="330" spans="1:6" x14ac:dyDescent="0.25">
      <c r="A330" t="s">
        <v>1151</v>
      </c>
      <c r="B330">
        <v>2282600329</v>
      </c>
      <c r="C330" t="s">
        <v>2112</v>
      </c>
      <c r="D330" t="s">
        <v>355</v>
      </c>
      <c r="E330" t="s">
        <v>2112</v>
      </c>
      <c r="F330" t="s">
        <v>355</v>
      </c>
    </row>
    <row r="331" spans="1:6" x14ac:dyDescent="0.25">
      <c r="A331" t="s">
        <v>1151</v>
      </c>
      <c r="B331">
        <v>2302600330</v>
      </c>
      <c r="C331" t="s">
        <v>2112</v>
      </c>
      <c r="D331" t="s">
        <v>355</v>
      </c>
      <c r="E331" t="s">
        <v>2112</v>
      </c>
      <c r="F331" t="s">
        <v>355</v>
      </c>
    </row>
    <row r="332" spans="1:6" x14ac:dyDescent="0.25">
      <c r="A332" t="s">
        <v>1151</v>
      </c>
      <c r="B332">
        <v>2302600331</v>
      </c>
      <c r="C332" t="s">
        <v>2112</v>
      </c>
      <c r="D332" t="s">
        <v>355</v>
      </c>
      <c r="E332" t="s">
        <v>2112</v>
      </c>
      <c r="F332" t="s">
        <v>355</v>
      </c>
    </row>
    <row r="333" spans="1:6" x14ac:dyDescent="0.25">
      <c r="A333" t="s">
        <v>1151</v>
      </c>
      <c r="B333">
        <v>2282600332</v>
      </c>
      <c r="C333" t="s">
        <v>2112</v>
      </c>
      <c r="D333" t="s">
        <v>355</v>
      </c>
      <c r="E333" t="s">
        <v>2112</v>
      </c>
      <c r="F333" t="s">
        <v>355</v>
      </c>
    </row>
    <row r="334" spans="1:6" x14ac:dyDescent="0.25">
      <c r="A334" t="s">
        <v>1151</v>
      </c>
      <c r="B334">
        <v>2282600333</v>
      </c>
      <c r="C334" t="s">
        <v>2112</v>
      </c>
      <c r="D334" t="s">
        <v>355</v>
      </c>
      <c r="E334" t="s">
        <v>2112</v>
      </c>
      <c r="F334" t="s">
        <v>355</v>
      </c>
    </row>
    <row r="335" spans="1:6" x14ac:dyDescent="0.25">
      <c r="A335" t="s">
        <v>1151</v>
      </c>
      <c r="B335">
        <v>2302600334</v>
      </c>
      <c r="C335" t="s">
        <v>2112</v>
      </c>
      <c r="D335" t="s">
        <v>355</v>
      </c>
      <c r="E335" t="s">
        <v>2112</v>
      </c>
      <c r="F335" t="s">
        <v>355</v>
      </c>
    </row>
    <row r="336" spans="1:6" x14ac:dyDescent="0.25">
      <c r="A336" t="s">
        <v>1151</v>
      </c>
      <c r="B336">
        <v>2302600335</v>
      </c>
      <c r="C336" t="s">
        <v>2112</v>
      </c>
      <c r="D336" t="s">
        <v>355</v>
      </c>
      <c r="E336" t="s">
        <v>2112</v>
      </c>
      <c r="F336" t="s">
        <v>355</v>
      </c>
    </row>
    <row r="337" spans="1:6" x14ac:dyDescent="0.25">
      <c r="A337" t="s">
        <v>1151</v>
      </c>
      <c r="B337">
        <v>2282600336</v>
      </c>
      <c r="C337" t="s">
        <v>2112</v>
      </c>
      <c r="D337" t="s">
        <v>355</v>
      </c>
      <c r="E337" t="s">
        <v>2112</v>
      </c>
      <c r="F337" t="s">
        <v>355</v>
      </c>
    </row>
    <row r="338" spans="1:6" x14ac:dyDescent="0.25">
      <c r="A338" t="s">
        <v>1151</v>
      </c>
      <c r="B338">
        <v>2282600337</v>
      </c>
      <c r="C338" t="s">
        <v>2112</v>
      </c>
      <c r="D338" t="s">
        <v>355</v>
      </c>
      <c r="E338" t="s">
        <v>2112</v>
      </c>
      <c r="F338" t="s">
        <v>355</v>
      </c>
    </row>
    <row r="339" spans="1:6" x14ac:dyDescent="0.25">
      <c r="A339" t="s">
        <v>1151</v>
      </c>
      <c r="B339">
        <v>2302600338</v>
      </c>
      <c r="C339" t="s">
        <v>2112</v>
      </c>
      <c r="D339" t="s">
        <v>355</v>
      </c>
      <c r="E339" t="s">
        <v>2112</v>
      </c>
      <c r="F339" t="s">
        <v>355</v>
      </c>
    </row>
    <row r="340" spans="1:6" x14ac:dyDescent="0.25">
      <c r="A340" t="s">
        <v>1151</v>
      </c>
      <c r="B340">
        <v>2302600339</v>
      </c>
      <c r="C340" t="s">
        <v>2112</v>
      </c>
      <c r="D340" t="s">
        <v>355</v>
      </c>
      <c r="E340" t="s">
        <v>2112</v>
      </c>
      <c r="F340" t="s">
        <v>355</v>
      </c>
    </row>
    <row r="341" spans="1:6" x14ac:dyDescent="0.25">
      <c r="A341" t="s">
        <v>1151</v>
      </c>
      <c r="B341">
        <v>2282600340</v>
      </c>
      <c r="C341" t="s">
        <v>2112</v>
      </c>
      <c r="D341" t="s">
        <v>355</v>
      </c>
      <c r="E341" t="s">
        <v>2112</v>
      </c>
      <c r="F341" t="s">
        <v>355</v>
      </c>
    </row>
    <row r="342" spans="1:6" x14ac:dyDescent="0.25">
      <c r="A342" t="s">
        <v>1151</v>
      </c>
      <c r="B342">
        <v>2282600341</v>
      </c>
      <c r="C342" t="s">
        <v>2112</v>
      </c>
      <c r="D342" t="s">
        <v>355</v>
      </c>
      <c r="E342" t="s">
        <v>2112</v>
      </c>
      <c r="F342" t="s">
        <v>355</v>
      </c>
    </row>
    <row r="343" spans="1:6" x14ac:dyDescent="0.25">
      <c r="A343" t="s">
        <v>1151</v>
      </c>
      <c r="B343">
        <v>2302600342</v>
      </c>
      <c r="C343" t="s">
        <v>2112</v>
      </c>
      <c r="D343" t="s">
        <v>355</v>
      </c>
      <c r="E343" t="s">
        <v>2112</v>
      </c>
      <c r="F343" t="s">
        <v>355</v>
      </c>
    </row>
    <row r="344" spans="1:6" x14ac:dyDescent="0.25">
      <c r="A344" t="s">
        <v>1151</v>
      </c>
      <c r="B344">
        <v>2302600343</v>
      </c>
      <c r="C344" t="s">
        <v>2112</v>
      </c>
      <c r="D344" t="s">
        <v>355</v>
      </c>
      <c r="E344" t="s">
        <v>2112</v>
      </c>
      <c r="F344" t="s">
        <v>355</v>
      </c>
    </row>
    <row r="345" spans="1:6" x14ac:dyDescent="0.25">
      <c r="A345" t="s">
        <v>1151</v>
      </c>
      <c r="B345">
        <v>2282600344</v>
      </c>
      <c r="C345" t="s">
        <v>2112</v>
      </c>
      <c r="D345" t="s">
        <v>355</v>
      </c>
      <c r="E345" t="s">
        <v>2112</v>
      </c>
      <c r="F345" t="s">
        <v>355</v>
      </c>
    </row>
    <row r="346" spans="1:6" x14ac:dyDescent="0.25">
      <c r="A346" t="s">
        <v>1151</v>
      </c>
      <c r="B346">
        <v>2282600345</v>
      </c>
      <c r="C346" t="s">
        <v>2112</v>
      </c>
      <c r="D346" t="s">
        <v>355</v>
      </c>
      <c r="E346" t="s">
        <v>2112</v>
      </c>
      <c r="F346" t="s">
        <v>355</v>
      </c>
    </row>
    <row r="347" spans="1:6" x14ac:dyDescent="0.25">
      <c r="A347" t="s">
        <v>1151</v>
      </c>
      <c r="B347">
        <v>2302600346</v>
      </c>
      <c r="C347" t="s">
        <v>2112</v>
      </c>
      <c r="D347" t="s">
        <v>355</v>
      </c>
      <c r="E347" t="s">
        <v>2112</v>
      </c>
      <c r="F347" t="s">
        <v>355</v>
      </c>
    </row>
    <row r="348" spans="1:6" x14ac:dyDescent="0.25">
      <c r="A348" t="s">
        <v>1151</v>
      </c>
      <c r="B348">
        <v>2302600347</v>
      </c>
      <c r="C348" t="s">
        <v>2112</v>
      </c>
      <c r="D348" t="s">
        <v>355</v>
      </c>
      <c r="E348" t="s">
        <v>2112</v>
      </c>
      <c r="F348" t="s">
        <v>355</v>
      </c>
    </row>
    <row r="349" spans="1:6" x14ac:dyDescent="0.25">
      <c r="A349" t="s">
        <v>1151</v>
      </c>
      <c r="B349">
        <v>2282600348</v>
      </c>
      <c r="C349" t="s">
        <v>2112</v>
      </c>
      <c r="D349" t="s">
        <v>355</v>
      </c>
      <c r="E349" t="s">
        <v>2112</v>
      </c>
      <c r="F349" t="s">
        <v>355</v>
      </c>
    </row>
    <row r="350" spans="1:6" x14ac:dyDescent="0.25">
      <c r="A350" t="s">
        <v>1151</v>
      </c>
      <c r="B350">
        <v>2282600349</v>
      </c>
      <c r="C350" t="s">
        <v>2112</v>
      </c>
      <c r="D350" t="s">
        <v>355</v>
      </c>
      <c r="E350" t="s">
        <v>2112</v>
      </c>
      <c r="F350" t="s">
        <v>355</v>
      </c>
    </row>
    <row r="351" spans="1:6" x14ac:dyDescent="0.25">
      <c r="A351" t="s">
        <v>1151</v>
      </c>
      <c r="B351">
        <v>2302600350</v>
      </c>
      <c r="C351" t="s">
        <v>2112</v>
      </c>
      <c r="D351" t="s">
        <v>355</v>
      </c>
      <c r="E351" t="s">
        <v>2112</v>
      </c>
      <c r="F351" t="s">
        <v>355</v>
      </c>
    </row>
    <row r="352" spans="1:6" x14ac:dyDescent="0.25">
      <c r="A352" t="s">
        <v>1151</v>
      </c>
      <c r="B352">
        <v>2302600351</v>
      </c>
      <c r="C352" t="s">
        <v>2112</v>
      </c>
      <c r="D352" t="s">
        <v>355</v>
      </c>
      <c r="E352" t="s">
        <v>2112</v>
      </c>
      <c r="F352" t="s">
        <v>355</v>
      </c>
    </row>
    <row r="353" spans="1:6" x14ac:dyDescent="0.25">
      <c r="A353" t="s">
        <v>1151</v>
      </c>
      <c r="B353">
        <v>2282600352</v>
      </c>
      <c r="C353" t="s">
        <v>2112</v>
      </c>
      <c r="D353" t="s">
        <v>355</v>
      </c>
      <c r="E353" t="s">
        <v>2112</v>
      </c>
      <c r="F353" t="s">
        <v>355</v>
      </c>
    </row>
    <row r="354" spans="1:6" x14ac:dyDescent="0.25">
      <c r="A354" t="s">
        <v>1184</v>
      </c>
      <c r="B354">
        <v>2282600353</v>
      </c>
      <c r="C354" t="s">
        <v>2112</v>
      </c>
      <c r="D354" t="s">
        <v>355</v>
      </c>
      <c r="E354" t="s">
        <v>2112</v>
      </c>
      <c r="F354" t="s">
        <v>355</v>
      </c>
    </row>
    <row r="355" spans="1:6" x14ac:dyDescent="0.25">
      <c r="A355" t="s">
        <v>1184</v>
      </c>
      <c r="B355">
        <v>2302600354</v>
      </c>
      <c r="C355" t="s">
        <v>2112</v>
      </c>
      <c r="D355" t="s">
        <v>355</v>
      </c>
      <c r="E355" t="s">
        <v>2112</v>
      </c>
      <c r="F355" t="s">
        <v>355</v>
      </c>
    </row>
    <row r="356" spans="1:6" x14ac:dyDescent="0.25">
      <c r="A356" t="s">
        <v>1184</v>
      </c>
      <c r="B356">
        <v>2302600355</v>
      </c>
      <c r="C356" t="s">
        <v>2112</v>
      </c>
      <c r="D356" t="s">
        <v>355</v>
      </c>
      <c r="E356" t="s">
        <v>2112</v>
      </c>
      <c r="F356" t="s">
        <v>355</v>
      </c>
    </row>
    <row r="357" spans="1:6" x14ac:dyDescent="0.25">
      <c r="A357" t="s">
        <v>1184</v>
      </c>
      <c r="B357">
        <v>2282600356</v>
      </c>
      <c r="C357" t="s">
        <v>2112</v>
      </c>
      <c r="D357" t="s">
        <v>355</v>
      </c>
      <c r="E357" t="s">
        <v>2112</v>
      </c>
      <c r="F357" t="s">
        <v>355</v>
      </c>
    </row>
    <row r="358" spans="1:6" x14ac:dyDescent="0.25">
      <c r="A358" t="s">
        <v>1184</v>
      </c>
      <c r="B358">
        <v>2282600357</v>
      </c>
      <c r="C358" t="s">
        <v>2112</v>
      </c>
      <c r="D358" t="s">
        <v>355</v>
      </c>
      <c r="E358" t="s">
        <v>2112</v>
      </c>
      <c r="F358" t="s">
        <v>355</v>
      </c>
    </row>
    <row r="359" spans="1:6" x14ac:dyDescent="0.25">
      <c r="A359" t="s">
        <v>1184</v>
      </c>
      <c r="B359">
        <v>2302600358</v>
      </c>
      <c r="C359" t="s">
        <v>2112</v>
      </c>
      <c r="D359" t="s">
        <v>355</v>
      </c>
      <c r="E359" t="s">
        <v>2112</v>
      </c>
      <c r="F359" t="s">
        <v>355</v>
      </c>
    </row>
    <row r="360" spans="1:6" x14ac:dyDescent="0.25">
      <c r="A360" t="s">
        <v>1184</v>
      </c>
      <c r="B360">
        <v>2302600359</v>
      </c>
      <c r="C360" t="s">
        <v>2112</v>
      </c>
      <c r="D360" t="s">
        <v>355</v>
      </c>
      <c r="E360" t="s">
        <v>2112</v>
      </c>
      <c r="F360" t="s">
        <v>355</v>
      </c>
    </row>
    <row r="361" spans="1:6" x14ac:dyDescent="0.25">
      <c r="A361" t="s">
        <v>1184</v>
      </c>
      <c r="B361">
        <v>2282600360</v>
      </c>
      <c r="C361" t="s">
        <v>2112</v>
      </c>
      <c r="D361" t="s">
        <v>355</v>
      </c>
      <c r="E361" t="s">
        <v>2112</v>
      </c>
      <c r="F361" t="s">
        <v>355</v>
      </c>
    </row>
    <row r="362" spans="1:6" x14ac:dyDescent="0.25">
      <c r="A362" t="s">
        <v>1184</v>
      </c>
      <c r="B362">
        <v>2282600361</v>
      </c>
      <c r="C362" t="s">
        <v>2112</v>
      </c>
      <c r="D362" t="s">
        <v>355</v>
      </c>
      <c r="E362" t="s">
        <v>2112</v>
      </c>
      <c r="F362" t="s">
        <v>355</v>
      </c>
    </row>
    <row r="363" spans="1:6" x14ac:dyDescent="0.25">
      <c r="A363" t="s">
        <v>1184</v>
      </c>
      <c r="B363">
        <v>2302600362</v>
      </c>
      <c r="C363" t="s">
        <v>2112</v>
      </c>
      <c r="D363" t="s">
        <v>355</v>
      </c>
      <c r="E363" t="s">
        <v>2112</v>
      </c>
      <c r="F363" t="s">
        <v>355</v>
      </c>
    </row>
    <row r="364" spans="1:6" x14ac:dyDescent="0.25">
      <c r="A364" t="s">
        <v>1184</v>
      </c>
      <c r="B364">
        <v>2302600363</v>
      </c>
      <c r="C364" t="s">
        <v>2112</v>
      </c>
      <c r="D364" t="s">
        <v>355</v>
      </c>
      <c r="E364" t="s">
        <v>2112</v>
      </c>
      <c r="F364" t="s">
        <v>355</v>
      </c>
    </row>
    <row r="365" spans="1:6" x14ac:dyDescent="0.25">
      <c r="A365" t="s">
        <v>1184</v>
      </c>
      <c r="B365">
        <v>2282600364</v>
      </c>
      <c r="C365" t="s">
        <v>2112</v>
      </c>
      <c r="D365" t="s">
        <v>355</v>
      </c>
      <c r="E365" t="s">
        <v>2112</v>
      </c>
      <c r="F365" t="s">
        <v>355</v>
      </c>
    </row>
    <row r="366" spans="1:6" x14ac:dyDescent="0.25">
      <c r="A366" t="s">
        <v>1184</v>
      </c>
      <c r="B366">
        <v>2282600365</v>
      </c>
      <c r="C366" t="s">
        <v>2112</v>
      </c>
      <c r="D366" t="s">
        <v>355</v>
      </c>
      <c r="E366" t="s">
        <v>2112</v>
      </c>
      <c r="F366" t="s">
        <v>355</v>
      </c>
    </row>
    <row r="367" spans="1:6" x14ac:dyDescent="0.25">
      <c r="A367" t="s">
        <v>1184</v>
      </c>
      <c r="B367">
        <v>2302600366</v>
      </c>
      <c r="C367" t="s">
        <v>2112</v>
      </c>
      <c r="D367" t="s">
        <v>355</v>
      </c>
      <c r="E367" t="s">
        <v>2112</v>
      </c>
      <c r="F367" t="s">
        <v>355</v>
      </c>
    </row>
    <row r="368" spans="1:6" x14ac:dyDescent="0.25">
      <c r="A368" t="s">
        <v>1184</v>
      </c>
      <c r="B368">
        <v>2302600367</v>
      </c>
      <c r="C368" t="s">
        <v>2112</v>
      </c>
      <c r="D368" t="s">
        <v>355</v>
      </c>
      <c r="E368" t="s">
        <v>2112</v>
      </c>
      <c r="F368" t="s">
        <v>355</v>
      </c>
    </row>
    <row r="369" spans="1:6" x14ac:dyDescent="0.25">
      <c r="A369" t="s">
        <v>1184</v>
      </c>
      <c r="B369">
        <v>2282600368</v>
      </c>
      <c r="C369" t="s">
        <v>2112</v>
      </c>
      <c r="D369" t="s">
        <v>355</v>
      </c>
      <c r="E369" t="s">
        <v>2112</v>
      </c>
      <c r="F369" t="s">
        <v>355</v>
      </c>
    </row>
    <row r="370" spans="1:6" x14ac:dyDescent="0.25">
      <c r="A370" t="s">
        <v>1184</v>
      </c>
      <c r="B370">
        <v>2282600369</v>
      </c>
      <c r="C370" t="s">
        <v>2112</v>
      </c>
      <c r="D370" t="s">
        <v>355</v>
      </c>
      <c r="E370" t="s">
        <v>2112</v>
      </c>
      <c r="F370" t="s">
        <v>355</v>
      </c>
    </row>
    <row r="371" spans="1:6" x14ac:dyDescent="0.25">
      <c r="A371" t="s">
        <v>1184</v>
      </c>
      <c r="B371">
        <v>2302600370</v>
      </c>
      <c r="C371" t="s">
        <v>2112</v>
      </c>
      <c r="D371" t="s">
        <v>355</v>
      </c>
      <c r="E371" t="s">
        <v>2112</v>
      </c>
      <c r="F371" t="s">
        <v>355</v>
      </c>
    </row>
    <row r="372" spans="1:6" x14ac:dyDescent="0.25">
      <c r="A372" t="s">
        <v>1184</v>
      </c>
      <c r="B372">
        <v>2302600371</v>
      </c>
      <c r="C372" t="s">
        <v>2112</v>
      </c>
      <c r="D372" t="s">
        <v>355</v>
      </c>
      <c r="E372" t="s">
        <v>2112</v>
      </c>
      <c r="F372" t="s">
        <v>355</v>
      </c>
    </row>
    <row r="373" spans="1:6" x14ac:dyDescent="0.25">
      <c r="A373" t="s">
        <v>1184</v>
      </c>
      <c r="B373">
        <v>2282600372</v>
      </c>
      <c r="C373" t="s">
        <v>2112</v>
      </c>
      <c r="D373" t="s">
        <v>355</v>
      </c>
      <c r="E373" t="s">
        <v>2112</v>
      </c>
      <c r="F373" t="s">
        <v>355</v>
      </c>
    </row>
    <row r="374" spans="1:6" x14ac:dyDescent="0.25">
      <c r="A374" t="s">
        <v>1184</v>
      </c>
      <c r="B374">
        <v>2282600373</v>
      </c>
      <c r="C374" t="s">
        <v>2112</v>
      </c>
      <c r="D374" t="s">
        <v>355</v>
      </c>
      <c r="E374" t="s">
        <v>2112</v>
      </c>
      <c r="F374" t="s">
        <v>355</v>
      </c>
    </row>
    <row r="375" spans="1:6" x14ac:dyDescent="0.25">
      <c r="A375" t="s">
        <v>1184</v>
      </c>
      <c r="B375">
        <v>2302600374</v>
      </c>
      <c r="C375" t="s">
        <v>2112</v>
      </c>
      <c r="D375" t="s">
        <v>355</v>
      </c>
      <c r="E375" t="s">
        <v>2112</v>
      </c>
      <c r="F375" t="s">
        <v>355</v>
      </c>
    </row>
    <row r="376" spans="1:6" x14ac:dyDescent="0.25">
      <c r="A376" t="s">
        <v>1184</v>
      </c>
      <c r="B376">
        <v>2302600375</v>
      </c>
      <c r="C376" t="s">
        <v>2112</v>
      </c>
      <c r="D376" t="s">
        <v>355</v>
      </c>
      <c r="E376" t="s">
        <v>2112</v>
      </c>
      <c r="F376" t="s">
        <v>355</v>
      </c>
    </row>
    <row r="377" spans="1:6" x14ac:dyDescent="0.25">
      <c r="A377" t="s">
        <v>1184</v>
      </c>
      <c r="B377">
        <v>2282600376</v>
      </c>
      <c r="C377" t="s">
        <v>2112</v>
      </c>
      <c r="D377" t="s">
        <v>355</v>
      </c>
      <c r="E377" t="s">
        <v>2112</v>
      </c>
      <c r="F377" t="s">
        <v>355</v>
      </c>
    </row>
    <row r="378" spans="1:6" x14ac:dyDescent="0.25">
      <c r="A378" t="s">
        <v>1184</v>
      </c>
      <c r="B378">
        <v>2282600377</v>
      </c>
      <c r="C378" t="s">
        <v>2112</v>
      </c>
      <c r="D378" t="s">
        <v>355</v>
      </c>
      <c r="E378" t="s">
        <v>2112</v>
      </c>
      <c r="F378" t="s">
        <v>355</v>
      </c>
    </row>
    <row r="379" spans="1:6" x14ac:dyDescent="0.25">
      <c r="A379" t="s">
        <v>1184</v>
      </c>
      <c r="B379">
        <v>2302600378</v>
      </c>
      <c r="C379" t="s">
        <v>2112</v>
      </c>
      <c r="D379" t="s">
        <v>355</v>
      </c>
      <c r="E379" t="s">
        <v>2112</v>
      </c>
      <c r="F379" t="s">
        <v>355</v>
      </c>
    </row>
    <row r="380" spans="1:6" x14ac:dyDescent="0.25">
      <c r="A380" t="s">
        <v>1184</v>
      </c>
      <c r="B380">
        <v>2302600379</v>
      </c>
      <c r="C380" t="s">
        <v>2112</v>
      </c>
      <c r="D380" t="s">
        <v>355</v>
      </c>
      <c r="E380" t="s">
        <v>2112</v>
      </c>
      <c r="F380" t="s">
        <v>355</v>
      </c>
    </row>
    <row r="381" spans="1:6" x14ac:dyDescent="0.25">
      <c r="A381" t="s">
        <v>1184</v>
      </c>
      <c r="B381">
        <v>2282600380</v>
      </c>
      <c r="C381" t="s">
        <v>2112</v>
      </c>
      <c r="D381" t="s">
        <v>355</v>
      </c>
      <c r="E381" t="s">
        <v>2112</v>
      </c>
      <c r="F381" t="s">
        <v>355</v>
      </c>
    </row>
    <row r="382" spans="1:6" x14ac:dyDescent="0.25">
      <c r="A382" t="s">
        <v>1184</v>
      </c>
      <c r="B382">
        <v>2282600381</v>
      </c>
      <c r="C382" t="s">
        <v>2112</v>
      </c>
      <c r="D382" t="s">
        <v>355</v>
      </c>
      <c r="E382" t="s">
        <v>2112</v>
      </c>
      <c r="F382" t="s">
        <v>355</v>
      </c>
    </row>
    <row r="383" spans="1:6" x14ac:dyDescent="0.25">
      <c r="A383" t="s">
        <v>1184</v>
      </c>
      <c r="B383">
        <v>2302600382</v>
      </c>
      <c r="C383" t="s">
        <v>2112</v>
      </c>
      <c r="D383" t="s">
        <v>355</v>
      </c>
      <c r="E383" t="s">
        <v>2112</v>
      </c>
      <c r="F383" t="s">
        <v>355</v>
      </c>
    </row>
    <row r="384" spans="1:6" x14ac:dyDescent="0.25">
      <c r="A384" t="s">
        <v>1184</v>
      </c>
      <c r="B384">
        <v>2302600383</v>
      </c>
      <c r="C384" t="s">
        <v>2112</v>
      </c>
      <c r="D384" t="s">
        <v>355</v>
      </c>
      <c r="E384" t="s">
        <v>2112</v>
      </c>
      <c r="F384" t="s">
        <v>355</v>
      </c>
    </row>
    <row r="385" spans="1:6" x14ac:dyDescent="0.25">
      <c r="A385" t="s">
        <v>1184</v>
      </c>
      <c r="B385">
        <v>2282600384</v>
      </c>
      <c r="C385" t="s">
        <v>2112</v>
      </c>
      <c r="D385" t="s">
        <v>355</v>
      </c>
      <c r="E385" t="s">
        <v>2112</v>
      </c>
      <c r="F385" t="s">
        <v>355</v>
      </c>
    </row>
    <row r="386" spans="1:6" x14ac:dyDescent="0.25">
      <c r="A386" t="s">
        <v>1217</v>
      </c>
      <c r="B386">
        <v>2282600385</v>
      </c>
      <c r="C386" t="s">
        <v>2112</v>
      </c>
      <c r="D386" t="s">
        <v>355</v>
      </c>
      <c r="E386" t="s">
        <v>2112</v>
      </c>
      <c r="F386" t="s">
        <v>355</v>
      </c>
    </row>
    <row r="387" spans="1:6" x14ac:dyDescent="0.25">
      <c r="A387" t="s">
        <v>1217</v>
      </c>
      <c r="B387">
        <v>2302600386</v>
      </c>
      <c r="C387" t="s">
        <v>2112</v>
      </c>
      <c r="D387" t="s">
        <v>355</v>
      </c>
      <c r="E387" t="s">
        <v>2112</v>
      </c>
      <c r="F387" t="s">
        <v>355</v>
      </c>
    </row>
    <row r="388" spans="1:6" x14ac:dyDescent="0.25">
      <c r="A388" t="s">
        <v>1217</v>
      </c>
      <c r="B388">
        <v>2302600387</v>
      </c>
      <c r="C388" t="s">
        <v>2112</v>
      </c>
      <c r="D388" t="s">
        <v>355</v>
      </c>
      <c r="E388" t="s">
        <v>2112</v>
      </c>
      <c r="F388" t="s">
        <v>355</v>
      </c>
    </row>
    <row r="389" spans="1:6" x14ac:dyDescent="0.25">
      <c r="A389" t="s">
        <v>1217</v>
      </c>
      <c r="B389">
        <v>2282600388</v>
      </c>
      <c r="C389" t="s">
        <v>2112</v>
      </c>
      <c r="D389" t="s">
        <v>355</v>
      </c>
      <c r="E389" t="s">
        <v>2112</v>
      </c>
      <c r="F389" t="s">
        <v>355</v>
      </c>
    </row>
    <row r="390" spans="1:6" x14ac:dyDescent="0.25">
      <c r="A390" t="s">
        <v>1217</v>
      </c>
      <c r="B390">
        <v>2282600389</v>
      </c>
      <c r="C390" t="s">
        <v>2112</v>
      </c>
      <c r="D390" t="s">
        <v>355</v>
      </c>
      <c r="E390" t="s">
        <v>2112</v>
      </c>
      <c r="F390" t="s">
        <v>355</v>
      </c>
    </row>
    <row r="391" spans="1:6" x14ac:dyDescent="0.25">
      <c r="A391" t="s">
        <v>1217</v>
      </c>
      <c r="B391">
        <v>2302600390</v>
      </c>
      <c r="C391" t="s">
        <v>2112</v>
      </c>
      <c r="D391" t="s">
        <v>355</v>
      </c>
      <c r="E391" t="s">
        <v>2112</v>
      </c>
      <c r="F391" t="s">
        <v>355</v>
      </c>
    </row>
    <row r="392" spans="1:6" x14ac:dyDescent="0.25">
      <c r="A392" t="s">
        <v>1217</v>
      </c>
      <c r="B392">
        <v>2302600391</v>
      </c>
      <c r="C392" t="s">
        <v>2112</v>
      </c>
      <c r="D392" t="s">
        <v>355</v>
      </c>
      <c r="E392" t="s">
        <v>2112</v>
      </c>
      <c r="F392" t="s">
        <v>355</v>
      </c>
    </row>
    <row r="393" spans="1:6" x14ac:dyDescent="0.25">
      <c r="A393" t="s">
        <v>1217</v>
      </c>
      <c r="B393">
        <v>2282600392</v>
      </c>
      <c r="C393" t="s">
        <v>2112</v>
      </c>
      <c r="D393" t="s">
        <v>355</v>
      </c>
      <c r="E393" t="s">
        <v>2112</v>
      </c>
      <c r="F393" t="s">
        <v>355</v>
      </c>
    </row>
    <row r="394" spans="1:6" x14ac:dyDescent="0.25">
      <c r="A394" t="s">
        <v>1217</v>
      </c>
      <c r="B394">
        <v>2282600393</v>
      </c>
      <c r="C394" t="s">
        <v>2112</v>
      </c>
      <c r="D394" t="s">
        <v>355</v>
      </c>
      <c r="E394" t="s">
        <v>2112</v>
      </c>
      <c r="F394" t="s">
        <v>355</v>
      </c>
    </row>
    <row r="395" spans="1:6" x14ac:dyDescent="0.25">
      <c r="A395" t="s">
        <v>1217</v>
      </c>
      <c r="B395">
        <v>2302600394</v>
      </c>
      <c r="C395" t="s">
        <v>2112</v>
      </c>
      <c r="D395" t="s">
        <v>355</v>
      </c>
      <c r="E395" t="s">
        <v>2112</v>
      </c>
      <c r="F395" t="s">
        <v>355</v>
      </c>
    </row>
    <row r="396" spans="1:6" x14ac:dyDescent="0.25">
      <c r="A396" t="s">
        <v>1217</v>
      </c>
      <c r="B396">
        <v>2302600395</v>
      </c>
      <c r="C396" t="s">
        <v>2112</v>
      </c>
      <c r="D396" t="s">
        <v>355</v>
      </c>
      <c r="E396" t="s">
        <v>2112</v>
      </c>
      <c r="F396" t="s">
        <v>355</v>
      </c>
    </row>
    <row r="397" spans="1:6" x14ac:dyDescent="0.25">
      <c r="A397" t="s">
        <v>1217</v>
      </c>
      <c r="B397">
        <v>2282600396</v>
      </c>
      <c r="C397" t="s">
        <v>2112</v>
      </c>
      <c r="D397" t="s">
        <v>355</v>
      </c>
      <c r="E397" t="s">
        <v>2112</v>
      </c>
      <c r="F397" t="s">
        <v>355</v>
      </c>
    </row>
    <row r="398" spans="1:6" x14ac:dyDescent="0.25">
      <c r="A398" t="s">
        <v>1217</v>
      </c>
      <c r="B398">
        <v>2282600397</v>
      </c>
      <c r="C398" t="s">
        <v>2112</v>
      </c>
      <c r="D398" t="s">
        <v>355</v>
      </c>
      <c r="E398" t="s">
        <v>2112</v>
      </c>
      <c r="F398" t="s">
        <v>355</v>
      </c>
    </row>
    <row r="399" spans="1:6" x14ac:dyDescent="0.25">
      <c r="A399" t="s">
        <v>1217</v>
      </c>
      <c r="B399">
        <v>2302600398</v>
      </c>
      <c r="C399" t="s">
        <v>2112</v>
      </c>
      <c r="D399" t="s">
        <v>355</v>
      </c>
      <c r="E399" t="s">
        <v>2112</v>
      </c>
      <c r="F399" t="s">
        <v>355</v>
      </c>
    </row>
    <row r="400" spans="1:6" x14ac:dyDescent="0.25">
      <c r="A400" t="s">
        <v>1217</v>
      </c>
      <c r="B400">
        <v>2302600399</v>
      </c>
      <c r="C400" t="s">
        <v>2112</v>
      </c>
      <c r="D400" t="s">
        <v>355</v>
      </c>
      <c r="E400" t="s">
        <v>2112</v>
      </c>
      <c r="F400" t="s">
        <v>355</v>
      </c>
    </row>
    <row r="401" spans="1:6" x14ac:dyDescent="0.25">
      <c r="A401" t="s">
        <v>1217</v>
      </c>
      <c r="B401">
        <v>2282600400</v>
      </c>
      <c r="C401" t="s">
        <v>2112</v>
      </c>
      <c r="D401" t="s">
        <v>355</v>
      </c>
      <c r="E401" t="s">
        <v>2112</v>
      </c>
      <c r="F401" t="s">
        <v>355</v>
      </c>
    </row>
    <row r="402" spans="1:6" x14ac:dyDescent="0.25">
      <c r="A402" t="s">
        <v>1217</v>
      </c>
      <c r="B402">
        <v>2282600401</v>
      </c>
      <c r="C402" t="s">
        <v>2112</v>
      </c>
      <c r="D402" t="s">
        <v>355</v>
      </c>
      <c r="E402" t="s">
        <v>2112</v>
      </c>
      <c r="F402" t="s">
        <v>355</v>
      </c>
    </row>
    <row r="403" spans="1:6" x14ac:dyDescent="0.25">
      <c r="A403" t="s">
        <v>1217</v>
      </c>
      <c r="B403">
        <v>2302600402</v>
      </c>
      <c r="C403" t="s">
        <v>2112</v>
      </c>
      <c r="D403" t="s">
        <v>355</v>
      </c>
      <c r="E403" t="s">
        <v>2112</v>
      </c>
      <c r="F403" t="s">
        <v>355</v>
      </c>
    </row>
    <row r="404" spans="1:6" x14ac:dyDescent="0.25">
      <c r="A404" t="s">
        <v>1217</v>
      </c>
      <c r="B404">
        <v>2302600403</v>
      </c>
      <c r="C404" t="s">
        <v>2112</v>
      </c>
      <c r="D404" t="s">
        <v>355</v>
      </c>
      <c r="E404" t="s">
        <v>2112</v>
      </c>
      <c r="F404" t="s">
        <v>355</v>
      </c>
    </row>
    <row r="405" spans="1:6" x14ac:dyDescent="0.25">
      <c r="A405" t="s">
        <v>1217</v>
      </c>
      <c r="B405">
        <v>2282600404</v>
      </c>
      <c r="C405" t="s">
        <v>2112</v>
      </c>
      <c r="D405" t="s">
        <v>355</v>
      </c>
      <c r="E405" t="s">
        <v>2112</v>
      </c>
      <c r="F405" t="s">
        <v>355</v>
      </c>
    </row>
    <row r="406" spans="1:6" x14ac:dyDescent="0.25">
      <c r="A406" t="s">
        <v>1217</v>
      </c>
      <c r="B406">
        <v>2282600405</v>
      </c>
      <c r="C406" t="s">
        <v>2112</v>
      </c>
      <c r="D406" t="s">
        <v>355</v>
      </c>
      <c r="E406" t="s">
        <v>2112</v>
      </c>
      <c r="F406" t="s">
        <v>355</v>
      </c>
    </row>
    <row r="407" spans="1:6" x14ac:dyDescent="0.25">
      <c r="A407" t="s">
        <v>1217</v>
      </c>
      <c r="B407">
        <v>2302600406</v>
      </c>
      <c r="C407" t="s">
        <v>2112</v>
      </c>
      <c r="D407" t="s">
        <v>355</v>
      </c>
      <c r="E407" t="s">
        <v>2112</v>
      </c>
      <c r="F407" t="s">
        <v>355</v>
      </c>
    </row>
    <row r="408" spans="1:6" x14ac:dyDescent="0.25">
      <c r="A408" t="s">
        <v>1217</v>
      </c>
      <c r="B408">
        <v>2302600407</v>
      </c>
      <c r="C408" t="s">
        <v>2112</v>
      </c>
      <c r="D408" t="s">
        <v>355</v>
      </c>
      <c r="E408" t="s">
        <v>2112</v>
      </c>
      <c r="F408" t="s">
        <v>355</v>
      </c>
    </row>
    <row r="409" spans="1:6" x14ac:dyDescent="0.25">
      <c r="A409" t="s">
        <v>1217</v>
      </c>
      <c r="B409">
        <v>2282600408</v>
      </c>
      <c r="C409" t="s">
        <v>2112</v>
      </c>
      <c r="D409" t="s">
        <v>355</v>
      </c>
      <c r="E409" t="s">
        <v>2112</v>
      </c>
      <c r="F409" t="s">
        <v>355</v>
      </c>
    </row>
    <row r="410" spans="1:6" x14ac:dyDescent="0.25">
      <c r="A410" t="s">
        <v>1217</v>
      </c>
      <c r="B410">
        <v>2282600409</v>
      </c>
      <c r="C410" t="s">
        <v>2112</v>
      </c>
      <c r="D410" t="s">
        <v>355</v>
      </c>
      <c r="E410" t="s">
        <v>2112</v>
      </c>
      <c r="F410" t="s">
        <v>355</v>
      </c>
    </row>
    <row r="411" spans="1:6" x14ac:dyDescent="0.25">
      <c r="A411" t="s">
        <v>1217</v>
      </c>
      <c r="B411">
        <v>2302600410</v>
      </c>
      <c r="C411" t="s">
        <v>2112</v>
      </c>
      <c r="D411" t="s">
        <v>355</v>
      </c>
      <c r="E411" t="s">
        <v>2112</v>
      </c>
      <c r="F411" t="s">
        <v>355</v>
      </c>
    </row>
    <row r="412" spans="1:6" x14ac:dyDescent="0.25">
      <c r="A412" t="s">
        <v>1217</v>
      </c>
      <c r="B412">
        <v>2302600411</v>
      </c>
      <c r="C412" t="s">
        <v>2112</v>
      </c>
      <c r="D412" t="s">
        <v>355</v>
      </c>
      <c r="E412" t="s">
        <v>2112</v>
      </c>
      <c r="F412" t="s">
        <v>355</v>
      </c>
    </row>
    <row r="413" spans="1:6" x14ac:dyDescent="0.25">
      <c r="A413" t="s">
        <v>1217</v>
      </c>
      <c r="B413">
        <v>2282600412</v>
      </c>
      <c r="C413" t="s">
        <v>2112</v>
      </c>
      <c r="D413" t="s">
        <v>355</v>
      </c>
      <c r="E413" t="s">
        <v>2112</v>
      </c>
      <c r="F413" t="s">
        <v>355</v>
      </c>
    </row>
    <row r="414" spans="1:6" x14ac:dyDescent="0.25">
      <c r="A414" t="s">
        <v>1217</v>
      </c>
      <c r="B414">
        <v>2282600413</v>
      </c>
      <c r="C414" t="s">
        <v>2112</v>
      </c>
      <c r="D414" t="s">
        <v>355</v>
      </c>
      <c r="E414" t="s">
        <v>2112</v>
      </c>
      <c r="F414" t="s">
        <v>355</v>
      </c>
    </row>
    <row r="415" spans="1:6" x14ac:dyDescent="0.25">
      <c r="A415" t="s">
        <v>1217</v>
      </c>
      <c r="B415">
        <v>2302600414</v>
      </c>
      <c r="C415" t="s">
        <v>2112</v>
      </c>
      <c r="D415" t="s">
        <v>355</v>
      </c>
      <c r="E415" t="s">
        <v>2112</v>
      </c>
      <c r="F415" t="s">
        <v>355</v>
      </c>
    </row>
    <row r="416" spans="1:6" x14ac:dyDescent="0.25">
      <c r="A416" t="s">
        <v>1217</v>
      </c>
      <c r="B416">
        <v>2302600415</v>
      </c>
      <c r="C416" t="s">
        <v>2112</v>
      </c>
      <c r="D416" t="s">
        <v>355</v>
      </c>
      <c r="E416" t="s">
        <v>2112</v>
      </c>
      <c r="F416" t="s">
        <v>355</v>
      </c>
    </row>
    <row r="417" spans="1:6" x14ac:dyDescent="0.25">
      <c r="A417" t="s">
        <v>1217</v>
      </c>
      <c r="B417">
        <v>2282600416</v>
      </c>
      <c r="C417" t="s">
        <v>2112</v>
      </c>
      <c r="D417" t="s">
        <v>355</v>
      </c>
      <c r="E417" t="s">
        <v>2112</v>
      </c>
      <c r="F417" t="s">
        <v>355</v>
      </c>
    </row>
    <row r="418" spans="1:6" x14ac:dyDescent="0.25">
      <c r="A418" t="s">
        <v>1250</v>
      </c>
      <c r="B418">
        <v>2282600417</v>
      </c>
      <c r="C418" t="s">
        <v>2112</v>
      </c>
      <c r="D418" t="s">
        <v>355</v>
      </c>
      <c r="E418" t="s">
        <v>2112</v>
      </c>
      <c r="F418" t="s">
        <v>355</v>
      </c>
    </row>
    <row r="419" spans="1:6" x14ac:dyDescent="0.25">
      <c r="A419" t="s">
        <v>1250</v>
      </c>
      <c r="B419">
        <v>2302600418</v>
      </c>
      <c r="C419" t="s">
        <v>2112</v>
      </c>
      <c r="D419" t="s">
        <v>355</v>
      </c>
      <c r="E419" t="s">
        <v>2112</v>
      </c>
      <c r="F419" t="s">
        <v>355</v>
      </c>
    </row>
    <row r="420" spans="1:6" x14ac:dyDescent="0.25">
      <c r="A420" t="s">
        <v>1250</v>
      </c>
      <c r="B420">
        <v>2302600419</v>
      </c>
      <c r="C420" t="s">
        <v>2112</v>
      </c>
      <c r="D420" t="s">
        <v>355</v>
      </c>
      <c r="E420" t="s">
        <v>2112</v>
      </c>
      <c r="F420" t="s">
        <v>355</v>
      </c>
    </row>
    <row r="421" spans="1:6" x14ac:dyDescent="0.25">
      <c r="A421" t="s">
        <v>1250</v>
      </c>
      <c r="B421">
        <v>2282600420</v>
      </c>
      <c r="C421" t="s">
        <v>2112</v>
      </c>
      <c r="D421" t="s">
        <v>355</v>
      </c>
      <c r="E421" t="s">
        <v>2112</v>
      </c>
      <c r="F421" t="s">
        <v>355</v>
      </c>
    </row>
    <row r="422" spans="1:6" x14ac:dyDescent="0.25">
      <c r="A422" t="s">
        <v>1250</v>
      </c>
      <c r="B422">
        <v>2282600421</v>
      </c>
      <c r="C422" t="s">
        <v>2112</v>
      </c>
      <c r="D422" t="s">
        <v>355</v>
      </c>
      <c r="E422" t="s">
        <v>2112</v>
      </c>
      <c r="F422" t="s">
        <v>355</v>
      </c>
    </row>
    <row r="423" spans="1:6" x14ac:dyDescent="0.25">
      <c r="A423" t="s">
        <v>1250</v>
      </c>
      <c r="B423">
        <v>2302600422</v>
      </c>
      <c r="C423" t="s">
        <v>2112</v>
      </c>
      <c r="D423" t="s">
        <v>355</v>
      </c>
      <c r="E423" t="s">
        <v>2112</v>
      </c>
      <c r="F423" t="s">
        <v>355</v>
      </c>
    </row>
    <row r="424" spans="1:6" x14ac:dyDescent="0.25">
      <c r="A424" t="s">
        <v>1250</v>
      </c>
      <c r="B424">
        <v>2302600423</v>
      </c>
      <c r="C424" t="s">
        <v>2112</v>
      </c>
      <c r="D424" t="s">
        <v>355</v>
      </c>
      <c r="E424" t="s">
        <v>2112</v>
      </c>
      <c r="F424" t="s">
        <v>355</v>
      </c>
    </row>
    <row r="425" spans="1:6" x14ac:dyDescent="0.25">
      <c r="A425" t="s">
        <v>1250</v>
      </c>
      <c r="B425">
        <v>2282600424</v>
      </c>
      <c r="C425" t="s">
        <v>2112</v>
      </c>
      <c r="D425" t="s">
        <v>355</v>
      </c>
      <c r="E425" t="s">
        <v>2112</v>
      </c>
      <c r="F425" t="s">
        <v>355</v>
      </c>
    </row>
    <row r="426" spans="1:6" x14ac:dyDescent="0.25">
      <c r="A426" t="s">
        <v>1250</v>
      </c>
      <c r="B426">
        <v>2282600425</v>
      </c>
      <c r="C426" t="s">
        <v>2112</v>
      </c>
      <c r="D426" t="s">
        <v>355</v>
      </c>
      <c r="E426" t="s">
        <v>2112</v>
      </c>
      <c r="F426" t="s">
        <v>355</v>
      </c>
    </row>
    <row r="427" spans="1:6" x14ac:dyDescent="0.25">
      <c r="A427" t="s">
        <v>1250</v>
      </c>
      <c r="B427">
        <v>2302600426</v>
      </c>
      <c r="C427" t="s">
        <v>2112</v>
      </c>
      <c r="D427" t="s">
        <v>355</v>
      </c>
      <c r="E427" t="s">
        <v>2112</v>
      </c>
      <c r="F427" t="s">
        <v>355</v>
      </c>
    </row>
    <row r="428" spans="1:6" x14ac:dyDescent="0.25">
      <c r="A428" t="s">
        <v>1250</v>
      </c>
      <c r="B428">
        <v>2302600427</v>
      </c>
      <c r="C428" t="s">
        <v>2112</v>
      </c>
      <c r="D428" t="s">
        <v>355</v>
      </c>
      <c r="E428" t="s">
        <v>2112</v>
      </c>
      <c r="F428" t="s">
        <v>355</v>
      </c>
    </row>
    <row r="429" spans="1:6" x14ac:dyDescent="0.25">
      <c r="A429" t="s">
        <v>1250</v>
      </c>
      <c r="B429">
        <v>2282600428</v>
      </c>
      <c r="C429" t="s">
        <v>2112</v>
      </c>
      <c r="D429" t="s">
        <v>355</v>
      </c>
      <c r="E429" t="s">
        <v>2112</v>
      </c>
      <c r="F429" t="s">
        <v>355</v>
      </c>
    </row>
    <row r="430" spans="1:6" x14ac:dyDescent="0.25">
      <c r="A430" t="s">
        <v>1250</v>
      </c>
      <c r="B430">
        <v>2282600429</v>
      </c>
      <c r="C430" t="s">
        <v>2112</v>
      </c>
      <c r="D430" t="s">
        <v>355</v>
      </c>
      <c r="E430" t="s">
        <v>2112</v>
      </c>
      <c r="F430" t="s">
        <v>355</v>
      </c>
    </row>
    <row r="431" spans="1:6" x14ac:dyDescent="0.25">
      <c r="A431" t="s">
        <v>1250</v>
      </c>
      <c r="B431">
        <v>2302600430</v>
      </c>
      <c r="C431" t="s">
        <v>2112</v>
      </c>
      <c r="D431" t="s">
        <v>355</v>
      </c>
      <c r="E431" t="s">
        <v>2112</v>
      </c>
      <c r="F431" t="s">
        <v>355</v>
      </c>
    </row>
    <row r="432" spans="1:6" x14ac:dyDescent="0.25">
      <c r="A432" t="s">
        <v>1250</v>
      </c>
      <c r="B432">
        <v>2302600431</v>
      </c>
      <c r="C432" t="s">
        <v>2112</v>
      </c>
      <c r="D432" t="s">
        <v>355</v>
      </c>
      <c r="E432" t="s">
        <v>2112</v>
      </c>
      <c r="F432" t="s">
        <v>355</v>
      </c>
    </row>
    <row r="433" spans="1:6" x14ac:dyDescent="0.25">
      <c r="A433" t="s">
        <v>1250</v>
      </c>
      <c r="B433">
        <v>2282600432</v>
      </c>
      <c r="C433" t="s">
        <v>2112</v>
      </c>
      <c r="D433" t="s">
        <v>355</v>
      </c>
      <c r="E433" t="s">
        <v>2112</v>
      </c>
      <c r="F433" t="s">
        <v>355</v>
      </c>
    </row>
    <row r="434" spans="1:6" x14ac:dyDescent="0.25">
      <c r="A434" t="s">
        <v>1250</v>
      </c>
      <c r="B434">
        <v>2282600433</v>
      </c>
      <c r="C434" t="s">
        <v>2112</v>
      </c>
      <c r="D434" t="s">
        <v>355</v>
      </c>
      <c r="E434" t="s">
        <v>2112</v>
      </c>
      <c r="F434" t="s">
        <v>355</v>
      </c>
    </row>
    <row r="435" spans="1:6" x14ac:dyDescent="0.25">
      <c r="A435" t="s">
        <v>1250</v>
      </c>
      <c r="B435">
        <v>2302600434</v>
      </c>
      <c r="C435" t="s">
        <v>2112</v>
      </c>
      <c r="D435" t="s">
        <v>355</v>
      </c>
      <c r="E435" t="s">
        <v>2112</v>
      </c>
      <c r="F435" t="s">
        <v>355</v>
      </c>
    </row>
    <row r="436" spans="1:6" x14ac:dyDescent="0.25">
      <c r="A436" t="s">
        <v>1250</v>
      </c>
      <c r="B436">
        <v>2302600435</v>
      </c>
      <c r="C436" t="s">
        <v>2112</v>
      </c>
      <c r="D436" t="s">
        <v>355</v>
      </c>
      <c r="E436" t="s">
        <v>2112</v>
      </c>
      <c r="F436" t="s">
        <v>355</v>
      </c>
    </row>
    <row r="437" spans="1:6" x14ac:dyDescent="0.25">
      <c r="A437" t="s">
        <v>1250</v>
      </c>
      <c r="B437">
        <v>2282600436</v>
      </c>
      <c r="C437" t="s">
        <v>2112</v>
      </c>
      <c r="D437" t="s">
        <v>355</v>
      </c>
      <c r="E437" t="s">
        <v>2112</v>
      </c>
      <c r="F437" t="s">
        <v>355</v>
      </c>
    </row>
    <row r="438" spans="1:6" x14ac:dyDescent="0.25">
      <c r="A438" t="s">
        <v>1250</v>
      </c>
      <c r="B438">
        <v>2282600437</v>
      </c>
      <c r="C438" t="s">
        <v>2112</v>
      </c>
      <c r="D438" t="s">
        <v>355</v>
      </c>
      <c r="E438" t="s">
        <v>2112</v>
      </c>
      <c r="F438" t="s">
        <v>355</v>
      </c>
    </row>
    <row r="439" spans="1:6" x14ac:dyDescent="0.25">
      <c r="A439" t="s">
        <v>1250</v>
      </c>
      <c r="B439">
        <v>2302600438</v>
      </c>
      <c r="C439" t="s">
        <v>2112</v>
      </c>
      <c r="D439" t="s">
        <v>355</v>
      </c>
      <c r="E439" t="s">
        <v>2112</v>
      </c>
      <c r="F439" t="s">
        <v>355</v>
      </c>
    </row>
    <row r="440" spans="1:6" x14ac:dyDescent="0.25">
      <c r="A440" t="s">
        <v>1250</v>
      </c>
      <c r="B440">
        <v>2302600439</v>
      </c>
      <c r="C440" t="s">
        <v>2112</v>
      </c>
      <c r="D440" t="s">
        <v>355</v>
      </c>
      <c r="E440" t="s">
        <v>2112</v>
      </c>
      <c r="F440" t="s">
        <v>355</v>
      </c>
    </row>
    <row r="441" spans="1:6" x14ac:dyDescent="0.25">
      <c r="A441" t="s">
        <v>1250</v>
      </c>
      <c r="B441">
        <v>2282600440</v>
      </c>
      <c r="C441" t="s">
        <v>2112</v>
      </c>
      <c r="D441" t="s">
        <v>355</v>
      </c>
      <c r="E441" t="s">
        <v>2112</v>
      </c>
      <c r="F441" t="s">
        <v>355</v>
      </c>
    </row>
    <row r="442" spans="1:6" x14ac:dyDescent="0.25">
      <c r="A442" t="s">
        <v>1250</v>
      </c>
      <c r="B442">
        <v>2282600441</v>
      </c>
      <c r="C442" t="s">
        <v>2112</v>
      </c>
      <c r="D442" t="s">
        <v>355</v>
      </c>
      <c r="E442" t="s">
        <v>2112</v>
      </c>
      <c r="F442" t="s">
        <v>355</v>
      </c>
    </row>
    <row r="443" spans="1:6" x14ac:dyDescent="0.25">
      <c r="A443" t="s">
        <v>1250</v>
      </c>
      <c r="B443">
        <v>2302600442</v>
      </c>
      <c r="C443" t="s">
        <v>2112</v>
      </c>
      <c r="D443" t="s">
        <v>355</v>
      </c>
      <c r="E443" t="s">
        <v>2112</v>
      </c>
      <c r="F443" t="s">
        <v>355</v>
      </c>
    </row>
    <row r="444" spans="1:6" x14ac:dyDescent="0.25">
      <c r="A444" t="s">
        <v>1250</v>
      </c>
      <c r="B444">
        <v>2302600443</v>
      </c>
      <c r="C444" t="s">
        <v>2112</v>
      </c>
      <c r="D444" t="s">
        <v>355</v>
      </c>
      <c r="E444" t="s">
        <v>2112</v>
      </c>
      <c r="F444" t="s">
        <v>355</v>
      </c>
    </row>
    <row r="445" spans="1:6" x14ac:dyDescent="0.25">
      <c r="A445" t="s">
        <v>1250</v>
      </c>
      <c r="B445">
        <v>2282600444</v>
      </c>
      <c r="C445" t="s">
        <v>2112</v>
      </c>
      <c r="D445" t="s">
        <v>355</v>
      </c>
      <c r="E445" t="s">
        <v>2112</v>
      </c>
      <c r="F445" t="s">
        <v>355</v>
      </c>
    </row>
    <row r="446" spans="1:6" x14ac:dyDescent="0.25">
      <c r="A446" t="s">
        <v>1250</v>
      </c>
      <c r="B446">
        <v>2282600445</v>
      </c>
      <c r="C446" t="s">
        <v>2112</v>
      </c>
      <c r="D446" t="s">
        <v>355</v>
      </c>
      <c r="E446" t="s">
        <v>2112</v>
      </c>
      <c r="F446" t="s">
        <v>355</v>
      </c>
    </row>
    <row r="447" spans="1:6" x14ac:dyDescent="0.25">
      <c r="A447" t="s">
        <v>1250</v>
      </c>
      <c r="B447">
        <v>2302600446</v>
      </c>
      <c r="C447" t="s">
        <v>2112</v>
      </c>
      <c r="D447" t="s">
        <v>355</v>
      </c>
      <c r="E447" t="s">
        <v>2112</v>
      </c>
      <c r="F447" t="s">
        <v>355</v>
      </c>
    </row>
    <row r="448" spans="1:6" x14ac:dyDescent="0.25">
      <c r="A448" t="s">
        <v>1250</v>
      </c>
      <c r="B448">
        <v>2302600447</v>
      </c>
      <c r="C448" t="s">
        <v>2112</v>
      </c>
      <c r="D448" t="s">
        <v>355</v>
      </c>
      <c r="E448" t="s">
        <v>2112</v>
      </c>
      <c r="F448" t="s">
        <v>355</v>
      </c>
    </row>
    <row r="449" spans="1:6" x14ac:dyDescent="0.25">
      <c r="A449" t="s">
        <v>1250</v>
      </c>
      <c r="B449">
        <v>2282600448</v>
      </c>
      <c r="C449" t="s">
        <v>2112</v>
      </c>
      <c r="D449" t="s">
        <v>355</v>
      </c>
      <c r="E449" t="s">
        <v>2112</v>
      </c>
      <c r="F449" t="s">
        <v>355</v>
      </c>
    </row>
    <row r="450" spans="1:6" x14ac:dyDescent="0.25">
      <c r="A450" t="s">
        <v>1283</v>
      </c>
      <c r="B450">
        <v>2282600449</v>
      </c>
      <c r="C450" t="s">
        <v>2112</v>
      </c>
      <c r="D450" t="s">
        <v>355</v>
      </c>
      <c r="E450" t="s">
        <v>2112</v>
      </c>
      <c r="F450" t="s">
        <v>355</v>
      </c>
    </row>
    <row r="451" spans="1:6" x14ac:dyDescent="0.25">
      <c r="A451" t="s">
        <v>1283</v>
      </c>
      <c r="B451">
        <v>2302600450</v>
      </c>
      <c r="C451" t="s">
        <v>2112</v>
      </c>
      <c r="D451" t="s">
        <v>355</v>
      </c>
      <c r="E451" t="s">
        <v>2112</v>
      </c>
      <c r="F451" t="s">
        <v>355</v>
      </c>
    </row>
    <row r="452" spans="1:6" x14ac:dyDescent="0.25">
      <c r="A452" t="s">
        <v>1283</v>
      </c>
      <c r="B452">
        <v>2302600451</v>
      </c>
      <c r="C452" t="s">
        <v>2112</v>
      </c>
      <c r="D452" t="s">
        <v>355</v>
      </c>
      <c r="E452" t="s">
        <v>2112</v>
      </c>
      <c r="F452" t="s">
        <v>355</v>
      </c>
    </row>
    <row r="453" spans="1:6" x14ac:dyDescent="0.25">
      <c r="A453" t="s">
        <v>1283</v>
      </c>
      <c r="B453">
        <v>2282600452</v>
      </c>
      <c r="C453" t="s">
        <v>2112</v>
      </c>
      <c r="D453" t="s">
        <v>355</v>
      </c>
      <c r="E453" t="s">
        <v>2112</v>
      </c>
      <c r="F453" t="s">
        <v>355</v>
      </c>
    </row>
    <row r="454" spans="1:6" x14ac:dyDescent="0.25">
      <c r="A454" t="s">
        <v>1283</v>
      </c>
      <c r="B454">
        <v>2282600453</v>
      </c>
      <c r="C454" t="s">
        <v>2112</v>
      </c>
      <c r="D454" t="s">
        <v>355</v>
      </c>
      <c r="E454" t="s">
        <v>2112</v>
      </c>
      <c r="F454" t="s">
        <v>355</v>
      </c>
    </row>
    <row r="455" spans="1:6" x14ac:dyDescent="0.25">
      <c r="A455" t="s">
        <v>1283</v>
      </c>
      <c r="B455">
        <v>2302600454</v>
      </c>
      <c r="C455" t="s">
        <v>2112</v>
      </c>
      <c r="D455" t="s">
        <v>355</v>
      </c>
      <c r="E455" t="s">
        <v>2112</v>
      </c>
      <c r="F455" t="s">
        <v>355</v>
      </c>
    </row>
    <row r="456" spans="1:6" x14ac:dyDescent="0.25">
      <c r="A456" t="s">
        <v>1283</v>
      </c>
      <c r="B456">
        <v>2302600455</v>
      </c>
      <c r="C456" t="s">
        <v>2112</v>
      </c>
      <c r="D456" t="s">
        <v>355</v>
      </c>
      <c r="E456" t="s">
        <v>2112</v>
      </c>
      <c r="F456" t="s">
        <v>355</v>
      </c>
    </row>
    <row r="457" spans="1:6" x14ac:dyDescent="0.25">
      <c r="A457" t="s">
        <v>1283</v>
      </c>
      <c r="B457">
        <v>2282600456</v>
      </c>
      <c r="C457" t="s">
        <v>2112</v>
      </c>
      <c r="D457" t="s">
        <v>355</v>
      </c>
      <c r="E457" t="s">
        <v>2112</v>
      </c>
      <c r="F457" t="s">
        <v>355</v>
      </c>
    </row>
    <row r="458" spans="1:6" x14ac:dyDescent="0.25">
      <c r="A458" t="s">
        <v>1283</v>
      </c>
      <c r="B458">
        <v>2282600457</v>
      </c>
      <c r="C458" t="s">
        <v>2112</v>
      </c>
      <c r="D458" t="s">
        <v>355</v>
      </c>
      <c r="E458" t="s">
        <v>2112</v>
      </c>
      <c r="F458" t="s">
        <v>355</v>
      </c>
    </row>
    <row r="459" spans="1:6" x14ac:dyDescent="0.25">
      <c r="A459" t="s">
        <v>1283</v>
      </c>
      <c r="B459">
        <v>2302600458</v>
      </c>
      <c r="C459" t="s">
        <v>2112</v>
      </c>
      <c r="D459" t="s">
        <v>355</v>
      </c>
      <c r="E459" t="s">
        <v>2112</v>
      </c>
      <c r="F459" t="s">
        <v>355</v>
      </c>
    </row>
    <row r="460" spans="1:6" x14ac:dyDescent="0.25">
      <c r="A460" t="s">
        <v>1283</v>
      </c>
      <c r="B460">
        <v>2302600459</v>
      </c>
      <c r="C460" t="s">
        <v>2112</v>
      </c>
      <c r="D460" t="s">
        <v>355</v>
      </c>
      <c r="E460" t="s">
        <v>2112</v>
      </c>
      <c r="F460" t="s">
        <v>355</v>
      </c>
    </row>
    <row r="461" spans="1:6" x14ac:dyDescent="0.25">
      <c r="A461" t="s">
        <v>1283</v>
      </c>
      <c r="B461">
        <v>2282600460</v>
      </c>
      <c r="C461" t="s">
        <v>2112</v>
      </c>
      <c r="D461" t="s">
        <v>355</v>
      </c>
      <c r="E461" t="s">
        <v>2112</v>
      </c>
      <c r="F461" t="s">
        <v>355</v>
      </c>
    </row>
    <row r="462" spans="1:6" x14ac:dyDescent="0.25">
      <c r="A462" t="s">
        <v>1283</v>
      </c>
      <c r="B462">
        <v>2282600461</v>
      </c>
      <c r="C462" t="s">
        <v>2112</v>
      </c>
      <c r="D462" t="s">
        <v>355</v>
      </c>
      <c r="E462" t="s">
        <v>2112</v>
      </c>
      <c r="F462" t="s">
        <v>355</v>
      </c>
    </row>
    <row r="463" spans="1:6" x14ac:dyDescent="0.25">
      <c r="A463" t="s">
        <v>1283</v>
      </c>
      <c r="B463">
        <v>2302600462</v>
      </c>
      <c r="C463" t="s">
        <v>2112</v>
      </c>
      <c r="D463" t="s">
        <v>355</v>
      </c>
      <c r="E463" t="s">
        <v>2112</v>
      </c>
      <c r="F463" t="s">
        <v>355</v>
      </c>
    </row>
    <row r="464" spans="1:6" x14ac:dyDescent="0.25">
      <c r="A464" t="s">
        <v>1283</v>
      </c>
      <c r="B464">
        <v>2302600463</v>
      </c>
      <c r="C464" t="s">
        <v>2112</v>
      </c>
      <c r="D464" t="s">
        <v>355</v>
      </c>
      <c r="E464" t="s">
        <v>2112</v>
      </c>
      <c r="F464" t="s">
        <v>355</v>
      </c>
    </row>
    <row r="465" spans="1:6" x14ac:dyDescent="0.25">
      <c r="A465" t="s">
        <v>1283</v>
      </c>
      <c r="B465">
        <v>2282600464</v>
      </c>
      <c r="C465" t="s">
        <v>2112</v>
      </c>
      <c r="D465" t="s">
        <v>355</v>
      </c>
      <c r="E465" t="s">
        <v>2112</v>
      </c>
      <c r="F465" t="s">
        <v>355</v>
      </c>
    </row>
    <row r="466" spans="1:6" x14ac:dyDescent="0.25">
      <c r="A466" t="s">
        <v>1283</v>
      </c>
      <c r="B466">
        <v>2282600465</v>
      </c>
      <c r="C466" t="s">
        <v>2112</v>
      </c>
      <c r="D466" t="s">
        <v>355</v>
      </c>
      <c r="E466" t="s">
        <v>2112</v>
      </c>
      <c r="F466" t="s">
        <v>355</v>
      </c>
    </row>
    <row r="467" spans="1:6" x14ac:dyDescent="0.25">
      <c r="A467" t="s">
        <v>1283</v>
      </c>
      <c r="B467">
        <v>2302600466</v>
      </c>
      <c r="C467" t="s">
        <v>2112</v>
      </c>
      <c r="D467" t="s">
        <v>355</v>
      </c>
      <c r="E467" t="s">
        <v>2112</v>
      </c>
      <c r="F467" t="s">
        <v>355</v>
      </c>
    </row>
    <row r="468" spans="1:6" x14ac:dyDescent="0.25">
      <c r="A468" t="s">
        <v>1283</v>
      </c>
      <c r="B468">
        <v>2302600467</v>
      </c>
      <c r="C468" t="s">
        <v>2112</v>
      </c>
      <c r="D468" t="s">
        <v>355</v>
      </c>
      <c r="E468" t="s">
        <v>2112</v>
      </c>
      <c r="F468" t="s">
        <v>355</v>
      </c>
    </row>
    <row r="469" spans="1:6" x14ac:dyDescent="0.25">
      <c r="A469" t="s">
        <v>1283</v>
      </c>
      <c r="B469">
        <v>2282600468</v>
      </c>
      <c r="C469" t="s">
        <v>2112</v>
      </c>
      <c r="D469" t="s">
        <v>355</v>
      </c>
      <c r="E469" t="s">
        <v>2112</v>
      </c>
      <c r="F469" t="s">
        <v>355</v>
      </c>
    </row>
    <row r="470" spans="1:6" x14ac:dyDescent="0.25">
      <c r="A470" t="s">
        <v>1283</v>
      </c>
      <c r="B470">
        <v>2282600469</v>
      </c>
      <c r="C470" t="s">
        <v>2112</v>
      </c>
      <c r="D470" t="s">
        <v>355</v>
      </c>
      <c r="E470" t="s">
        <v>2112</v>
      </c>
      <c r="F470" t="s">
        <v>355</v>
      </c>
    </row>
    <row r="471" spans="1:6" x14ac:dyDescent="0.25">
      <c r="A471" t="s">
        <v>1283</v>
      </c>
      <c r="B471">
        <v>2302600470</v>
      </c>
      <c r="C471" t="s">
        <v>2112</v>
      </c>
      <c r="D471" t="s">
        <v>355</v>
      </c>
      <c r="E471" t="s">
        <v>2112</v>
      </c>
      <c r="F471" t="s">
        <v>355</v>
      </c>
    </row>
    <row r="472" spans="1:6" x14ac:dyDescent="0.25">
      <c r="A472" t="s">
        <v>1283</v>
      </c>
      <c r="B472">
        <v>2302600471</v>
      </c>
      <c r="C472" t="s">
        <v>2112</v>
      </c>
      <c r="D472" t="s">
        <v>355</v>
      </c>
      <c r="E472" t="s">
        <v>2112</v>
      </c>
      <c r="F472" t="s">
        <v>355</v>
      </c>
    </row>
    <row r="473" spans="1:6" x14ac:dyDescent="0.25">
      <c r="A473" t="s">
        <v>1283</v>
      </c>
      <c r="B473">
        <v>2282600472</v>
      </c>
      <c r="C473" t="s">
        <v>2112</v>
      </c>
      <c r="D473" t="s">
        <v>355</v>
      </c>
      <c r="E473" t="s">
        <v>2112</v>
      </c>
      <c r="F473" t="s">
        <v>355</v>
      </c>
    </row>
    <row r="474" spans="1:6" x14ac:dyDescent="0.25">
      <c r="A474" t="s">
        <v>1283</v>
      </c>
      <c r="B474">
        <v>2282600473</v>
      </c>
      <c r="C474" t="s">
        <v>2112</v>
      </c>
      <c r="D474" t="s">
        <v>355</v>
      </c>
      <c r="E474" t="s">
        <v>2112</v>
      </c>
      <c r="F474" t="s">
        <v>355</v>
      </c>
    </row>
    <row r="475" spans="1:6" x14ac:dyDescent="0.25">
      <c r="A475" t="s">
        <v>1283</v>
      </c>
      <c r="B475">
        <v>2302600474</v>
      </c>
      <c r="C475" t="s">
        <v>2112</v>
      </c>
      <c r="D475" t="s">
        <v>355</v>
      </c>
      <c r="E475" t="s">
        <v>2112</v>
      </c>
      <c r="F475" t="s">
        <v>355</v>
      </c>
    </row>
    <row r="476" spans="1:6" x14ac:dyDescent="0.25">
      <c r="A476" t="s">
        <v>1283</v>
      </c>
      <c r="B476">
        <v>2302600475</v>
      </c>
      <c r="C476" t="s">
        <v>2112</v>
      </c>
      <c r="D476" t="s">
        <v>355</v>
      </c>
      <c r="E476" t="s">
        <v>2112</v>
      </c>
      <c r="F476" t="s">
        <v>355</v>
      </c>
    </row>
    <row r="477" spans="1:6" x14ac:dyDescent="0.25">
      <c r="A477" t="s">
        <v>1283</v>
      </c>
      <c r="B477">
        <v>2282600476</v>
      </c>
      <c r="C477" t="s">
        <v>2112</v>
      </c>
      <c r="D477" t="s">
        <v>355</v>
      </c>
      <c r="E477" t="s">
        <v>2112</v>
      </c>
      <c r="F477" t="s">
        <v>355</v>
      </c>
    </row>
    <row r="478" spans="1:6" x14ac:dyDescent="0.25">
      <c r="A478" t="s">
        <v>1283</v>
      </c>
      <c r="B478">
        <v>2282600477</v>
      </c>
      <c r="C478" t="s">
        <v>2112</v>
      </c>
      <c r="D478" t="s">
        <v>355</v>
      </c>
      <c r="E478" t="s">
        <v>2112</v>
      </c>
      <c r="F478" t="s">
        <v>355</v>
      </c>
    </row>
    <row r="479" spans="1:6" x14ac:dyDescent="0.25">
      <c r="A479" t="s">
        <v>1283</v>
      </c>
      <c r="B479">
        <v>2302600478</v>
      </c>
      <c r="C479" t="s">
        <v>2112</v>
      </c>
      <c r="D479" t="s">
        <v>355</v>
      </c>
      <c r="E479" t="s">
        <v>2112</v>
      </c>
      <c r="F479" t="s">
        <v>355</v>
      </c>
    </row>
    <row r="480" spans="1:6" x14ac:dyDescent="0.25">
      <c r="A480" t="s">
        <v>1283</v>
      </c>
      <c r="B480">
        <v>2302600479</v>
      </c>
      <c r="C480" t="s">
        <v>2112</v>
      </c>
      <c r="D480" t="s">
        <v>355</v>
      </c>
      <c r="E480" t="s">
        <v>2112</v>
      </c>
      <c r="F480" t="s">
        <v>355</v>
      </c>
    </row>
    <row r="481" spans="1:6" x14ac:dyDescent="0.25">
      <c r="A481" t="s">
        <v>1283</v>
      </c>
      <c r="B481">
        <v>2282600480</v>
      </c>
      <c r="C481" t="s">
        <v>2112</v>
      </c>
      <c r="D481" t="s">
        <v>355</v>
      </c>
      <c r="E481" t="s">
        <v>2112</v>
      </c>
      <c r="F481" t="s">
        <v>355</v>
      </c>
    </row>
    <row r="482" spans="1:6" x14ac:dyDescent="0.25">
      <c r="A482" t="s">
        <v>1316</v>
      </c>
      <c r="B482">
        <v>2282600481</v>
      </c>
      <c r="C482" t="s">
        <v>2112</v>
      </c>
      <c r="D482" t="s">
        <v>355</v>
      </c>
      <c r="E482" t="s">
        <v>2112</v>
      </c>
      <c r="F482" t="s">
        <v>355</v>
      </c>
    </row>
    <row r="483" spans="1:6" x14ac:dyDescent="0.25">
      <c r="A483" t="s">
        <v>1316</v>
      </c>
      <c r="B483">
        <v>2302600482</v>
      </c>
      <c r="C483" t="s">
        <v>2112</v>
      </c>
      <c r="D483" t="s">
        <v>355</v>
      </c>
      <c r="E483" t="s">
        <v>2112</v>
      </c>
      <c r="F483" t="s">
        <v>355</v>
      </c>
    </row>
    <row r="484" spans="1:6" x14ac:dyDescent="0.25">
      <c r="A484" t="s">
        <v>1316</v>
      </c>
      <c r="B484">
        <v>2302600483</v>
      </c>
      <c r="C484" t="s">
        <v>2112</v>
      </c>
      <c r="D484" t="s">
        <v>355</v>
      </c>
      <c r="E484" t="s">
        <v>2112</v>
      </c>
      <c r="F484" t="s">
        <v>355</v>
      </c>
    </row>
    <row r="485" spans="1:6" x14ac:dyDescent="0.25">
      <c r="A485" t="s">
        <v>1316</v>
      </c>
      <c r="B485">
        <v>2282600484</v>
      </c>
      <c r="C485" t="s">
        <v>2112</v>
      </c>
      <c r="D485" t="s">
        <v>355</v>
      </c>
      <c r="E485" t="s">
        <v>2112</v>
      </c>
      <c r="F485" t="s">
        <v>355</v>
      </c>
    </row>
    <row r="486" spans="1:6" x14ac:dyDescent="0.25">
      <c r="A486" t="s">
        <v>1316</v>
      </c>
      <c r="B486">
        <v>2282600485</v>
      </c>
      <c r="C486" t="s">
        <v>2112</v>
      </c>
      <c r="D486" t="s">
        <v>355</v>
      </c>
      <c r="E486" t="s">
        <v>2112</v>
      </c>
      <c r="F486" t="s">
        <v>355</v>
      </c>
    </row>
    <row r="487" spans="1:6" x14ac:dyDescent="0.25">
      <c r="A487" t="s">
        <v>1316</v>
      </c>
      <c r="B487">
        <v>2302600486</v>
      </c>
      <c r="C487" t="s">
        <v>2112</v>
      </c>
      <c r="D487" t="s">
        <v>355</v>
      </c>
      <c r="E487" t="s">
        <v>2112</v>
      </c>
      <c r="F487" t="s">
        <v>355</v>
      </c>
    </row>
    <row r="488" spans="1:6" x14ac:dyDescent="0.25">
      <c r="A488" t="s">
        <v>1316</v>
      </c>
      <c r="B488">
        <v>2302600487</v>
      </c>
      <c r="C488" t="s">
        <v>2112</v>
      </c>
      <c r="D488" t="s">
        <v>355</v>
      </c>
      <c r="E488" t="s">
        <v>2112</v>
      </c>
      <c r="F488" t="s">
        <v>355</v>
      </c>
    </row>
    <row r="489" spans="1:6" x14ac:dyDescent="0.25">
      <c r="A489" t="s">
        <v>1316</v>
      </c>
      <c r="B489">
        <v>2282600488</v>
      </c>
      <c r="C489" t="s">
        <v>2112</v>
      </c>
      <c r="D489" t="s">
        <v>355</v>
      </c>
      <c r="E489" t="s">
        <v>2112</v>
      </c>
      <c r="F489" t="s">
        <v>355</v>
      </c>
    </row>
    <row r="490" spans="1:6" x14ac:dyDescent="0.25">
      <c r="A490" t="s">
        <v>1316</v>
      </c>
      <c r="B490">
        <v>2282600489</v>
      </c>
      <c r="C490" t="s">
        <v>2112</v>
      </c>
      <c r="D490" t="s">
        <v>355</v>
      </c>
      <c r="E490" t="s">
        <v>2112</v>
      </c>
      <c r="F490" t="s">
        <v>355</v>
      </c>
    </row>
    <row r="491" spans="1:6" x14ac:dyDescent="0.25">
      <c r="A491" t="s">
        <v>1316</v>
      </c>
      <c r="B491">
        <v>2302600490</v>
      </c>
      <c r="C491" t="s">
        <v>2112</v>
      </c>
      <c r="D491" t="s">
        <v>355</v>
      </c>
      <c r="E491" t="s">
        <v>2112</v>
      </c>
      <c r="F491" t="s">
        <v>355</v>
      </c>
    </row>
    <row r="492" spans="1:6" x14ac:dyDescent="0.25">
      <c r="A492" t="s">
        <v>1316</v>
      </c>
      <c r="B492">
        <v>2302600491</v>
      </c>
      <c r="C492" t="s">
        <v>2112</v>
      </c>
      <c r="D492" t="s">
        <v>355</v>
      </c>
      <c r="E492" t="s">
        <v>2112</v>
      </c>
      <c r="F492" t="s">
        <v>355</v>
      </c>
    </row>
    <row r="493" spans="1:6" x14ac:dyDescent="0.25">
      <c r="A493" t="s">
        <v>1316</v>
      </c>
      <c r="B493">
        <v>2282600492</v>
      </c>
      <c r="C493" t="s">
        <v>2112</v>
      </c>
      <c r="D493" t="s">
        <v>355</v>
      </c>
      <c r="E493" t="s">
        <v>2112</v>
      </c>
      <c r="F493" t="s">
        <v>355</v>
      </c>
    </row>
    <row r="494" spans="1:6" x14ac:dyDescent="0.25">
      <c r="A494" t="s">
        <v>1316</v>
      </c>
      <c r="B494">
        <v>2282600493</v>
      </c>
      <c r="C494" t="s">
        <v>2112</v>
      </c>
      <c r="D494" t="s">
        <v>355</v>
      </c>
      <c r="E494" t="s">
        <v>2112</v>
      </c>
      <c r="F494" t="s">
        <v>355</v>
      </c>
    </row>
    <row r="495" spans="1:6" x14ac:dyDescent="0.25">
      <c r="A495" t="s">
        <v>1316</v>
      </c>
      <c r="B495">
        <v>2302600494</v>
      </c>
      <c r="C495" t="s">
        <v>2112</v>
      </c>
      <c r="D495" t="s">
        <v>355</v>
      </c>
      <c r="E495" t="s">
        <v>2112</v>
      </c>
      <c r="F495" t="s">
        <v>355</v>
      </c>
    </row>
    <row r="496" spans="1:6" x14ac:dyDescent="0.25">
      <c r="A496" t="s">
        <v>1316</v>
      </c>
      <c r="B496">
        <v>2302600495</v>
      </c>
      <c r="C496" t="s">
        <v>2112</v>
      </c>
      <c r="D496" t="s">
        <v>355</v>
      </c>
      <c r="E496" t="s">
        <v>2112</v>
      </c>
      <c r="F496" t="s">
        <v>355</v>
      </c>
    </row>
    <row r="497" spans="1:6" x14ac:dyDescent="0.25">
      <c r="A497" t="s">
        <v>1316</v>
      </c>
      <c r="B497">
        <v>2282600496</v>
      </c>
      <c r="C497" t="s">
        <v>2112</v>
      </c>
      <c r="D497" t="s">
        <v>355</v>
      </c>
      <c r="E497" t="s">
        <v>2112</v>
      </c>
      <c r="F497" t="s">
        <v>355</v>
      </c>
    </row>
    <row r="498" spans="1:6" x14ac:dyDescent="0.25">
      <c r="A498" t="s">
        <v>1316</v>
      </c>
      <c r="B498">
        <v>2282600497</v>
      </c>
      <c r="C498" t="s">
        <v>2112</v>
      </c>
      <c r="D498" t="s">
        <v>355</v>
      </c>
      <c r="E498" t="s">
        <v>2112</v>
      </c>
      <c r="F498" t="s">
        <v>355</v>
      </c>
    </row>
    <row r="499" spans="1:6" x14ac:dyDescent="0.25">
      <c r="A499" t="s">
        <v>1316</v>
      </c>
      <c r="B499">
        <v>2302600498</v>
      </c>
      <c r="C499" t="s">
        <v>2112</v>
      </c>
      <c r="D499" t="s">
        <v>355</v>
      </c>
      <c r="E499" t="s">
        <v>2112</v>
      </c>
      <c r="F499" t="s">
        <v>355</v>
      </c>
    </row>
    <row r="500" spans="1:6" x14ac:dyDescent="0.25">
      <c r="A500" t="s">
        <v>1316</v>
      </c>
      <c r="B500">
        <v>2302600499</v>
      </c>
      <c r="C500" t="s">
        <v>2112</v>
      </c>
      <c r="D500" t="s">
        <v>355</v>
      </c>
      <c r="E500" t="s">
        <v>2112</v>
      </c>
      <c r="F500" t="s">
        <v>355</v>
      </c>
    </row>
    <row r="501" spans="1:6" x14ac:dyDescent="0.25">
      <c r="A501" t="s">
        <v>1316</v>
      </c>
      <c r="B501">
        <v>2282600500</v>
      </c>
      <c r="C501" t="s">
        <v>2112</v>
      </c>
      <c r="D501" t="s">
        <v>355</v>
      </c>
      <c r="E501" t="s">
        <v>2112</v>
      </c>
      <c r="F501" t="s">
        <v>355</v>
      </c>
    </row>
    <row r="502" spans="1:6" x14ac:dyDescent="0.25">
      <c r="A502" t="s">
        <v>1316</v>
      </c>
      <c r="B502">
        <v>2282600501</v>
      </c>
      <c r="C502" t="s">
        <v>2112</v>
      </c>
      <c r="D502" t="s">
        <v>355</v>
      </c>
      <c r="E502" t="s">
        <v>2112</v>
      </c>
      <c r="F502" t="s">
        <v>355</v>
      </c>
    </row>
    <row r="503" spans="1:6" x14ac:dyDescent="0.25">
      <c r="A503" t="s">
        <v>1316</v>
      </c>
      <c r="B503">
        <v>2302600502</v>
      </c>
      <c r="C503" t="s">
        <v>2112</v>
      </c>
      <c r="D503" t="s">
        <v>355</v>
      </c>
      <c r="E503" t="s">
        <v>2112</v>
      </c>
      <c r="F503" t="s">
        <v>355</v>
      </c>
    </row>
    <row r="504" spans="1:6" x14ac:dyDescent="0.25">
      <c r="A504" t="s">
        <v>1316</v>
      </c>
      <c r="B504">
        <v>2302600503</v>
      </c>
      <c r="C504" t="s">
        <v>2112</v>
      </c>
      <c r="D504" t="s">
        <v>355</v>
      </c>
      <c r="E504" t="s">
        <v>2112</v>
      </c>
      <c r="F504" t="s">
        <v>355</v>
      </c>
    </row>
    <row r="505" spans="1:6" x14ac:dyDescent="0.25">
      <c r="A505" t="s">
        <v>1316</v>
      </c>
      <c r="B505">
        <v>2282600504</v>
      </c>
      <c r="C505" t="s">
        <v>2112</v>
      </c>
      <c r="D505" t="s">
        <v>355</v>
      </c>
      <c r="E505" t="s">
        <v>2112</v>
      </c>
      <c r="F505" t="s">
        <v>355</v>
      </c>
    </row>
    <row r="506" spans="1:6" x14ac:dyDescent="0.25">
      <c r="A506" t="s">
        <v>1316</v>
      </c>
      <c r="B506">
        <v>2282600505</v>
      </c>
      <c r="C506" t="s">
        <v>2112</v>
      </c>
      <c r="D506" t="s">
        <v>355</v>
      </c>
      <c r="E506" t="s">
        <v>2112</v>
      </c>
      <c r="F506" t="s">
        <v>355</v>
      </c>
    </row>
    <row r="507" spans="1:6" x14ac:dyDescent="0.25">
      <c r="A507" t="s">
        <v>1316</v>
      </c>
      <c r="B507">
        <v>2302600506</v>
      </c>
      <c r="C507" t="s">
        <v>2112</v>
      </c>
      <c r="D507" t="s">
        <v>355</v>
      </c>
      <c r="E507" t="s">
        <v>2112</v>
      </c>
      <c r="F507" t="s">
        <v>355</v>
      </c>
    </row>
    <row r="508" spans="1:6" x14ac:dyDescent="0.25">
      <c r="A508" t="s">
        <v>1316</v>
      </c>
      <c r="B508">
        <v>2302600507</v>
      </c>
      <c r="C508" t="s">
        <v>2112</v>
      </c>
      <c r="D508" t="s">
        <v>355</v>
      </c>
      <c r="E508" t="s">
        <v>2112</v>
      </c>
      <c r="F508" t="s">
        <v>355</v>
      </c>
    </row>
    <row r="509" spans="1:6" x14ac:dyDescent="0.25">
      <c r="A509" t="s">
        <v>1316</v>
      </c>
      <c r="B509">
        <v>2282600508</v>
      </c>
      <c r="C509" t="s">
        <v>2112</v>
      </c>
      <c r="D509" t="s">
        <v>355</v>
      </c>
      <c r="E509" t="s">
        <v>2112</v>
      </c>
      <c r="F509" t="s">
        <v>355</v>
      </c>
    </row>
    <row r="510" spans="1:6" x14ac:dyDescent="0.25">
      <c r="A510" t="s">
        <v>1316</v>
      </c>
      <c r="B510">
        <v>2282600509</v>
      </c>
      <c r="C510" t="s">
        <v>2112</v>
      </c>
      <c r="D510" t="s">
        <v>355</v>
      </c>
      <c r="E510" t="s">
        <v>2112</v>
      </c>
      <c r="F510" t="s">
        <v>355</v>
      </c>
    </row>
    <row r="511" spans="1:6" x14ac:dyDescent="0.25">
      <c r="A511" t="s">
        <v>1316</v>
      </c>
      <c r="B511">
        <v>2302600510</v>
      </c>
      <c r="C511" t="s">
        <v>2112</v>
      </c>
      <c r="D511" t="s">
        <v>355</v>
      </c>
      <c r="E511" t="s">
        <v>2112</v>
      </c>
      <c r="F511" t="s">
        <v>355</v>
      </c>
    </row>
    <row r="512" spans="1:6" x14ac:dyDescent="0.25">
      <c r="A512" t="s">
        <v>1316</v>
      </c>
      <c r="B512">
        <v>2302600511</v>
      </c>
      <c r="C512" t="s">
        <v>2112</v>
      </c>
      <c r="D512" t="s">
        <v>355</v>
      </c>
      <c r="E512" t="s">
        <v>2112</v>
      </c>
      <c r="F512" t="s">
        <v>355</v>
      </c>
    </row>
    <row r="513" spans="1:6" x14ac:dyDescent="0.25">
      <c r="A513" t="s">
        <v>1316</v>
      </c>
      <c r="B513">
        <v>2282600512</v>
      </c>
      <c r="C513" t="s">
        <v>2112</v>
      </c>
      <c r="D513" t="s">
        <v>355</v>
      </c>
      <c r="E513" t="s">
        <v>2112</v>
      </c>
      <c r="F513" t="s">
        <v>355</v>
      </c>
    </row>
    <row r="514" spans="1:6" x14ac:dyDescent="0.25">
      <c r="A514" t="s">
        <v>1349</v>
      </c>
      <c r="B514">
        <v>2282600513</v>
      </c>
      <c r="C514" t="s">
        <v>2112</v>
      </c>
      <c r="D514" t="s">
        <v>355</v>
      </c>
      <c r="E514" t="s">
        <v>2112</v>
      </c>
      <c r="F514" t="s">
        <v>355</v>
      </c>
    </row>
    <row r="515" spans="1:6" x14ac:dyDescent="0.25">
      <c r="A515" t="s">
        <v>1349</v>
      </c>
      <c r="B515">
        <v>2302600514</v>
      </c>
      <c r="C515" t="s">
        <v>2112</v>
      </c>
      <c r="D515" t="s">
        <v>355</v>
      </c>
      <c r="E515" t="s">
        <v>2112</v>
      </c>
      <c r="F515" t="s">
        <v>355</v>
      </c>
    </row>
    <row r="516" spans="1:6" x14ac:dyDescent="0.25">
      <c r="A516" t="s">
        <v>1349</v>
      </c>
      <c r="B516">
        <v>2302600515</v>
      </c>
      <c r="C516" t="s">
        <v>2112</v>
      </c>
      <c r="D516" t="s">
        <v>355</v>
      </c>
      <c r="E516" t="s">
        <v>2112</v>
      </c>
      <c r="F516" t="s">
        <v>355</v>
      </c>
    </row>
    <row r="517" spans="1:6" x14ac:dyDescent="0.25">
      <c r="A517" t="s">
        <v>1349</v>
      </c>
      <c r="B517">
        <v>2282600516</v>
      </c>
      <c r="C517" t="s">
        <v>2112</v>
      </c>
      <c r="D517" t="s">
        <v>355</v>
      </c>
      <c r="E517" t="s">
        <v>2112</v>
      </c>
      <c r="F517" t="s">
        <v>355</v>
      </c>
    </row>
    <row r="518" spans="1:6" x14ac:dyDescent="0.25">
      <c r="A518" t="s">
        <v>1349</v>
      </c>
      <c r="B518">
        <v>2282600517</v>
      </c>
      <c r="C518" t="s">
        <v>2112</v>
      </c>
      <c r="D518" t="s">
        <v>355</v>
      </c>
      <c r="E518" t="s">
        <v>2112</v>
      </c>
      <c r="F518" t="s">
        <v>355</v>
      </c>
    </row>
    <row r="519" spans="1:6" x14ac:dyDescent="0.25">
      <c r="A519" t="s">
        <v>1349</v>
      </c>
      <c r="B519">
        <v>2302600518</v>
      </c>
      <c r="C519" t="s">
        <v>2112</v>
      </c>
      <c r="D519" t="s">
        <v>355</v>
      </c>
      <c r="E519" t="s">
        <v>2112</v>
      </c>
      <c r="F519" t="s">
        <v>355</v>
      </c>
    </row>
    <row r="520" spans="1:6" x14ac:dyDescent="0.25">
      <c r="A520" t="s">
        <v>1349</v>
      </c>
      <c r="B520">
        <v>2302600519</v>
      </c>
      <c r="C520" t="s">
        <v>2112</v>
      </c>
      <c r="D520" t="s">
        <v>355</v>
      </c>
      <c r="E520" t="s">
        <v>2112</v>
      </c>
      <c r="F520" t="s">
        <v>355</v>
      </c>
    </row>
    <row r="521" spans="1:6" x14ac:dyDescent="0.25">
      <c r="A521" t="s">
        <v>1349</v>
      </c>
      <c r="B521">
        <v>2282600520</v>
      </c>
      <c r="C521" t="s">
        <v>2112</v>
      </c>
      <c r="D521" t="s">
        <v>355</v>
      </c>
      <c r="E521" t="s">
        <v>2112</v>
      </c>
      <c r="F521" t="s">
        <v>355</v>
      </c>
    </row>
    <row r="522" spans="1:6" x14ac:dyDescent="0.25">
      <c r="A522" t="s">
        <v>1349</v>
      </c>
      <c r="B522">
        <v>2282600521</v>
      </c>
      <c r="C522" t="s">
        <v>2112</v>
      </c>
      <c r="D522" t="s">
        <v>355</v>
      </c>
      <c r="E522" t="s">
        <v>2112</v>
      </c>
      <c r="F522" t="s">
        <v>355</v>
      </c>
    </row>
    <row r="523" spans="1:6" x14ac:dyDescent="0.25">
      <c r="A523" t="s">
        <v>1349</v>
      </c>
      <c r="B523">
        <v>2302600522</v>
      </c>
      <c r="C523" t="s">
        <v>2112</v>
      </c>
      <c r="D523" t="s">
        <v>355</v>
      </c>
      <c r="E523" t="s">
        <v>2112</v>
      </c>
      <c r="F523" t="s">
        <v>355</v>
      </c>
    </row>
    <row r="524" spans="1:6" x14ac:dyDescent="0.25">
      <c r="A524" t="s">
        <v>1349</v>
      </c>
      <c r="B524">
        <v>2302600523</v>
      </c>
      <c r="C524" t="s">
        <v>2112</v>
      </c>
      <c r="D524" t="s">
        <v>355</v>
      </c>
      <c r="E524" t="s">
        <v>2112</v>
      </c>
      <c r="F524" t="s">
        <v>355</v>
      </c>
    </row>
    <row r="525" spans="1:6" x14ac:dyDescent="0.25">
      <c r="A525" t="s">
        <v>1349</v>
      </c>
      <c r="B525">
        <v>2282600524</v>
      </c>
      <c r="C525" t="s">
        <v>2112</v>
      </c>
      <c r="D525" t="s">
        <v>355</v>
      </c>
      <c r="E525" t="s">
        <v>2112</v>
      </c>
      <c r="F525" t="s">
        <v>355</v>
      </c>
    </row>
    <row r="526" spans="1:6" x14ac:dyDescent="0.25">
      <c r="A526" t="s">
        <v>1349</v>
      </c>
      <c r="B526">
        <v>2282600525</v>
      </c>
      <c r="C526" t="s">
        <v>2112</v>
      </c>
      <c r="D526" t="s">
        <v>355</v>
      </c>
      <c r="E526" t="s">
        <v>2112</v>
      </c>
      <c r="F526" t="s">
        <v>355</v>
      </c>
    </row>
    <row r="527" spans="1:6" x14ac:dyDescent="0.25">
      <c r="A527" t="s">
        <v>1349</v>
      </c>
      <c r="B527">
        <v>2302600526</v>
      </c>
      <c r="C527" t="s">
        <v>2112</v>
      </c>
      <c r="D527" t="s">
        <v>355</v>
      </c>
      <c r="E527" t="s">
        <v>2112</v>
      </c>
      <c r="F527" t="s">
        <v>355</v>
      </c>
    </row>
    <row r="528" spans="1:6" x14ac:dyDescent="0.25">
      <c r="A528" t="s">
        <v>1349</v>
      </c>
      <c r="B528">
        <v>2302600527</v>
      </c>
      <c r="C528" t="s">
        <v>2112</v>
      </c>
      <c r="D528" t="s">
        <v>355</v>
      </c>
      <c r="E528" t="s">
        <v>2112</v>
      </c>
      <c r="F528" t="s">
        <v>355</v>
      </c>
    </row>
    <row r="529" spans="1:6" x14ac:dyDescent="0.25">
      <c r="A529" t="s">
        <v>1349</v>
      </c>
      <c r="B529">
        <v>2282600528</v>
      </c>
      <c r="C529" t="s">
        <v>2112</v>
      </c>
      <c r="D529" t="s">
        <v>355</v>
      </c>
      <c r="E529" t="s">
        <v>2112</v>
      </c>
      <c r="F529" t="s">
        <v>355</v>
      </c>
    </row>
    <row r="530" spans="1:6" x14ac:dyDescent="0.25">
      <c r="A530" t="s">
        <v>1349</v>
      </c>
      <c r="B530">
        <v>2282600529</v>
      </c>
      <c r="C530" t="s">
        <v>2112</v>
      </c>
      <c r="D530" t="s">
        <v>355</v>
      </c>
      <c r="E530" t="s">
        <v>2112</v>
      </c>
      <c r="F530" t="s">
        <v>355</v>
      </c>
    </row>
    <row r="531" spans="1:6" x14ac:dyDescent="0.25">
      <c r="A531" t="s">
        <v>1349</v>
      </c>
      <c r="B531">
        <v>2302600530</v>
      </c>
      <c r="C531" t="s">
        <v>2112</v>
      </c>
      <c r="D531" t="s">
        <v>355</v>
      </c>
      <c r="E531" t="s">
        <v>2112</v>
      </c>
      <c r="F531" t="s">
        <v>355</v>
      </c>
    </row>
    <row r="532" spans="1:6" x14ac:dyDescent="0.25">
      <c r="A532" t="s">
        <v>1349</v>
      </c>
      <c r="B532">
        <v>2302600531</v>
      </c>
      <c r="C532" t="s">
        <v>2112</v>
      </c>
      <c r="D532" t="s">
        <v>355</v>
      </c>
      <c r="E532" t="s">
        <v>2112</v>
      </c>
      <c r="F532" t="s">
        <v>355</v>
      </c>
    </row>
    <row r="533" spans="1:6" x14ac:dyDescent="0.25">
      <c r="A533" t="s">
        <v>1349</v>
      </c>
      <c r="B533">
        <v>2282600532</v>
      </c>
      <c r="C533" t="s">
        <v>2112</v>
      </c>
      <c r="D533" t="s">
        <v>355</v>
      </c>
      <c r="E533" t="s">
        <v>2112</v>
      </c>
      <c r="F533" t="s">
        <v>355</v>
      </c>
    </row>
    <row r="534" spans="1:6" x14ac:dyDescent="0.25">
      <c r="A534" t="s">
        <v>1349</v>
      </c>
      <c r="B534">
        <v>2282600533</v>
      </c>
      <c r="C534" t="s">
        <v>2112</v>
      </c>
      <c r="D534" t="s">
        <v>355</v>
      </c>
      <c r="E534" t="s">
        <v>2112</v>
      </c>
      <c r="F534" t="s">
        <v>355</v>
      </c>
    </row>
    <row r="535" spans="1:6" x14ac:dyDescent="0.25">
      <c r="A535" t="s">
        <v>1349</v>
      </c>
      <c r="B535">
        <v>2302600534</v>
      </c>
      <c r="C535" t="s">
        <v>2112</v>
      </c>
      <c r="D535" t="s">
        <v>355</v>
      </c>
      <c r="E535" t="s">
        <v>2112</v>
      </c>
      <c r="F535" t="s">
        <v>355</v>
      </c>
    </row>
    <row r="536" spans="1:6" x14ac:dyDescent="0.25">
      <c r="A536" t="s">
        <v>1349</v>
      </c>
      <c r="B536">
        <v>2302600535</v>
      </c>
      <c r="C536" t="s">
        <v>2112</v>
      </c>
      <c r="D536" t="s">
        <v>355</v>
      </c>
      <c r="E536" t="s">
        <v>2112</v>
      </c>
      <c r="F536" t="s">
        <v>355</v>
      </c>
    </row>
    <row r="537" spans="1:6" x14ac:dyDescent="0.25">
      <c r="A537" t="s">
        <v>1349</v>
      </c>
      <c r="B537">
        <v>2282600536</v>
      </c>
      <c r="C537" t="s">
        <v>2112</v>
      </c>
      <c r="D537" t="s">
        <v>355</v>
      </c>
      <c r="E537" t="s">
        <v>2112</v>
      </c>
      <c r="F537" t="s">
        <v>355</v>
      </c>
    </row>
    <row r="538" spans="1:6" x14ac:dyDescent="0.25">
      <c r="A538" t="s">
        <v>1349</v>
      </c>
      <c r="B538">
        <v>2282600537</v>
      </c>
      <c r="C538" t="s">
        <v>2112</v>
      </c>
      <c r="D538" t="s">
        <v>355</v>
      </c>
      <c r="E538" t="s">
        <v>2112</v>
      </c>
      <c r="F538" t="s">
        <v>355</v>
      </c>
    </row>
    <row r="539" spans="1:6" x14ac:dyDescent="0.25">
      <c r="A539" t="s">
        <v>1349</v>
      </c>
      <c r="B539">
        <v>2302600538</v>
      </c>
      <c r="C539" t="s">
        <v>2112</v>
      </c>
      <c r="D539" t="s">
        <v>355</v>
      </c>
      <c r="E539" t="s">
        <v>2112</v>
      </c>
      <c r="F539" t="s">
        <v>355</v>
      </c>
    </row>
    <row r="540" spans="1:6" x14ac:dyDescent="0.25">
      <c r="A540" t="s">
        <v>1349</v>
      </c>
      <c r="B540">
        <v>2302600539</v>
      </c>
      <c r="C540" t="s">
        <v>2112</v>
      </c>
      <c r="D540" t="s">
        <v>355</v>
      </c>
      <c r="E540" t="s">
        <v>2112</v>
      </c>
      <c r="F540" t="s">
        <v>355</v>
      </c>
    </row>
    <row r="541" spans="1:6" x14ac:dyDescent="0.25">
      <c r="A541" t="s">
        <v>1349</v>
      </c>
      <c r="B541">
        <v>2282600540</v>
      </c>
      <c r="C541" t="s">
        <v>2112</v>
      </c>
      <c r="D541" t="s">
        <v>355</v>
      </c>
      <c r="E541" t="s">
        <v>2112</v>
      </c>
      <c r="F541" t="s">
        <v>355</v>
      </c>
    </row>
    <row r="542" spans="1:6" x14ac:dyDescent="0.25">
      <c r="A542" t="s">
        <v>1349</v>
      </c>
      <c r="B542">
        <v>2282600541</v>
      </c>
      <c r="C542" t="s">
        <v>2112</v>
      </c>
      <c r="D542" t="s">
        <v>355</v>
      </c>
      <c r="E542" t="s">
        <v>2112</v>
      </c>
      <c r="F542" t="s">
        <v>355</v>
      </c>
    </row>
    <row r="543" spans="1:6" x14ac:dyDescent="0.25">
      <c r="A543" t="s">
        <v>1349</v>
      </c>
      <c r="B543">
        <v>2302600542</v>
      </c>
      <c r="C543" t="s">
        <v>2112</v>
      </c>
      <c r="D543" t="s">
        <v>355</v>
      </c>
      <c r="E543" t="s">
        <v>2112</v>
      </c>
      <c r="F543" t="s">
        <v>355</v>
      </c>
    </row>
    <row r="544" spans="1:6" x14ac:dyDescent="0.25">
      <c r="A544" t="s">
        <v>1349</v>
      </c>
      <c r="B544">
        <v>2302600543</v>
      </c>
      <c r="C544" t="s">
        <v>2112</v>
      </c>
      <c r="D544" t="s">
        <v>355</v>
      </c>
      <c r="E544" t="s">
        <v>2112</v>
      </c>
      <c r="F544" t="s">
        <v>355</v>
      </c>
    </row>
    <row r="545" spans="1:6" x14ac:dyDescent="0.25">
      <c r="A545" t="s">
        <v>1349</v>
      </c>
      <c r="B545">
        <v>2282600544</v>
      </c>
      <c r="C545" t="s">
        <v>2112</v>
      </c>
      <c r="D545" t="s">
        <v>355</v>
      </c>
      <c r="E545" t="s">
        <v>2112</v>
      </c>
      <c r="F545" t="s">
        <v>355</v>
      </c>
    </row>
    <row r="546" spans="1:6" x14ac:dyDescent="0.25">
      <c r="A546" t="s">
        <v>1382</v>
      </c>
      <c r="B546">
        <v>2282600545</v>
      </c>
      <c r="C546" t="s">
        <v>2112</v>
      </c>
      <c r="D546" t="s">
        <v>355</v>
      </c>
      <c r="E546" t="s">
        <v>2112</v>
      </c>
      <c r="F546" t="s">
        <v>355</v>
      </c>
    </row>
    <row r="547" spans="1:6" x14ac:dyDescent="0.25">
      <c r="A547" t="s">
        <v>1382</v>
      </c>
      <c r="B547">
        <v>2302600546</v>
      </c>
      <c r="C547" t="s">
        <v>2112</v>
      </c>
      <c r="D547" t="s">
        <v>355</v>
      </c>
      <c r="E547" t="s">
        <v>2112</v>
      </c>
      <c r="F547" t="s">
        <v>355</v>
      </c>
    </row>
    <row r="548" spans="1:6" x14ac:dyDescent="0.25">
      <c r="A548" t="s">
        <v>1382</v>
      </c>
      <c r="B548">
        <v>2302600547</v>
      </c>
      <c r="C548" t="s">
        <v>2112</v>
      </c>
      <c r="D548" t="s">
        <v>355</v>
      </c>
      <c r="E548" t="s">
        <v>2112</v>
      </c>
      <c r="F548" t="s">
        <v>355</v>
      </c>
    </row>
    <row r="549" spans="1:6" x14ac:dyDescent="0.25">
      <c r="A549" t="s">
        <v>1382</v>
      </c>
      <c r="B549">
        <v>2282600548</v>
      </c>
      <c r="C549" t="s">
        <v>2112</v>
      </c>
      <c r="D549" t="s">
        <v>355</v>
      </c>
      <c r="E549" t="s">
        <v>2112</v>
      </c>
      <c r="F549" t="s">
        <v>355</v>
      </c>
    </row>
    <row r="550" spans="1:6" x14ac:dyDescent="0.25">
      <c r="A550" t="s">
        <v>1382</v>
      </c>
      <c r="B550">
        <v>2282600549</v>
      </c>
      <c r="C550" t="s">
        <v>2112</v>
      </c>
      <c r="D550" t="s">
        <v>355</v>
      </c>
      <c r="E550" t="s">
        <v>2112</v>
      </c>
      <c r="F550" t="s">
        <v>355</v>
      </c>
    </row>
    <row r="551" spans="1:6" x14ac:dyDescent="0.25">
      <c r="A551" t="s">
        <v>1382</v>
      </c>
      <c r="B551">
        <v>2302600550</v>
      </c>
      <c r="C551" t="s">
        <v>2112</v>
      </c>
      <c r="D551" t="s">
        <v>355</v>
      </c>
      <c r="E551" t="s">
        <v>2112</v>
      </c>
      <c r="F551" t="s">
        <v>355</v>
      </c>
    </row>
    <row r="552" spans="1:6" x14ac:dyDescent="0.25">
      <c r="A552" t="s">
        <v>1382</v>
      </c>
      <c r="B552">
        <v>2302600551</v>
      </c>
      <c r="C552" t="s">
        <v>2112</v>
      </c>
      <c r="D552" t="s">
        <v>355</v>
      </c>
      <c r="E552" t="s">
        <v>2112</v>
      </c>
      <c r="F552" t="s">
        <v>355</v>
      </c>
    </row>
    <row r="553" spans="1:6" x14ac:dyDescent="0.25">
      <c r="A553" t="s">
        <v>1382</v>
      </c>
      <c r="B553">
        <v>2282600552</v>
      </c>
      <c r="C553" t="s">
        <v>2112</v>
      </c>
      <c r="D553" t="s">
        <v>355</v>
      </c>
      <c r="E553" t="s">
        <v>2112</v>
      </c>
      <c r="F553" t="s">
        <v>355</v>
      </c>
    </row>
    <row r="554" spans="1:6" x14ac:dyDescent="0.25">
      <c r="A554" t="s">
        <v>1382</v>
      </c>
      <c r="B554">
        <v>2282600553</v>
      </c>
      <c r="C554" t="s">
        <v>2112</v>
      </c>
      <c r="D554" t="s">
        <v>355</v>
      </c>
      <c r="E554" t="s">
        <v>2112</v>
      </c>
      <c r="F554" t="s">
        <v>355</v>
      </c>
    </row>
    <row r="555" spans="1:6" x14ac:dyDescent="0.25">
      <c r="A555" t="s">
        <v>1382</v>
      </c>
      <c r="B555">
        <v>2302600554</v>
      </c>
      <c r="C555" t="s">
        <v>2112</v>
      </c>
      <c r="D555" t="s">
        <v>355</v>
      </c>
      <c r="E555" t="s">
        <v>2112</v>
      </c>
      <c r="F555" t="s">
        <v>355</v>
      </c>
    </row>
    <row r="556" spans="1:6" x14ac:dyDescent="0.25">
      <c r="A556" t="s">
        <v>1382</v>
      </c>
      <c r="B556">
        <v>2302600555</v>
      </c>
      <c r="C556" t="s">
        <v>2112</v>
      </c>
      <c r="D556" t="s">
        <v>355</v>
      </c>
      <c r="E556" t="s">
        <v>2112</v>
      </c>
      <c r="F556" t="s">
        <v>355</v>
      </c>
    </row>
    <row r="557" spans="1:6" x14ac:dyDescent="0.25">
      <c r="A557" t="s">
        <v>1382</v>
      </c>
      <c r="B557">
        <v>2282600556</v>
      </c>
      <c r="C557" t="s">
        <v>2112</v>
      </c>
      <c r="D557" t="s">
        <v>355</v>
      </c>
      <c r="E557" t="s">
        <v>2112</v>
      </c>
      <c r="F557" t="s">
        <v>355</v>
      </c>
    </row>
    <row r="558" spans="1:6" x14ac:dyDescent="0.25">
      <c r="A558" t="s">
        <v>1382</v>
      </c>
      <c r="B558">
        <v>2282600557</v>
      </c>
      <c r="C558" t="s">
        <v>2112</v>
      </c>
      <c r="D558" t="s">
        <v>355</v>
      </c>
      <c r="E558" t="s">
        <v>2112</v>
      </c>
      <c r="F558" t="s">
        <v>355</v>
      </c>
    </row>
    <row r="559" spans="1:6" x14ac:dyDescent="0.25">
      <c r="A559" t="s">
        <v>1382</v>
      </c>
      <c r="B559">
        <v>2302600558</v>
      </c>
      <c r="C559" t="s">
        <v>2112</v>
      </c>
      <c r="D559" t="s">
        <v>355</v>
      </c>
      <c r="E559" t="s">
        <v>2112</v>
      </c>
      <c r="F559" t="s">
        <v>355</v>
      </c>
    </row>
    <row r="560" spans="1:6" x14ac:dyDescent="0.25">
      <c r="A560" t="s">
        <v>1382</v>
      </c>
      <c r="B560">
        <v>2302600559</v>
      </c>
      <c r="C560" t="s">
        <v>2112</v>
      </c>
      <c r="D560" t="s">
        <v>355</v>
      </c>
      <c r="E560" t="s">
        <v>2112</v>
      </c>
      <c r="F560" t="s">
        <v>355</v>
      </c>
    </row>
    <row r="561" spans="1:6" x14ac:dyDescent="0.25">
      <c r="A561" t="s">
        <v>1382</v>
      </c>
      <c r="B561">
        <v>2282600560</v>
      </c>
      <c r="C561" t="s">
        <v>2112</v>
      </c>
      <c r="D561" t="s">
        <v>355</v>
      </c>
      <c r="E561" t="s">
        <v>2112</v>
      </c>
      <c r="F561" t="s">
        <v>355</v>
      </c>
    </row>
    <row r="562" spans="1:6" x14ac:dyDescent="0.25">
      <c r="A562" t="s">
        <v>1382</v>
      </c>
      <c r="B562">
        <v>2282600561</v>
      </c>
      <c r="C562" t="s">
        <v>2112</v>
      </c>
      <c r="D562" t="s">
        <v>355</v>
      </c>
      <c r="E562" t="s">
        <v>2112</v>
      </c>
      <c r="F562" t="s">
        <v>355</v>
      </c>
    </row>
    <row r="563" spans="1:6" x14ac:dyDescent="0.25">
      <c r="A563" t="s">
        <v>1382</v>
      </c>
      <c r="B563">
        <v>2302600562</v>
      </c>
      <c r="C563" t="s">
        <v>2112</v>
      </c>
      <c r="D563" t="s">
        <v>355</v>
      </c>
      <c r="E563" t="s">
        <v>2112</v>
      </c>
      <c r="F563" t="s">
        <v>355</v>
      </c>
    </row>
    <row r="564" spans="1:6" x14ac:dyDescent="0.25">
      <c r="A564" t="s">
        <v>1382</v>
      </c>
      <c r="B564">
        <v>2302600563</v>
      </c>
      <c r="C564" t="s">
        <v>2112</v>
      </c>
      <c r="D564" t="s">
        <v>355</v>
      </c>
      <c r="E564" t="s">
        <v>2112</v>
      </c>
      <c r="F564" t="s">
        <v>355</v>
      </c>
    </row>
    <row r="565" spans="1:6" x14ac:dyDescent="0.25">
      <c r="A565" t="s">
        <v>1382</v>
      </c>
      <c r="B565">
        <v>2282600564</v>
      </c>
      <c r="C565" t="s">
        <v>2112</v>
      </c>
      <c r="D565" t="s">
        <v>355</v>
      </c>
      <c r="E565" t="s">
        <v>2112</v>
      </c>
      <c r="F565" t="s">
        <v>355</v>
      </c>
    </row>
    <row r="566" spans="1:6" x14ac:dyDescent="0.25">
      <c r="A566" t="s">
        <v>1382</v>
      </c>
      <c r="B566">
        <v>2282600565</v>
      </c>
      <c r="C566" t="s">
        <v>2112</v>
      </c>
      <c r="D566" t="s">
        <v>355</v>
      </c>
      <c r="E566" t="s">
        <v>2112</v>
      </c>
      <c r="F566" t="s">
        <v>355</v>
      </c>
    </row>
    <row r="567" spans="1:6" x14ac:dyDescent="0.25">
      <c r="A567" t="s">
        <v>1382</v>
      </c>
      <c r="B567">
        <v>2302600566</v>
      </c>
      <c r="C567" t="s">
        <v>2112</v>
      </c>
      <c r="D567" t="s">
        <v>355</v>
      </c>
      <c r="E567" t="s">
        <v>2112</v>
      </c>
      <c r="F567" t="s">
        <v>355</v>
      </c>
    </row>
    <row r="568" spans="1:6" x14ac:dyDescent="0.25">
      <c r="A568" t="s">
        <v>1382</v>
      </c>
      <c r="B568">
        <v>2302600567</v>
      </c>
      <c r="C568" t="s">
        <v>2112</v>
      </c>
      <c r="D568" t="s">
        <v>355</v>
      </c>
      <c r="E568" t="s">
        <v>2112</v>
      </c>
      <c r="F568" t="s">
        <v>355</v>
      </c>
    </row>
    <row r="569" spans="1:6" x14ac:dyDescent="0.25">
      <c r="A569" t="s">
        <v>1382</v>
      </c>
      <c r="B569">
        <v>2282600568</v>
      </c>
      <c r="C569" t="s">
        <v>2112</v>
      </c>
      <c r="D569" t="s">
        <v>355</v>
      </c>
      <c r="E569" t="s">
        <v>2112</v>
      </c>
      <c r="F569" t="s">
        <v>355</v>
      </c>
    </row>
    <row r="570" spans="1:6" x14ac:dyDescent="0.25">
      <c r="A570" t="s">
        <v>1382</v>
      </c>
      <c r="B570">
        <v>2282600569</v>
      </c>
      <c r="C570" t="s">
        <v>2112</v>
      </c>
      <c r="D570" t="s">
        <v>355</v>
      </c>
      <c r="E570" t="s">
        <v>2112</v>
      </c>
      <c r="F570" t="s">
        <v>355</v>
      </c>
    </row>
    <row r="571" spans="1:6" x14ac:dyDescent="0.25">
      <c r="A571" t="s">
        <v>1382</v>
      </c>
      <c r="B571">
        <v>2302600570</v>
      </c>
      <c r="C571" t="s">
        <v>2112</v>
      </c>
      <c r="D571" t="s">
        <v>355</v>
      </c>
      <c r="E571" t="s">
        <v>2112</v>
      </c>
      <c r="F571" t="s">
        <v>355</v>
      </c>
    </row>
    <row r="572" spans="1:6" x14ac:dyDescent="0.25">
      <c r="A572" t="s">
        <v>1382</v>
      </c>
      <c r="B572">
        <v>2302600571</v>
      </c>
      <c r="C572" t="s">
        <v>2112</v>
      </c>
      <c r="D572" t="s">
        <v>355</v>
      </c>
      <c r="E572" t="s">
        <v>2112</v>
      </c>
      <c r="F572" t="s">
        <v>355</v>
      </c>
    </row>
    <row r="573" spans="1:6" x14ac:dyDescent="0.25">
      <c r="A573" t="s">
        <v>1382</v>
      </c>
      <c r="B573">
        <v>2282600572</v>
      </c>
      <c r="C573" t="s">
        <v>2112</v>
      </c>
      <c r="D573" t="s">
        <v>355</v>
      </c>
      <c r="E573" t="s">
        <v>2112</v>
      </c>
      <c r="F573" t="s">
        <v>355</v>
      </c>
    </row>
    <row r="574" spans="1:6" x14ac:dyDescent="0.25">
      <c r="A574" t="s">
        <v>1382</v>
      </c>
      <c r="B574">
        <v>2282600573</v>
      </c>
      <c r="C574" t="s">
        <v>2112</v>
      </c>
      <c r="D574" t="s">
        <v>355</v>
      </c>
      <c r="E574" t="s">
        <v>2112</v>
      </c>
      <c r="F574" t="s">
        <v>355</v>
      </c>
    </row>
    <row r="575" spans="1:6" x14ac:dyDescent="0.25">
      <c r="A575" t="s">
        <v>1382</v>
      </c>
      <c r="B575">
        <v>2302600574</v>
      </c>
      <c r="C575" t="s">
        <v>2112</v>
      </c>
      <c r="D575" t="s">
        <v>355</v>
      </c>
      <c r="E575" t="s">
        <v>2112</v>
      </c>
      <c r="F575" t="s">
        <v>355</v>
      </c>
    </row>
    <row r="576" spans="1:6" x14ac:dyDescent="0.25">
      <c r="A576" t="s">
        <v>1382</v>
      </c>
      <c r="B576">
        <v>2302600575</v>
      </c>
      <c r="C576" t="s">
        <v>2112</v>
      </c>
      <c r="D576" t="s">
        <v>355</v>
      </c>
      <c r="E576" t="s">
        <v>2112</v>
      </c>
      <c r="F576" t="s">
        <v>355</v>
      </c>
    </row>
    <row r="577" spans="1:6" x14ac:dyDescent="0.25">
      <c r="A577" t="s">
        <v>1382</v>
      </c>
      <c r="B577">
        <v>2282600576</v>
      </c>
      <c r="C577" t="s">
        <v>2112</v>
      </c>
      <c r="D577" t="s">
        <v>355</v>
      </c>
      <c r="E577" t="s">
        <v>2112</v>
      </c>
      <c r="F577" t="s">
        <v>355</v>
      </c>
    </row>
    <row r="578" spans="1:6" x14ac:dyDescent="0.25">
      <c r="A578" t="s">
        <v>1415</v>
      </c>
      <c r="B578">
        <v>2282600577</v>
      </c>
      <c r="C578" t="s">
        <v>2112</v>
      </c>
      <c r="D578" t="s">
        <v>355</v>
      </c>
      <c r="E578" t="s">
        <v>2112</v>
      </c>
      <c r="F578" t="s">
        <v>355</v>
      </c>
    </row>
    <row r="579" spans="1:6" x14ac:dyDescent="0.25">
      <c r="A579" t="s">
        <v>1415</v>
      </c>
      <c r="B579">
        <v>2302600578</v>
      </c>
      <c r="C579" t="s">
        <v>2112</v>
      </c>
      <c r="D579" t="s">
        <v>355</v>
      </c>
      <c r="E579" t="s">
        <v>2112</v>
      </c>
      <c r="F579" t="s">
        <v>355</v>
      </c>
    </row>
    <row r="580" spans="1:6" x14ac:dyDescent="0.25">
      <c r="A580" t="s">
        <v>1415</v>
      </c>
      <c r="B580">
        <v>2302600579</v>
      </c>
      <c r="C580" t="s">
        <v>2112</v>
      </c>
      <c r="D580" t="s">
        <v>355</v>
      </c>
      <c r="E580" t="s">
        <v>2112</v>
      </c>
      <c r="F580" t="s">
        <v>355</v>
      </c>
    </row>
    <row r="581" spans="1:6" x14ac:dyDescent="0.25">
      <c r="A581" t="s">
        <v>1415</v>
      </c>
      <c r="B581">
        <v>2282600580</v>
      </c>
      <c r="C581" t="s">
        <v>2112</v>
      </c>
      <c r="D581" t="s">
        <v>355</v>
      </c>
      <c r="E581" t="s">
        <v>2112</v>
      </c>
      <c r="F581" t="s">
        <v>355</v>
      </c>
    </row>
    <row r="582" spans="1:6" x14ac:dyDescent="0.25">
      <c r="A582" t="s">
        <v>1415</v>
      </c>
      <c r="B582">
        <v>2282600581</v>
      </c>
      <c r="C582" t="s">
        <v>2112</v>
      </c>
      <c r="D582" t="s">
        <v>355</v>
      </c>
      <c r="E582" t="s">
        <v>2112</v>
      </c>
      <c r="F582" t="s">
        <v>355</v>
      </c>
    </row>
    <row r="583" spans="1:6" x14ac:dyDescent="0.25">
      <c r="A583" t="s">
        <v>1415</v>
      </c>
      <c r="B583">
        <v>2302600582</v>
      </c>
      <c r="C583" t="s">
        <v>2112</v>
      </c>
      <c r="D583" t="s">
        <v>355</v>
      </c>
      <c r="E583" t="s">
        <v>2112</v>
      </c>
      <c r="F583" t="s">
        <v>355</v>
      </c>
    </row>
    <row r="584" spans="1:6" x14ac:dyDescent="0.25">
      <c r="A584" t="s">
        <v>1415</v>
      </c>
      <c r="B584">
        <v>2302600583</v>
      </c>
      <c r="C584" t="s">
        <v>2112</v>
      </c>
      <c r="D584" t="s">
        <v>355</v>
      </c>
      <c r="E584" t="s">
        <v>2112</v>
      </c>
      <c r="F584" t="s">
        <v>355</v>
      </c>
    </row>
    <row r="585" spans="1:6" x14ac:dyDescent="0.25">
      <c r="A585" t="s">
        <v>1415</v>
      </c>
      <c r="B585">
        <v>2282600584</v>
      </c>
      <c r="C585" t="s">
        <v>2112</v>
      </c>
      <c r="D585" t="s">
        <v>355</v>
      </c>
      <c r="E585" t="s">
        <v>2112</v>
      </c>
      <c r="F585" t="s">
        <v>355</v>
      </c>
    </row>
    <row r="586" spans="1:6" x14ac:dyDescent="0.25">
      <c r="A586" t="s">
        <v>1415</v>
      </c>
      <c r="B586">
        <v>2282600585</v>
      </c>
      <c r="C586" t="s">
        <v>2112</v>
      </c>
      <c r="D586" t="s">
        <v>355</v>
      </c>
      <c r="E586" t="s">
        <v>2112</v>
      </c>
      <c r="F586" t="s">
        <v>355</v>
      </c>
    </row>
    <row r="587" spans="1:6" x14ac:dyDescent="0.25">
      <c r="A587" t="s">
        <v>1415</v>
      </c>
      <c r="B587">
        <v>2302600586</v>
      </c>
      <c r="C587" t="s">
        <v>2112</v>
      </c>
      <c r="D587" t="s">
        <v>355</v>
      </c>
      <c r="E587" t="s">
        <v>2112</v>
      </c>
      <c r="F587" t="s">
        <v>355</v>
      </c>
    </row>
    <row r="588" spans="1:6" x14ac:dyDescent="0.25">
      <c r="A588" t="s">
        <v>1415</v>
      </c>
      <c r="B588">
        <v>2302600587</v>
      </c>
      <c r="C588" t="s">
        <v>2112</v>
      </c>
      <c r="D588" t="s">
        <v>355</v>
      </c>
      <c r="E588" t="s">
        <v>2112</v>
      </c>
      <c r="F588" t="s">
        <v>355</v>
      </c>
    </row>
    <row r="589" spans="1:6" x14ac:dyDescent="0.25">
      <c r="A589" t="s">
        <v>1415</v>
      </c>
      <c r="B589">
        <v>2282600588</v>
      </c>
      <c r="C589" t="s">
        <v>2112</v>
      </c>
      <c r="D589" t="s">
        <v>355</v>
      </c>
      <c r="E589" t="s">
        <v>2112</v>
      </c>
      <c r="F589" t="s">
        <v>355</v>
      </c>
    </row>
    <row r="590" spans="1:6" x14ac:dyDescent="0.25">
      <c r="A590" t="s">
        <v>1415</v>
      </c>
      <c r="B590">
        <v>2282600589</v>
      </c>
      <c r="C590" t="s">
        <v>2112</v>
      </c>
      <c r="D590" t="s">
        <v>355</v>
      </c>
      <c r="E590" t="s">
        <v>2112</v>
      </c>
      <c r="F590" t="s">
        <v>355</v>
      </c>
    </row>
    <row r="591" spans="1:6" x14ac:dyDescent="0.25">
      <c r="A591" t="s">
        <v>1415</v>
      </c>
      <c r="B591">
        <v>2302600590</v>
      </c>
      <c r="C591" t="s">
        <v>2112</v>
      </c>
      <c r="D591" t="s">
        <v>355</v>
      </c>
      <c r="E591" t="s">
        <v>2112</v>
      </c>
      <c r="F591" t="s">
        <v>355</v>
      </c>
    </row>
    <row r="592" spans="1:6" x14ac:dyDescent="0.25">
      <c r="A592" t="s">
        <v>1415</v>
      </c>
      <c r="B592">
        <v>2302600591</v>
      </c>
      <c r="C592" t="s">
        <v>2112</v>
      </c>
      <c r="D592" t="s">
        <v>355</v>
      </c>
      <c r="E592" t="s">
        <v>2112</v>
      </c>
      <c r="F592" t="s">
        <v>355</v>
      </c>
    </row>
    <row r="593" spans="1:6" x14ac:dyDescent="0.25">
      <c r="A593" t="s">
        <v>1415</v>
      </c>
      <c r="B593">
        <v>2282600592</v>
      </c>
      <c r="C593" t="s">
        <v>2112</v>
      </c>
      <c r="D593" t="s">
        <v>355</v>
      </c>
      <c r="E593" t="s">
        <v>2112</v>
      </c>
      <c r="F593" t="s">
        <v>355</v>
      </c>
    </row>
    <row r="594" spans="1:6" x14ac:dyDescent="0.25">
      <c r="A594" t="s">
        <v>1415</v>
      </c>
      <c r="B594">
        <v>2282600593</v>
      </c>
      <c r="C594" t="s">
        <v>2112</v>
      </c>
      <c r="D594" t="s">
        <v>355</v>
      </c>
      <c r="E594" t="s">
        <v>2112</v>
      </c>
      <c r="F594" t="s">
        <v>355</v>
      </c>
    </row>
    <row r="595" spans="1:6" x14ac:dyDescent="0.25">
      <c r="A595" t="s">
        <v>1415</v>
      </c>
      <c r="B595">
        <v>2302600594</v>
      </c>
      <c r="C595" t="s">
        <v>2112</v>
      </c>
      <c r="D595" t="s">
        <v>355</v>
      </c>
      <c r="E595" t="s">
        <v>2112</v>
      </c>
      <c r="F595" t="s">
        <v>355</v>
      </c>
    </row>
    <row r="596" spans="1:6" x14ac:dyDescent="0.25">
      <c r="A596" t="s">
        <v>1415</v>
      </c>
      <c r="B596">
        <v>2302600595</v>
      </c>
      <c r="C596" t="s">
        <v>2112</v>
      </c>
      <c r="D596" t="s">
        <v>355</v>
      </c>
      <c r="E596" t="s">
        <v>2112</v>
      </c>
      <c r="F596" t="s">
        <v>355</v>
      </c>
    </row>
    <row r="597" spans="1:6" x14ac:dyDescent="0.25">
      <c r="A597" t="s">
        <v>1415</v>
      </c>
      <c r="B597">
        <v>2282600596</v>
      </c>
      <c r="C597" t="s">
        <v>2112</v>
      </c>
      <c r="D597" t="s">
        <v>355</v>
      </c>
      <c r="E597" t="s">
        <v>2112</v>
      </c>
      <c r="F597" t="s">
        <v>355</v>
      </c>
    </row>
    <row r="598" spans="1:6" x14ac:dyDescent="0.25">
      <c r="A598" t="s">
        <v>1415</v>
      </c>
      <c r="B598">
        <v>2282600597</v>
      </c>
      <c r="C598" t="s">
        <v>2112</v>
      </c>
      <c r="D598" t="s">
        <v>355</v>
      </c>
      <c r="E598" t="s">
        <v>2112</v>
      </c>
      <c r="F598" t="s">
        <v>355</v>
      </c>
    </row>
    <row r="599" spans="1:6" x14ac:dyDescent="0.25">
      <c r="A599" t="s">
        <v>1415</v>
      </c>
      <c r="B599">
        <v>2302600598</v>
      </c>
      <c r="C599" t="s">
        <v>2112</v>
      </c>
      <c r="D599" t="s">
        <v>355</v>
      </c>
      <c r="E599" t="s">
        <v>2112</v>
      </c>
      <c r="F599" t="s">
        <v>355</v>
      </c>
    </row>
    <row r="600" spans="1:6" x14ac:dyDescent="0.25">
      <c r="A600" t="s">
        <v>1415</v>
      </c>
      <c r="B600">
        <v>2302600599</v>
      </c>
      <c r="C600" t="s">
        <v>2112</v>
      </c>
      <c r="D600" t="s">
        <v>355</v>
      </c>
      <c r="E600" t="s">
        <v>2112</v>
      </c>
      <c r="F600" t="s">
        <v>355</v>
      </c>
    </row>
    <row r="601" spans="1:6" x14ac:dyDescent="0.25">
      <c r="A601" t="s">
        <v>1415</v>
      </c>
      <c r="B601">
        <v>2282600600</v>
      </c>
      <c r="C601" t="s">
        <v>2112</v>
      </c>
      <c r="D601" t="s">
        <v>355</v>
      </c>
      <c r="E601" t="s">
        <v>2112</v>
      </c>
      <c r="F601" t="s">
        <v>355</v>
      </c>
    </row>
    <row r="602" spans="1:6" x14ac:dyDescent="0.25">
      <c r="A602" t="s">
        <v>1415</v>
      </c>
      <c r="B602">
        <v>2282600601</v>
      </c>
      <c r="C602" t="s">
        <v>2112</v>
      </c>
      <c r="D602" t="s">
        <v>355</v>
      </c>
      <c r="E602" t="s">
        <v>2112</v>
      </c>
      <c r="F602" t="s">
        <v>355</v>
      </c>
    </row>
    <row r="603" spans="1:6" x14ac:dyDescent="0.25">
      <c r="A603" t="s">
        <v>1415</v>
      </c>
      <c r="B603">
        <v>2302600602</v>
      </c>
      <c r="C603" t="s">
        <v>2112</v>
      </c>
      <c r="D603" t="s">
        <v>355</v>
      </c>
      <c r="E603" t="s">
        <v>2112</v>
      </c>
      <c r="F603" t="s">
        <v>355</v>
      </c>
    </row>
    <row r="604" spans="1:6" x14ac:dyDescent="0.25">
      <c r="A604" t="s">
        <v>1415</v>
      </c>
      <c r="B604">
        <v>2302600603</v>
      </c>
      <c r="C604" t="s">
        <v>2112</v>
      </c>
      <c r="D604" t="s">
        <v>355</v>
      </c>
      <c r="E604" t="s">
        <v>2112</v>
      </c>
      <c r="F604" t="s">
        <v>355</v>
      </c>
    </row>
    <row r="605" spans="1:6" x14ac:dyDescent="0.25">
      <c r="A605" t="s">
        <v>1415</v>
      </c>
      <c r="B605">
        <v>2282600604</v>
      </c>
      <c r="C605" t="s">
        <v>2112</v>
      </c>
      <c r="D605" t="s">
        <v>355</v>
      </c>
      <c r="E605" t="s">
        <v>2112</v>
      </c>
      <c r="F605" t="s">
        <v>355</v>
      </c>
    </row>
    <row r="606" spans="1:6" x14ac:dyDescent="0.25">
      <c r="A606" t="s">
        <v>1415</v>
      </c>
      <c r="B606">
        <v>2282600605</v>
      </c>
      <c r="C606" t="s">
        <v>2112</v>
      </c>
      <c r="D606" t="s">
        <v>355</v>
      </c>
      <c r="E606" t="s">
        <v>2112</v>
      </c>
      <c r="F606" t="s">
        <v>355</v>
      </c>
    </row>
    <row r="607" spans="1:6" x14ac:dyDescent="0.25">
      <c r="A607" t="s">
        <v>1415</v>
      </c>
      <c r="B607">
        <v>2302600606</v>
      </c>
      <c r="C607" t="s">
        <v>2112</v>
      </c>
      <c r="D607" t="s">
        <v>355</v>
      </c>
      <c r="E607" t="s">
        <v>2112</v>
      </c>
      <c r="F607" t="s">
        <v>355</v>
      </c>
    </row>
    <row r="608" spans="1:6" x14ac:dyDescent="0.25">
      <c r="A608" t="s">
        <v>1415</v>
      </c>
      <c r="B608">
        <v>2302600607</v>
      </c>
      <c r="C608" t="s">
        <v>2112</v>
      </c>
      <c r="D608" t="s">
        <v>355</v>
      </c>
      <c r="E608" t="s">
        <v>2112</v>
      </c>
      <c r="F608" t="s">
        <v>355</v>
      </c>
    </row>
    <row r="609" spans="1:6" x14ac:dyDescent="0.25">
      <c r="A609" t="s">
        <v>1415</v>
      </c>
      <c r="B609">
        <v>2282600608</v>
      </c>
      <c r="C609" t="s">
        <v>2112</v>
      </c>
      <c r="D609" t="s">
        <v>355</v>
      </c>
      <c r="E609" t="s">
        <v>2112</v>
      </c>
      <c r="F609" t="s">
        <v>355</v>
      </c>
    </row>
    <row r="610" spans="1:6" x14ac:dyDescent="0.25">
      <c r="A610" t="s">
        <v>1448</v>
      </c>
      <c r="B610">
        <v>2282600609</v>
      </c>
      <c r="C610" t="s">
        <v>2112</v>
      </c>
      <c r="D610" t="s">
        <v>355</v>
      </c>
      <c r="E610" t="s">
        <v>2112</v>
      </c>
      <c r="F610" t="s">
        <v>355</v>
      </c>
    </row>
    <row r="611" spans="1:6" x14ac:dyDescent="0.25">
      <c r="A611" t="s">
        <v>1448</v>
      </c>
      <c r="B611">
        <v>2302600610</v>
      </c>
      <c r="C611" t="s">
        <v>2112</v>
      </c>
      <c r="D611" t="s">
        <v>355</v>
      </c>
      <c r="E611" t="s">
        <v>2112</v>
      </c>
      <c r="F611" t="s">
        <v>355</v>
      </c>
    </row>
    <row r="612" spans="1:6" x14ac:dyDescent="0.25">
      <c r="A612" t="s">
        <v>1448</v>
      </c>
      <c r="B612">
        <v>2302600611</v>
      </c>
      <c r="C612" t="s">
        <v>2112</v>
      </c>
      <c r="D612" t="s">
        <v>355</v>
      </c>
      <c r="E612" t="s">
        <v>2112</v>
      </c>
      <c r="F612" t="s">
        <v>355</v>
      </c>
    </row>
    <row r="613" spans="1:6" x14ac:dyDescent="0.25">
      <c r="A613" t="s">
        <v>1448</v>
      </c>
      <c r="B613">
        <v>2282600612</v>
      </c>
      <c r="C613" t="s">
        <v>2112</v>
      </c>
      <c r="D613" t="s">
        <v>355</v>
      </c>
      <c r="E613" t="s">
        <v>2112</v>
      </c>
      <c r="F613" t="s">
        <v>355</v>
      </c>
    </row>
    <row r="614" spans="1:6" x14ac:dyDescent="0.25">
      <c r="A614" t="s">
        <v>1448</v>
      </c>
      <c r="B614">
        <v>2282600613</v>
      </c>
      <c r="C614" t="s">
        <v>2112</v>
      </c>
      <c r="D614" t="s">
        <v>355</v>
      </c>
      <c r="E614" t="s">
        <v>2112</v>
      </c>
      <c r="F614" t="s">
        <v>355</v>
      </c>
    </row>
    <row r="615" spans="1:6" x14ac:dyDescent="0.25">
      <c r="A615" t="s">
        <v>1448</v>
      </c>
      <c r="B615">
        <v>2302600614</v>
      </c>
      <c r="C615" t="s">
        <v>2112</v>
      </c>
      <c r="D615" t="s">
        <v>355</v>
      </c>
      <c r="E615" t="s">
        <v>2112</v>
      </c>
      <c r="F615" t="s">
        <v>355</v>
      </c>
    </row>
    <row r="616" spans="1:6" x14ac:dyDescent="0.25">
      <c r="A616" t="s">
        <v>1448</v>
      </c>
      <c r="B616">
        <v>2302600615</v>
      </c>
      <c r="C616" t="s">
        <v>2112</v>
      </c>
      <c r="D616" t="s">
        <v>355</v>
      </c>
      <c r="E616" t="s">
        <v>2112</v>
      </c>
      <c r="F616" t="s">
        <v>355</v>
      </c>
    </row>
    <row r="617" spans="1:6" x14ac:dyDescent="0.25">
      <c r="A617" t="s">
        <v>1448</v>
      </c>
      <c r="B617">
        <v>2282600616</v>
      </c>
      <c r="C617" t="s">
        <v>2112</v>
      </c>
      <c r="D617" t="s">
        <v>355</v>
      </c>
      <c r="E617" t="s">
        <v>2112</v>
      </c>
      <c r="F617" t="s">
        <v>355</v>
      </c>
    </row>
    <row r="618" spans="1:6" x14ac:dyDescent="0.25">
      <c r="A618" t="s">
        <v>1448</v>
      </c>
      <c r="B618">
        <v>2282600617</v>
      </c>
      <c r="C618" t="s">
        <v>2112</v>
      </c>
      <c r="D618" t="s">
        <v>355</v>
      </c>
      <c r="E618" t="s">
        <v>2112</v>
      </c>
      <c r="F618" t="s">
        <v>355</v>
      </c>
    </row>
    <row r="619" spans="1:6" x14ac:dyDescent="0.25">
      <c r="A619" t="s">
        <v>1448</v>
      </c>
      <c r="B619">
        <v>2302600618</v>
      </c>
      <c r="C619" t="s">
        <v>2112</v>
      </c>
      <c r="D619" t="s">
        <v>355</v>
      </c>
      <c r="E619" t="s">
        <v>2112</v>
      </c>
      <c r="F619" t="s">
        <v>355</v>
      </c>
    </row>
    <row r="620" spans="1:6" x14ac:dyDescent="0.25">
      <c r="A620" t="s">
        <v>1448</v>
      </c>
      <c r="B620">
        <v>2302600619</v>
      </c>
      <c r="C620" t="s">
        <v>2112</v>
      </c>
      <c r="D620" t="s">
        <v>355</v>
      </c>
      <c r="E620" t="s">
        <v>2112</v>
      </c>
      <c r="F620" t="s">
        <v>355</v>
      </c>
    </row>
    <row r="621" spans="1:6" x14ac:dyDescent="0.25">
      <c r="A621" t="s">
        <v>1448</v>
      </c>
      <c r="B621">
        <v>2282600620</v>
      </c>
      <c r="C621" t="s">
        <v>2112</v>
      </c>
      <c r="D621" t="s">
        <v>355</v>
      </c>
      <c r="E621" t="s">
        <v>2112</v>
      </c>
      <c r="F621" t="s">
        <v>355</v>
      </c>
    </row>
    <row r="622" spans="1:6" x14ac:dyDescent="0.25">
      <c r="A622" t="s">
        <v>1448</v>
      </c>
      <c r="B622">
        <v>2282600621</v>
      </c>
      <c r="C622" t="s">
        <v>2112</v>
      </c>
      <c r="D622" t="s">
        <v>355</v>
      </c>
      <c r="E622" t="s">
        <v>2112</v>
      </c>
      <c r="F622" t="s">
        <v>355</v>
      </c>
    </row>
    <row r="623" spans="1:6" x14ac:dyDescent="0.25">
      <c r="A623" t="s">
        <v>1448</v>
      </c>
      <c r="B623">
        <v>2302600622</v>
      </c>
      <c r="C623" t="s">
        <v>2112</v>
      </c>
      <c r="D623" t="s">
        <v>355</v>
      </c>
      <c r="E623" t="s">
        <v>2112</v>
      </c>
      <c r="F623" t="s">
        <v>355</v>
      </c>
    </row>
    <row r="624" spans="1:6" x14ac:dyDescent="0.25">
      <c r="A624" t="s">
        <v>1448</v>
      </c>
      <c r="B624">
        <v>2302600623</v>
      </c>
      <c r="C624" t="s">
        <v>2112</v>
      </c>
      <c r="D624" t="s">
        <v>355</v>
      </c>
      <c r="E624" t="s">
        <v>2112</v>
      </c>
      <c r="F624" t="s">
        <v>355</v>
      </c>
    </row>
    <row r="625" spans="1:6" x14ac:dyDescent="0.25">
      <c r="A625" t="s">
        <v>1448</v>
      </c>
      <c r="B625">
        <v>2282600624</v>
      </c>
      <c r="C625" t="s">
        <v>2112</v>
      </c>
      <c r="D625" t="s">
        <v>355</v>
      </c>
      <c r="E625" t="s">
        <v>2112</v>
      </c>
      <c r="F625" t="s">
        <v>355</v>
      </c>
    </row>
    <row r="626" spans="1:6" x14ac:dyDescent="0.25">
      <c r="A626" t="s">
        <v>1448</v>
      </c>
      <c r="B626">
        <v>2282600625</v>
      </c>
      <c r="C626" t="s">
        <v>2112</v>
      </c>
      <c r="D626" t="s">
        <v>355</v>
      </c>
      <c r="E626" t="s">
        <v>2112</v>
      </c>
      <c r="F626" t="s">
        <v>355</v>
      </c>
    </row>
    <row r="627" spans="1:6" x14ac:dyDescent="0.25">
      <c r="A627" t="s">
        <v>1448</v>
      </c>
      <c r="B627">
        <v>2302600626</v>
      </c>
      <c r="C627" t="s">
        <v>2112</v>
      </c>
      <c r="D627" t="s">
        <v>355</v>
      </c>
      <c r="E627" t="s">
        <v>2112</v>
      </c>
      <c r="F627" t="s">
        <v>355</v>
      </c>
    </row>
    <row r="628" spans="1:6" x14ac:dyDescent="0.25">
      <c r="A628" t="s">
        <v>1448</v>
      </c>
      <c r="B628">
        <v>2302600627</v>
      </c>
      <c r="C628" t="s">
        <v>2112</v>
      </c>
      <c r="D628" t="s">
        <v>355</v>
      </c>
      <c r="E628" t="s">
        <v>2112</v>
      </c>
      <c r="F628" t="s">
        <v>355</v>
      </c>
    </row>
    <row r="629" spans="1:6" x14ac:dyDescent="0.25">
      <c r="A629" t="s">
        <v>1448</v>
      </c>
      <c r="B629">
        <v>2282600628</v>
      </c>
      <c r="C629" t="s">
        <v>2112</v>
      </c>
      <c r="D629" t="s">
        <v>355</v>
      </c>
      <c r="E629" t="s">
        <v>2112</v>
      </c>
      <c r="F629" t="s">
        <v>355</v>
      </c>
    </row>
    <row r="630" spans="1:6" x14ac:dyDescent="0.25">
      <c r="A630" t="s">
        <v>1448</v>
      </c>
      <c r="B630">
        <v>2282600629</v>
      </c>
      <c r="C630" t="s">
        <v>2112</v>
      </c>
      <c r="D630" t="s">
        <v>355</v>
      </c>
      <c r="E630" t="s">
        <v>2112</v>
      </c>
      <c r="F630" t="s">
        <v>355</v>
      </c>
    </row>
    <row r="631" spans="1:6" x14ac:dyDescent="0.25">
      <c r="A631" t="s">
        <v>1448</v>
      </c>
      <c r="B631">
        <v>2302600630</v>
      </c>
      <c r="C631" t="s">
        <v>2112</v>
      </c>
      <c r="D631" t="s">
        <v>355</v>
      </c>
      <c r="E631" t="s">
        <v>2112</v>
      </c>
      <c r="F631" t="s">
        <v>355</v>
      </c>
    </row>
    <row r="632" spans="1:6" x14ac:dyDescent="0.25">
      <c r="A632" t="s">
        <v>1448</v>
      </c>
      <c r="B632">
        <v>2302600631</v>
      </c>
      <c r="C632" t="s">
        <v>2112</v>
      </c>
      <c r="D632" t="s">
        <v>355</v>
      </c>
      <c r="E632" t="s">
        <v>2112</v>
      </c>
      <c r="F632" t="s">
        <v>355</v>
      </c>
    </row>
    <row r="633" spans="1:6" x14ac:dyDescent="0.25">
      <c r="A633" t="s">
        <v>1448</v>
      </c>
      <c r="B633">
        <v>2282600632</v>
      </c>
      <c r="C633" t="s">
        <v>2112</v>
      </c>
      <c r="D633" t="s">
        <v>355</v>
      </c>
      <c r="E633" t="s">
        <v>2112</v>
      </c>
      <c r="F633" t="s">
        <v>355</v>
      </c>
    </row>
    <row r="634" spans="1:6" x14ac:dyDescent="0.25">
      <c r="A634" t="s">
        <v>1448</v>
      </c>
      <c r="B634">
        <v>2282600633</v>
      </c>
      <c r="C634" t="s">
        <v>2112</v>
      </c>
      <c r="D634" t="s">
        <v>355</v>
      </c>
      <c r="E634" t="s">
        <v>2112</v>
      </c>
      <c r="F634" t="s">
        <v>355</v>
      </c>
    </row>
    <row r="635" spans="1:6" x14ac:dyDescent="0.25">
      <c r="A635" t="s">
        <v>1448</v>
      </c>
      <c r="B635">
        <v>2302600634</v>
      </c>
      <c r="C635" t="s">
        <v>2112</v>
      </c>
      <c r="D635" t="s">
        <v>355</v>
      </c>
      <c r="E635" t="s">
        <v>2112</v>
      </c>
      <c r="F635" t="s">
        <v>355</v>
      </c>
    </row>
    <row r="636" spans="1:6" x14ac:dyDescent="0.25">
      <c r="A636" t="s">
        <v>1448</v>
      </c>
      <c r="B636">
        <v>2302600635</v>
      </c>
      <c r="C636" t="s">
        <v>2112</v>
      </c>
      <c r="D636" t="s">
        <v>355</v>
      </c>
      <c r="E636" t="s">
        <v>2112</v>
      </c>
      <c r="F636" t="s">
        <v>355</v>
      </c>
    </row>
    <row r="637" spans="1:6" x14ac:dyDescent="0.25">
      <c r="A637" t="s">
        <v>1448</v>
      </c>
      <c r="B637">
        <v>2282600636</v>
      </c>
      <c r="C637" t="s">
        <v>2112</v>
      </c>
      <c r="D637" t="s">
        <v>355</v>
      </c>
      <c r="E637" t="s">
        <v>2112</v>
      </c>
      <c r="F637" t="s">
        <v>355</v>
      </c>
    </row>
    <row r="638" spans="1:6" x14ac:dyDescent="0.25">
      <c r="A638" t="s">
        <v>1448</v>
      </c>
      <c r="B638">
        <v>2282600637</v>
      </c>
      <c r="C638" t="s">
        <v>2112</v>
      </c>
      <c r="D638" t="s">
        <v>355</v>
      </c>
      <c r="E638" t="s">
        <v>2112</v>
      </c>
      <c r="F638" t="s">
        <v>355</v>
      </c>
    </row>
    <row r="639" spans="1:6" x14ac:dyDescent="0.25">
      <c r="A639" t="s">
        <v>1448</v>
      </c>
      <c r="B639">
        <v>2302600638</v>
      </c>
      <c r="C639" t="s">
        <v>2112</v>
      </c>
      <c r="D639" t="s">
        <v>355</v>
      </c>
      <c r="E639" t="s">
        <v>2112</v>
      </c>
      <c r="F639" t="s">
        <v>355</v>
      </c>
    </row>
    <row r="640" spans="1:6" x14ac:dyDescent="0.25">
      <c r="A640" t="s">
        <v>1448</v>
      </c>
      <c r="B640">
        <v>2302600639</v>
      </c>
      <c r="C640" t="s">
        <v>2112</v>
      </c>
      <c r="D640" t="s">
        <v>355</v>
      </c>
      <c r="E640" t="s">
        <v>2112</v>
      </c>
      <c r="F640" t="s">
        <v>355</v>
      </c>
    </row>
    <row r="641" spans="1:6" x14ac:dyDescent="0.25">
      <c r="A641" t="s">
        <v>1448</v>
      </c>
      <c r="B641">
        <v>2282600640</v>
      </c>
      <c r="C641" t="s">
        <v>2112</v>
      </c>
      <c r="D641" t="s">
        <v>355</v>
      </c>
      <c r="E641" t="s">
        <v>2112</v>
      </c>
      <c r="F641" t="s">
        <v>355</v>
      </c>
    </row>
    <row r="642" spans="1:6" x14ac:dyDescent="0.25">
      <c r="A642" t="s">
        <v>1481</v>
      </c>
      <c r="B642">
        <v>2282600641</v>
      </c>
      <c r="C642" t="s">
        <v>2112</v>
      </c>
      <c r="D642" t="s">
        <v>355</v>
      </c>
      <c r="E642" t="s">
        <v>2112</v>
      </c>
      <c r="F642" t="s">
        <v>355</v>
      </c>
    </row>
    <row r="643" spans="1:6" x14ac:dyDescent="0.25">
      <c r="A643" t="s">
        <v>1481</v>
      </c>
      <c r="B643">
        <v>2302600642</v>
      </c>
      <c r="C643" t="s">
        <v>2112</v>
      </c>
      <c r="D643" t="s">
        <v>355</v>
      </c>
      <c r="E643" t="s">
        <v>2112</v>
      </c>
      <c r="F643" t="s">
        <v>355</v>
      </c>
    </row>
    <row r="644" spans="1:6" x14ac:dyDescent="0.25">
      <c r="A644" t="s">
        <v>1481</v>
      </c>
      <c r="B644">
        <v>2302600643</v>
      </c>
      <c r="C644" t="s">
        <v>2112</v>
      </c>
      <c r="D644" t="s">
        <v>355</v>
      </c>
      <c r="E644" t="s">
        <v>2112</v>
      </c>
      <c r="F644" t="s">
        <v>355</v>
      </c>
    </row>
    <row r="645" spans="1:6" x14ac:dyDescent="0.25">
      <c r="A645" t="s">
        <v>1481</v>
      </c>
      <c r="B645">
        <v>2282600644</v>
      </c>
      <c r="C645" t="s">
        <v>2112</v>
      </c>
      <c r="D645" t="s">
        <v>355</v>
      </c>
      <c r="E645" t="s">
        <v>2112</v>
      </c>
      <c r="F645" t="s">
        <v>355</v>
      </c>
    </row>
    <row r="646" spans="1:6" x14ac:dyDescent="0.25">
      <c r="A646" t="s">
        <v>1481</v>
      </c>
      <c r="B646">
        <v>2282600645</v>
      </c>
      <c r="C646" t="s">
        <v>2112</v>
      </c>
      <c r="D646" t="s">
        <v>355</v>
      </c>
      <c r="E646" t="s">
        <v>2112</v>
      </c>
      <c r="F646" t="s">
        <v>355</v>
      </c>
    </row>
    <row r="647" spans="1:6" x14ac:dyDescent="0.25">
      <c r="A647" t="s">
        <v>1481</v>
      </c>
      <c r="B647">
        <v>2302600646</v>
      </c>
      <c r="C647" t="s">
        <v>2112</v>
      </c>
      <c r="D647" t="s">
        <v>355</v>
      </c>
      <c r="E647" t="s">
        <v>2112</v>
      </c>
      <c r="F647" t="s">
        <v>355</v>
      </c>
    </row>
    <row r="648" spans="1:6" x14ac:dyDescent="0.25">
      <c r="A648" t="s">
        <v>1481</v>
      </c>
      <c r="B648">
        <v>2302600647</v>
      </c>
      <c r="C648" t="s">
        <v>2112</v>
      </c>
      <c r="D648" t="s">
        <v>355</v>
      </c>
      <c r="E648" t="s">
        <v>2112</v>
      </c>
      <c r="F648" t="s">
        <v>355</v>
      </c>
    </row>
    <row r="649" spans="1:6" x14ac:dyDescent="0.25">
      <c r="A649" t="s">
        <v>1481</v>
      </c>
      <c r="B649">
        <v>2282600648</v>
      </c>
      <c r="C649" t="s">
        <v>2112</v>
      </c>
      <c r="D649" t="s">
        <v>355</v>
      </c>
      <c r="E649" t="s">
        <v>2112</v>
      </c>
      <c r="F649" t="s">
        <v>355</v>
      </c>
    </row>
    <row r="650" spans="1:6" x14ac:dyDescent="0.25">
      <c r="A650" t="s">
        <v>1481</v>
      </c>
      <c r="B650">
        <v>2282600649</v>
      </c>
      <c r="C650" t="s">
        <v>2112</v>
      </c>
      <c r="D650" t="s">
        <v>355</v>
      </c>
      <c r="E650" t="s">
        <v>2112</v>
      </c>
      <c r="F650" t="s">
        <v>355</v>
      </c>
    </row>
    <row r="651" spans="1:6" x14ac:dyDescent="0.25">
      <c r="A651" t="s">
        <v>1481</v>
      </c>
      <c r="B651">
        <v>2302600650</v>
      </c>
      <c r="C651" t="s">
        <v>2112</v>
      </c>
      <c r="D651" t="s">
        <v>355</v>
      </c>
      <c r="E651" t="s">
        <v>2112</v>
      </c>
      <c r="F651" t="s">
        <v>355</v>
      </c>
    </row>
    <row r="652" spans="1:6" x14ac:dyDescent="0.25">
      <c r="A652" t="s">
        <v>1481</v>
      </c>
      <c r="B652">
        <v>2302600651</v>
      </c>
      <c r="C652" t="s">
        <v>2112</v>
      </c>
      <c r="D652" t="s">
        <v>355</v>
      </c>
      <c r="E652" t="s">
        <v>2112</v>
      </c>
      <c r="F652" t="s">
        <v>355</v>
      </c>
    </row>
    <row r="653" spans="1:6" x14ac:dyDescent="0.25">
      <c r="A653" t="s">
        <v>1481</v>
      </c>
      <c r="B653">
        <v>2282600652</v>
      </c>
      <c r="C653" t="s">
        <v>2112</v>
      </c>
      <c r="D653" t="s">
        <v>355</v>
      </c>
      <c r="E653" t="s">
        <v>2112</v>
      </c>
      <c r="F653" t="s">
        <v>355</v>
      </c>
    </row>
    <row r="654" spans="1:6" x14ac:dyDescent="0.25">
      <c r="A654" t="s">
        <v>1481</v>
      </c>
      <c r="B654">
        <v>2282600653</v>
      </c>
      <c r="C654" t="s">
        <v>2112</v>
      </c>
      <c r="D654" t="s">
        <v>355</v>
      </c>
      <c r="E654" t="s">
        <v>2112</v>
      </c>
      <c r="F654" t="s">
        <v>355</v>
      </c>
    </row>
    <row r="655" spans="1:6" x14ac:dyDescent="0.25">
      <c r="A655" t="s">
        <v>1481</v>
      </c>
      <c r="B655">
        <v>2302600654</v>
      </c>
      <c r="C655" t="s">
        <v>2112</v>
      </c>
      <c r="D655" t="s">
        <v>355</v>
      </c>
      <c r="E655" t="s">
        <v>2112</v>
      </c>
      <c r="F655" t="s">
        <v>355</v>
      </c>
    </row>
    <row r="656" spans="1:6" x14ac:dyDescent="0.25">
      <c r="A656" t="s">
        <v>1481</v>
      </c>
      <c r="B656">
        <v>2302600655</v>
      </c>
      <c r="C656" t="s">
        <v>2112</v>
      </c>
      <c r="D656" t="s">
        <v>355</v>
      </c>
      <c r="E656" t="s">
        <v>2112</v>
      </c>
      <c r="F656" t="s">
        <v>355</v>
      </c>
    </row>
    <row r="657" spans="1:6" x14ac:dyDescent="0.25">
      <c r="A657" t="s">
        <v>1481</v>
      </c>
      <c r="B657">
        <v>2282600656</v>
      </c>
      <c r="C657" t="s">
        <v>2112</v>
      </c>
      <c r="D657" t="s">
        <v>355</v>
      </c>
      <c r="E657" t="s">
        <v>2112</v>
      </c>
      <c r="F657" t="s">
        <v>355</v>
      </c>
    </row>
    <row r="658" spans="1:6" x14ac:dyDescent="0.25">
      <c r="A658" t="s">
        <v>1481</v>
      </c>
      <c r="B658">
        <v>2282600657</v>
      </c>
      <c r="C658" t="s">
        <v>2112</v>
      </c>
      <c r="D658" t="s">
        <v>355</v>
      </c>
      <c r="E658" t="s">
        <v>2112</v>
      </c>
      <c r="F658" t="s">
        <v>355</v>
      </c>
    </row>
    <row r="659" spans="1:6" x14ac:dyDescent="0.25">
      <c r="A659" t="s">
        <v>1481</v>
      </c>
      <c r="B659">
        <v>2302600658</v>
      </c>
      <c r="C659" t="s">
        <v>2112</v>
      </c>
      <c r="D659" t="s">
        <v>355</v>
      </c>
      <c r="E659" t="s">
        <v>2112</v>
      </c>
      <c r="F659" t="s">
        <v>355</v>
      </c>
    </row>
    <row r="660" spans="1:6" x14ac:dyDescent="0.25">
      <c r="A660" t="s">
        <v>1481</v>
      </c>
      <c r="B660">
        <v>2302600659</v>
      </c>
      <c r="C660" t="s">
        <v>2112</v>
      </c>
      <c r="D660" t="s">
        <v>355</v>
      </c>
      <c r="E660" t="s">
        <v>2112</v>
      </c>
      <c r="F660" t="s">
        <v>355</v>
      </c>
    </row>
    <row r="661" spans="1:6" x14ac:dyDescent="0.25">
      <c r="A661" t="s">
        <v>1481</v>
      </c>
      <c r="B661">
        <v>2282600660</v>
      </c>
      <c r="C661" t="s">
        <v>2112</v>
      </c>
      <c r="D661" t="s">
        <v>355</v>
      </c>
      <c r="E661" t="s">
        <v>2112</v>
      </c>
      <c r="F661" t="s">
        <v>355</v>
      </c>
    </row>
    <row r="662" spans="1:6" x14ac:dyDescent="0.25">
      <c r="A662" t="s">
        <v>1481</v>
      </c>
      <c r="B662">
        <v>2282600661</v>
      </c>
      <c r="C662" t="s">
        <v>2112</v>
      </c>
      <c r="D662" t="s">
        <v>355</v>
      </c>
      <c r="E662" t="s">
        <v>2112</v>
      </c>
      <c r="F662" t="s">
        <v>355</v>
      </c>
    </row>
    <row r="663" spans="1:6" x14ac:dyDescent="0.25">
      <c r="A663" t="s">
        <v>1481</v>
      </c>
      <c r="B663">
        <v>2302600662</v>
      </c>
      <c r="C663" t="s">
        <v>2112</v>
      </c>
      <c r="D663" t="s">
        <v>355</v>
      </c>
      <c r="E663" t="s">
        <v>2112</v>
      </c>
      <c r="F663" t="s">
        <v>355</v>
      </c>
    </row>
    <row r="664" spans="1:6" x14ac:dyDescent="0.25">
      <c r="A664" t="s">
        <v>1481</v>
      </c>
      <c r="B664">
        <v>2302600663</v>
      </c>
      <c r="C664" t="s">
        <v>2112</v>
      </c>
      <c r="D664" t="s">
        <v>355</v>
      </c>
      <c r="E664" t="s">
        <v>2112</v>
      </c>
      <c r="F664" t="s">
        <v>355</v>
      </c>
    </row>
    <row r="665" spans="1:6" x14ac:dyDescent="0.25">
      <c r="A665" t="s">
        <v>1481</v>
      </c>
      <c r="B665">
        <v>2282600664</v>
      </c>
      <c r="C665" t="s">
        <v>2112</v>
      </c>
      <c r="D665" t="s">
        <v>355</v>
      </c>
      <c r="E665" t="s">
        <v>2112</v>
      </c>
      <c r="F665" t="s">
        <v>355</v>
      </c>
    </row>
    <row r="666" spans="1:6" x14ac:dyDescent="0.25">
      <c r="A666" t="s">
        <v>1481</v>
      </c>
      <c r="B666">
        <v>2282600665</v>
      </c>
      <c r="C666" t="s">
        <v>2112</v>
      </c>
      <c r="D666" t="s">
        <v>355</v>
      </c>
      <c r="E666" t="s">
        <v>2112</v>
      </c>
      <c r="F666" t="s">
        <v>355</v>
      </c>
    </row>
    <row r="667" spans="1:6" x14ac:dyDescent="0.25">
      <c r="A667" t="s">
        <v>1481</v>
      </c>
      <c r="B667">
        <v>2302600666</v>
      </c>
      <c r="C667" t="s">
        <v>2112</v>
      </c>
      <c r="D667" t="s">
        <v>355</v>
      </c>
      <c r="E667" t="s">
        <v>2112</v>
      </c>
      <c r="F667" t="s">
        <v>355</v>
      </c>
    </row>
    <row r="668" spans="1:6" x14ac:dyDescent="0.25">
      <c r="A668" t="s">
        <v>1481</v>
      </c>
      <c r="B668">
        <v>2302600667</v>
      </c>
      <c r="C668" t="s">
        <v>2112</v>
      </c>
      <c r="D668" t="s">
        <v>355</v>
      </c>
      <c r="E668" t="s">
        <v>2112</v>
      </c>
      <c r="F668" t="s">
        <v>355</v>
      </c>
    </row>
    <row r="669" spans="1:6" x14ac:dyDescent="0.25">
      <c r="A669" t="s">
        <v>1481</v>
      </c>
      <c r="B669">
        <v>2282600668</v>
      </c>
      <c r="C669" t="s">
        <v>2112</v>
      </c>
      <c r="D669" t="s">
        <v>355</v>
      </c>
      <c r="E669" t="s">
        <v>2112</v>
      </c>
      <c r="F669" t="s">
        <v>355</v>
      </c>
    </row>
    <row r="670" spans="1:6" x14ac:dyDescent="0.25">
      <c r="A670" t="s">
        <v>1481</v>
      </c>
      <c r="B670">
        <v>2282600669</v>
      </c>
      <c r="C670" t="s">
        <v>2112</v>
      </c>
      <c r="D670" t="s">
        <v>355</v>
      </c>
      <c r="E670" t="s">
        <v>2112</v>
      </c>
      <c r="F670" t="s">
        <v>355</v>
      </c>
    </row>
    <row r="671" spans="1:6" x14ac:dyDescent="0.25">
      <c r="A671" t="s">
        <v>1481</v>
      </c>
      <c r="B671">
        <v>2302600670</v>
      </c>
      <c r="C671" t="s">
        <v>2112</v>
      </c>
      <c r="D671" t="s">
        <v>355</v>
      </c>
      <c r="E671" t="s">
        <v>2112</v>
      </c>
      <c r="F671" t="s">
        <v>355</v>
      </c>
    </row>
    <row r="672" spans="1:6" x14ac:dyDescent="0.25">
      <c r="A672" t="s">
        <v>1481</v>
      </c>
      <c r="B672">
        <v>2302600671</v>
      </c>
      <c r="C672" t="s">
        <v>2112</v>
      </c>
      <c r="D672" t="s">
        <v>355</v>
      </c>
      <c r="E672" t="s">
        <v>2112</v>
      </c>
      <c r="F672" t="s">
        <v>355</v>
      </c>
    </row>
    <row r="673" spans="1:6" x14ac:dyDescent="0.25">
      <c r="A673" t="s">
        <v>1481</v>
      </c>
      <c r="B673">
        <v>2282600672</v>
      </c>
      <c r="C673" t="s">
        <v>2112</v>
      </c>
      <c r="D673" t="s">
        <v>355</v>
      </c>
      <c r="E673" t="s">
        <v>2112</v>
      </c>
      <c r="F673" t="s">
        <v>355</v>
      </c>
    </row>
    <row r="674" spans="1:6" x14ac:dyDescent="0.25">
      <c r="A674" t="s">
        <v>1514</v>
      </c>
      <c r="B674">
        <v>2282600673</v>
      </c>
      <c r="C674" t="s">
        <v>2112</v>
      </c>
      <c r="D674" t="s">
        <v>355</v>
      </c>
      <c r="E674" t="s">
        <v>2112</v>
      </c>
      <c r="F674" t="s">
        <v>355</v>
      </c>
    </row>
    <row r="675" spans="1:6" x14ac:dyDescent="0.25">
      <c r="A675" t="s">
        <v>1514</v>
      </c>
      <c r="B675">
        <v>2302600674</v>
      </c>
      <c r="C675" t="s">
        <v>2112</v>
      </c>
      <c r="D675" t="s">
        <v>355</v>
      </c>
      <c r="E675" t="s">
        <v>2112</v>
      </c>
      <c r="F675" t="s">
        <v>355</v>
      </c>
    </row>
    <row r="676" spans="1:6" x14ac:dyDescent="0.25">
      <c r="A676" t="s">
        <v>1514</v>
      </c>
      <c r="B676">
        <v>2302600675</v>
      </c>
      <c r="C676" t="s">
        <v>2112</v>
      </c>
      <c r="D676" t="s">
        <v>355</v>
      </c>
      <c r="E676" t="s">
        <v>2112</v>
      </c>
      <c r="F676" t="s">
        <v>355</v>
      </c>
    </row>
    <row r="677" spans="1:6" x14ac:dyDescent="0.25">
      <c r="A677" t="s">
        <v>1514</v>
      </c>
      <c r="B677">
        <v>2282600676</v>
      </c>
      <c r="C677" t="s">
        <v>2112</v>
      </c>
      <c r="D677" t="s">
        <v>355</v>
      </c>
      <c r="E677" t="s">
        <v>2112</v>
      </c>
      <c r="F677" t="s">
        <v>355</v>
      </c>
    </row>
    <row r="678" spans="1:6" x14ac:dyDescent="0.25">
      <c r="A678" t="s">
        <v>1514</v>
      </c>
      <c r="B678">
        <v>2282600677</v>
      </c>
      <c r="C678" t="s">
        <v>2112</v>
      </c>
      <c r="D678" t="s">
        <v>355</v>
      </c>
      <c r="E678" t="s">
        <v>2112</v>
      </c>
      <c r="F678" t="s">
        <v>355</v>
      </c>
    </row>
    <row r="679" spans="1:6" x14ac:dyDescent="0.25">
      <c r="A679" t="s">
        <v>1514</v>
      </c>
      <c r="B679">
        <v>2302600678</v>
      </c>
      <c r="C679" t="s">
        <v>2112</v>
      </c>
      <c r="D679" t="s">
        <v>355</v>
      </c>
      <c r="E679" t="s">
        <v>2112</v>
      </c>
      <c r="F679" t="s">
        <v>355</v>
      </c>
    </row>
    <row r="680" spans="1:6" x14ac:dyDescent="0.25">
      <c r="A680" t="s">
        <v>1514</v>
      </c>
      <c r="B680">
        <v>2302600679</v>
      </c>
      <c r="C680" t="s">
        <v>2112</v>
      </c>
      <c r="D680" t="s">
        <v>355</v>
      </c>
      <c r="E680" t="s">
        <v>2112</v>
      </c>
      <c r="F680" t="s">
        <v>355</v>
      </c>
    </row>
    <row r="681" spans="1:6" x14ac:dyDescent="0.25">
      <c r="A681" t="s">
        <v>1514</v>
      </c>
      <c r="B681">
        <v>2282600680</v>
      </c>
      <c r="C681" t="s">
        <v>2112</v>
      </c>
      <c r="D681" t="s">
        <v>355</v>
      </c>
      <c r="E681" t="s">
        <v>2112</v>
      </c>
      <c r="F681" t="s">
        <v>355</v>
      </c>
    </row>
    <row r="682" spans="1:6" x14ac:dyDescent="0.25">
      <c r="A682" t="s">
        <v>1514</v>
      </c>
      <c r="B682">
        <v>2282600681</v>
      </c>
      <c r="C682" t="s">
        <v>2112</v>
      </c>
      <c r="D682" t="s">
        <v>355</v>
      </c>
      <c r="E682" t="s">
        <v>2112</v>
      </c>
      <c r="F682" t="s">
        <v>355</v>
      </c>
    </row>
    <row r="683" spans="1:6" x14ac:dyDescent="0.25">
      <c r="A683" t="s">
        <v>1514</v>
      </c>
      <c r="B683">
        <v>2302600682</v>
      </c>
      <c r="C683" t="s">
        <v>2112</v>
      </c>
      <c r="D683" t="s">
        <v>355</v>
      </c>
      <c r="E683" t="s">
        <v>2112</v>
      </c>
      <c r="F683" t="s">
        <v>355</v>
      </c>
    </row>
    <row r="684" spans="1:6" x14ac:dyDescent="0.25">
      <c r="A684" t="s">
        <v>1514</v>
      </c>
      <c r="B684">
        <v>2302600683</v>
      </c>
      <c r="C684" t="s">
        <v>2112</v>
      </c>
      <c r="D684" t="s">
        <v>355</v>
      </c>
      <c r="E684" t="s">
        <v>2112</v>
      </c>
      <c r="F684" t="s">
        <v>355</v>
      </c>
    </row>
    <row r="685" spans="1:6" x14ac:dyDescent="0.25">
      <c r="A685" t="s">
        <v>1514</v>
      </c>
      <c r="B685">
        <v>2282600684</v>
      </c>
      <c r="C685" t="s">
        <v>2112</v>
      </c>
      <c r="D685" t="s">
        <v>355</v>
      </c>
      <c r="E685" t="s">
        <v>2112</v>
      </c>
      <c r="F685" t="s">
        <v>355</v>
      </c>
    </row>
    <row r="686" spans="1:6" x14ac:dyDescent="0.25">
      <c r="A686" t="s">
        <v>1514</v>
      </c>
      <c r="B686">
        <v>2282600685</v>
      </c>
      <c r="C686" t="s">
        <v>2112</v>
      </c>
      <c r="D686" t="s">
        <v>355</v>
      </c>
      <c r="E686" t="s">
        <v>2112</v>
      </c>
      <c r="F686" t="s">
        <v>355</v>
      </c>
    </row>
    <row r="687" spans="1:6" x14ac:dyDescent="0.25">
      <c r="A687" t="s">
        <v>1514</v>
      </c>
      <c r="B687">
        <v>2302600686</v>
      </c>
      <c r="C687" t="s">
        <v>2112</v>
      </c>
      <c r="D687" t="s">
        <v>355</v>
      </c>
      <c r="E687" t="s">
        <v>2112</v>
      </c>
      <c r="F687" t="s">
        <v>355</v>
      </c>
    </row>
    <row r="688" spans="1:6" x14ac:dyDescent="0.25">
      <c r="A688" t="s">
        <v>1514</v>
      </c>
      <c r="B688">
        <v>2302600687</v>
      </c>
      <c r="C688" t="s">
        <v>2112</v>
      </c>
      <c r="D688" t="s">
        <v>355</v>
      </c>
      <c r="E688" t="s">
        <v>2112</v>
      </c>
      <c r="F688" t="s">
        <v>355</v>
      </c>
    </row>
    <row r="689" spans="1:6" x14ac:dyDescent="0.25">
      <c r="A689" t="s">
        <v>1514</v>
      </c>
      <c r="B689">
        <v>2282600688</v>
      </c>
      <c r="C689" t="s">
        <v>2112</v>
      </c>
      <c r="D689" t="s">
        <v>355</v>
      </c>
      <c r="E689" t="s">
        <v>2112</v>
      </c>
      <c r="F689" t="s">
        <v>355</v>
      </c>
    </row>
    <row r="690" spans="1:6" x14ac:dyDescent="0.25">
      <c r="A690" t="s">
        <v>1514</v>
      </c>
      <c r="B690">
        <v>2282600689</v>
      </c>
      <c r="C690" t="s">
        <v>2112</v>
      </c>
      <c r="D690" t="s">
        <v>355</v>
      </c>
      <c r="E690" t="s">
        <v>2112</v>
      </c>
      <c r="F690" t="s">
        <v>355</v>
      </c>
    </row>
    <row r="691" spans="1:6" x14ac:dyDescent="0.25">
      <c r="A691" t="s">
        <v>1514</v>
      </c>
      <c r="B691">
        <v>2302600690</v>
      </c>
      <c r="C691" t="s">
        <v>2112</v>
      </c>
      <c r="D691" t="s">
        <v>355</v>
      </c>
      <c r="E691" t="s">
        <v>2112</v>
      </c>
      <c r="F691" t="s">
        <v>355</v>
      </c>
    </row>
    <row r="692" spans="1:6" x14ac:dyDescent="0.25">
      <c r="A692" t="s">
        <v>1514</v>
      </c>
      <c r="B692">
        <v>2302600691</v>
      </c>
      <c r="C692" t="s">
        <v>2112</v>
      </c>
      <c r="D692" t="s">
        <v>355</v>
      </c>
      <c r="E692" t="s">
        <v>2112</v>
      </c>
      <c r="F692" t="s">
        <v>355</v>
      </c>
    </row>
    <row r="693" spans="1:6" x14ac:dyDescent="0.25">
      <c r="A693" t="s">
        <v>1514</v>
      </c>
      <c r="B693">
        <v>2282600692</v>
      </c>
      <c r="C693" t="s">
        <v>2112</v>
      </c>
      <c r="D693" t="s">
        <v>355</v>
      </c>
      <c r="E693" t="s">
        <v>2112</v>
      </c>
      <c r="F693" t="s">
        <v>355</v>
      </c>
    </row>
    <row r="694" spans="1:6" x14ac:dyDescent="0.25">
      <c r="A694" t="s">
        <v>1514</v>
      </c>
      <c r="B694">
        <v>2282600693</v>
      </c>
      <c r="C694" t="s">
        <v>2112</v>
      </c>
      <c r="D694" t="s">
        <v>355</v>
      </c>
      <c r="E694" t="s">
        <v>2112</v>
      </c>
      <c r="F694" t="s">
        <v>355</v>
      </c>
    </row>
    <row r="695" spans="1:6" x14ac:dyDescent="0.25">
      <c r="A695" t="s">
        <v>1514</v>
      </c>
      <c r="B695">
        <v>2302600694</v>
      </c>
      <c r="C695" t="s">
        <v>2112</v>
      </c>
      <c r="D695" t="s">
        <v>355</v>
      </c>
      <c r="E695" t="s">
        <v>2112</v>
      </c>
      <c r="F695" t="s">
        <v>355</v>
      </c>
    </row>
    <row r="696" spans="1:6" x14ac:dyDescent="0.25">
      <c r="A696" t="s">
        <v>1514</v>
      </c>
      <c r="B696">
        <v>2302600695</v>
      </c>
      <c r="C696" t="s">
        <v>2112</v>
      </c>
      <c r="D696" t="s">
        <v>355</v>
      </c>
      <c r="E696" t="s">
        <v>2112</v>
      </c>
      <c r="F696" t="s">
        <v>355</v>
      </c>
    </row>
    <row r="697" spans="1:6" x14ac:dyDescent="0.25">
      <c r="A697" t="s">
        <v>1514</v>
      </c>
      <c r="B697">
        <v>2282600696</v>
      </c>
      <c r="C697" t="s">
        <v>2112</v>
      </c>
      <c r="D697" t="s">
        <v>355</v>
      </c>
      <c r="E697" t="s">
        <v>2112</v>
      </c>
      <c r="F697" t="s">
        <v>355</v>
      </c>
    </row>
    <row r="698" spans="1:6" x14ac:dyDescent="0.25">
      <c r="A698" t="s">
        <v>1514</v>
      </c>
      <c r="B698">
        <v>2282600697</v>
      </c>
      <c r="C698" t="s">
        <v>2112</v>
      </c>
      <c r="D698" t="s">
        <v>355</v>
      </c>
      <c r="E698" t="s">
        <v>2112</v>
      </c>
      <c r="F698" t="s">
        <v>355</v>
      </c>
    </row>
    <row r="699" spans="1:6" x14ac:dyDescent="0.25">
      <c r="A699" t="s">
        <v>1514</v>
      </c>
      <c r="B699">
        <v>2302600698</v>
      </c>
      <c r="C699" t="s">
        <v>2112</v>
      </c>
      <c r="D699" t="s">
        <v>355</v>
      </c>
      <c r="E699" t="s">
        <v>2112</v>
      </c>
      <c r="F699" t="s">
        <v>355</v>
      </c>
    </row>
    <row r="700" spans="1:6" x14ac:dyDescent="0.25">
      <c r="A700" t="s">
        <v>1514</v>
      </c>
      <c r="B700">
        <v>2302600699</v>
      </c>
      <c r="C700" t="s">
        <v>2112</v>
      </c>
      <c r="D700" t="s">
        <v>355</v>
      </c>
      <c r="E700" t="s">
        <v>2112</v>
      </c>
      <c r="F700" t="s">
        <v>355</v>
      </c>
    </row>
    <row r="701" spans="1:6" x14ac:dyDescent="0.25">
      <c r="A701" t="s">
        <v>1514</v>
      </c>
      <c r="B701">
        <v>2282600700</v>
      </c>
      <c r="C701" t="s">
        <v>2112</v>
      </c>
      <c r="D701" t="s">
        <v>355</v>
      </c>
      <c r="E701" t="s">
        <v>2112</v>
      </c>
      <c r="F701" t="s">
        <v>355</v>
      </c>
    </row>
    <row r="702" spans="1:6" x14ac:dyDescent="0.25">
      <c r="A702" t="s">
        <v>1514</v>
      </c>
      <c r="B702">
        <v>2282600701</v>
      </c>
      <c r="C702" t="s">
        <v>2112</v>
      </c>
      <c r="D702" t="s">
        <v>355</v>
      </c>
      <c r="E702" t="s">
        <v>2112</v>
      </c>
      <c r="F702" t="s">
        <v>355</v>
      </c>
    </row>
    <row r="703" spans="1:6" x14ac:dyDescent="0.25">
      <c r="A703" t="s">
        <v>1514</v>
      </c>
      <c r="B703">
        <v>2302600702</v>
      </c>
      <c r="C703" t="s">
        <v>2112</v>
      </c>
      <c r="D703" t="s">
        <v>355</v>
      </c>
      <c r="E703" t="s">
        <v>2112</v>
      </c>
      <c r="F703" t="s">
        <v>355</v>
      </c>
    </row>
    <row r="704" spans="1:6" x14ac:dyDescent="0.25">
      <c r="A704" t="s">
        <v>1514</v>
      </c>
      <c r="B704">
        <v>2302600703</v>
      </c>
      <c r="C704" t="s">
        <v>2112</v>
      </c>
      <c r="D704" t="s">
        <v>355</v>
      </c>
      <c r="E704" t="s">
        <v>2112</v>
      </c>
      <c r="F704" t="s">
        <v>355</v>
      </c>
    </row>
    <row r="705" spans="1:6" x14ac:dyDescent="0.25">
      <c r="A705" t="s">
        <v>1514</v>
      </c>
      <c r="B705">
        <v>2282600704</v>
      </c>
      <c r="C705" t="s">
        <v>2112</v>
      </c>
      <c r="D705" t="s">
        <v>355</v>
      </c>
      <c r="E705" t="s">
        <v>2112</v>
      </c>
      <c r="F705" t="s">
        <v>355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FBF75978-3F3C-4363-9890-4DEEE7BE5CD6}">
  <ds:schemaRefs/>
</ds:datastoreItem>
</file>

<file path=customXml/itemProps2.xml><?xml version="1.0" encoding="utf-8"?>
<ds:datastoreItem xmlns:ds="http://schemas.openxmlformats.org/officeDocument/2006/customXml" ds:itemID="{7671548E-212E-491F-B29F-FCE958C2D199}">
  <ds:schemaRefs/>
</ds:datastoreItem>
</file>

<file path=customXml/itemProps3.xml><?xml version="1.0" encoding="utf-8"?>
<ds:datastoreItem xmlns:ds="http://schemas.openxmlformats.org/officeDocument/2006/customXml" ds:itemID="{93356C5E-16AD-4973-B270-FE5AE2ED6166}">
  <ds:schemaRefs/>
</ds:datastoreItem>
</file>

<file path=customXml/itemProps4.xml><?xml version="1.0" encoding="utf-8"?>
<ds:datastoreItem xmlns:ds="http://schemas.openxmlformats.org/officeDocument/2006/customXml" ds:itemID="{E1C92807-90C4-4195-9DDC-5B8999469C5F}">
  <ds:schemaRefs/>
</ds:datastoreItem>
</file>

<file path=customXml/itemProps5.xml><?xml version="1.0" encoding="utf-8"?>
<ds:datastoreItem xmlns:ds="http://schemas.openxmlformats.org/officeDocument/2006/customXml" ds:itemID="{87F8C08C-B840-4DD9-BF71-50D7DC59037C}">
  <ds:schemaRefs/>
</ds:datastoreItem>
</file>

<file path=customXml/itemProps6.xml><?xml version="1.0" encoding="utf-8"?>
<ds:datastoreItem xmlns:ds="http://schemas.openxmlformats.org/officeDocument/2006/customXml" ds:itemID="{294E8E4D-6FC0-4235-8E25-34B34FE2FC9F}">
  <ds:schemaRefs/>
</ds:datastoreItem>
</file>

<file path=customXml/itemProps7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8.xml><?xml version="1.0" encoding="utf-8"?>
<ds:datastoreItem xmlns:ds="http://schemas.openxmlformats.org/officeDocument/2006/customXml" ds:itemID="{40F692E9-BFC6-49A9-940A-21A5866E05C6}">
  <ds:schemaRefs/>
</ds:datastoreItem>
</file>

<file path=customXml/itemProps9.xml><?xml version="1.0" encoding="utf-8"?>
<ds:datastoreItem xmlns:ds="http://schemas.openxmlformats.org/officeDocument/2006/customXml" ds:itemID="{C5EA01F5-E94E-4FA7-9911-C7355609C730}">
  <ds:schemaRefs/>
</ds:datastoreItem>
</file>

<file path=customXml/itemProps10.xml><?xml version="1.0" encoding="utf-8"?>
<ds:datastoreItem xmlns:ds="http://schemas.openxmlformats.org/officeDocument/2006/customXml" ds:itemID="{EC639338-79BA-4D87-BEE0-9BEA894A17B3}">
  <ds:schemaRefs/>
</ds:datastoreItem>
</file>

<file path=customXml/itemProps11.xml><?xml version="1.0" encoding="utf-8"?>
<ds:datastoreItem xmlns:ds="http://schemas.openxmlformats.org/officeDocument/2006/customXml" ds:itemID="{1A7072D1-5D01-4092-8B2C-891B9A581F01}">
  <ds:schemaRefs/>
</ds:datastoreItem>
</file>

<file path=customXml/itemProps12.xml><?xml version="1.0" encoding="utf-8"?>
<ds:datastoreItem xmlns:ds="http://schemas.openxmlformats.org/officeDocument/2006/customXml" ds:itemID="{6A072B12-584F-4B30-B4D7-BDAAE5871D23}">
  <ds:schemaRefs/>
</ds:datastoreItem>
</file>

<file path=customXml/itemProps13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14.xml><?xml version="1.0" encoding="utf-8"?>
<ds:datastoreItem xmlns:ds="http://schemas.openxmlformats.org/officeDocument/2006/customXml" ds:itemID="{4C5A3442-770D-4AAE-8627-1A1028A9203A}">
  <ds:schemaRefs/>
</ds:datastoreItem>
</file>

<file path=customXml/itemProps15.xml><?xml version="1.0" encoding="utf-8"?>
<ds:datastoreItem xmlns:ds="http://schemas.openxmlformats.org/officeDocument/2006/customXml" ds:itemID="{16621111-623A-47B5-9F62-53649686D761}">
  <ds:schemaRefs/>
</ds:datastoreItem>
</file>

<file path=customXml/itemProps16.xml><?xml version="1.0" encoding="utf-8"?>
<ds:datastoreItem xmlns:ds="http://schemas.openxmlformats.org/officeDocument/2006/customXml" ds:itemID="{FBD82763-EE05-470A-8D6D-42CCA27C1203}">
  <ds:schemaRefs/>
</ds:datastoreItem>
</file>

<file path=customXml/itemProps17.xml><?xml version="1.0" encoding="utf-8"?>
<ds:datastoreItem xmlns:ds="http://schemas.openxmlformats.org/officeDocument/2006/customXml" ds:itemID="{979CA64C-BDF3-44EF-8294-845AC55DBEA3}">
  <ds:schemaRefs/>
</ds:datastoreItem>
</file>

<file path=customXml/itemProps18.xml><?xml version="1.0" encoding="utf-8"?>
<ds:datastoreItem xmlns:ds="http://schemas.openxmlformats.org/officeDocument/2006/customXml" ds:itemID="{76E5009E-6B12-4D86-A5A4-29E7C6675774}">
  <ds:schemaRefs/>
</ds:datastoreItem>
</file>

<file path=customXml/itemProps19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20.xml><?xml version="1.0" encoding="utf-8"?>
<ds:datastoreItem xmlns:ds="http://schemas.openxmlformats.org/officeDocument/2006/customXml" ds:itemID="{2B504060-FFDE-49F4-910F-653A6BD0A14A}">
  <ds:schemaRefs/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19</vt:i4>
      </vt:variant>
    </vt:vector>
  </HeadingPairs>
  <TitlesOfParts>
    <vt:vector size="19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  <vt:lpstr>MEMBRANA_CIELO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2026-07-30T13:28:25Z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