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1CF8DB9-218E-4896-BAE0-64756A319FD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inancial summary" sheetId="4" r:id="rId1"/>
    <sheet name="Transaction overview" sheetId="2" r:id="rId2"/>
    <sheet name="Collateral Analysis" sheetId="8" r:id="rId3"/>
    <sheet name="Base Case" sheetId="9" r:id="rId4"/>
    <sheet name="FCF Model" sheetId="10" r:id="rId5"/>
  </sheets>
  <definedNames>
    <definedName name="_xlnm.Print_Area" localSheetId="4">'FCF Model'!$D$2:$O$36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10" l="1"/>
  <c r="N34" i="10"/>
  <c r="M34" i="10"/>
  <c r="L34" i="10"/>
  <c r="K34" i="10"/>
  <c r="J34" i="10"/>
  <c r="I34" i="10"/>
  <c r="H34" i="10"/>
  <c r="G34" i="10"/>
  <c r="F34" i="10"/>
  <c r="E34" i="10"/>
  <c r="O29" i="10"/>
  <c r="N29" i="10"/>
  <c r="M29" i="10"/>
  <c r="L29" i="10"/>
  <c r="K29" i="10"/>
  <c r="J29" i="10"/>
  <c r="I29" i="10"/>
  <c r="H29" i="10"/>
  <c r="G29" i="10"/>
  <c r="F29" i="10"/>
  <c r="E29" i="10"/>
  <c r="E25" i="10"/>
  <c r="E26" i="10" s="1"/>
  <c r="G23" i="10"/>
  <c r="H23" i="10" s="1"/>
  <c r="I23" i="10" s="1"/>
  <c r="J23" i="10" s="1"/>
  <c r="K23" i="10" s="1"/>
  <c r="L23" i="10" s="1"/>
  <c r="M23" i="10" s="1"/>
  <c r="N23" i="10" s="1"/>
  <c r="O23" i="10" s="1"/>
  <c r="E23" i="10"/>
  <c r="F5" i="10"/>
  <c r="F4" i="10"/>
  <c r="E4" i="10"/>
  <c r="G3" i="10"/>
  <c r="H3" i="10" s="1"/>
  <c r="I3" i="10" s="1"/>
  <c r="J3" i="10" s="1"/>
  <c r="K3" i="10" s="1"/>
  <c r="L3" i="10" s="1"/>
  <c r="M3" i="10" s="1"/>
  <c r="N3" i="10" s="1"/>
  <c r="O3" i="10" s="1"/>
  <c r="E3" i="10"/>
  <c r="E29" i="9"/>
  <c r="Q28" i="9"/>
  <c r="E28" i="9"/>
  <c r="D28" i="9"/>
  <c r="C28" i="9"/>
  <c r="Q26" i="9"/>
  <c r="E26" i="9"/>
  <c r="D26" i="9"/>
  <c r="C26" i="9"/>
  <c r="Q24" i="9"/>
  <c r="E24" i="9"/>
  <c r="D24" i="9"/>
  <c r="C24" i="9"/>
  <c r="F23" i="9"/>
  <c r="Q20" i="9"/>
  <c r="E20" i="9"/>
  <c r="D20" i="9"/>
  <c r="C20" i="9"/>
  <c r="F19" i="9"/>
  <c r="F12" i="10" s="1"/>
  <c r="Q18" i="9"/>
  <c r="E18" i="9"/>
  <c r="D18" i="9"/>
  <c r="C18" i="9"/>
  <c r="F17" i="9"/>
  <c r="F11" i="10" s="1"/>
  <c r="E11" i="9"/>
  <c r="E14" i="9" s="1"/>
  <c r="F14" i="9" s="1"/>
  <c r="D11" i="9"/>
  <c r="D12" i="9" s="1"/>
  <c r="C11" i="9"/>
  <c r="C12" i="9" s="1"/>
  <c r="Q10" i="9"/>
  <c r="L10" i="9"/>
  <c r="M10" i="9" s="1"/>
  <c r="E10" i="9"/>
  <c r="D10" i="9"/>
  <c r="C10" i="9"/>
  <c r="F9" i="9"/>
  <c r="E7" i="9"/>
  <c r="E8" i="9" s="1"/>
  <c r="D7" i="9"/>
  <c r="D8" i="9" s="1"/>
  <c r="C7" i="9"/>
  <c r="C8" i="9" s="1"/>
  <c r="Q6" i="9"/>
  <c r="L6" i="9"/>
  <c r="E6" i="9"/>
  <c r="D6" i="9"/>
  <c r="C6" i="9"/>
  <c r="F5" i="9"/>
  <c r="F7" i="9" s="1"/>
  <c r="F8" i="9" s="1"/>
  <c r="Q4" i="9"/>
  <c r="L4" i="9"/>
  <c r="M4" i="9" s="1"/>
  <c r="N4" i="9" s="1"/>
  <c r="O4" i="9" s="1"/>
  <c r="E4" i="9"/>
  <c r="E5" i="10" s="1"/>
  <c r="D4" i="9"/>
  <c r="G3" i="9"/>
  <c r="G4" i="10" s="1"/>
  <c r="D2" i="9"/>
  <c r="E2" i="9" s="1"/>
  <c r="Q2" i="9" s="1"/>
  <c r="C14" i="9" l="1"/>
  <c r="F25" i="10"/>
  <c r="F18" i="10" s="1"/>
  <c r="E12" i="9"/>
  <c r="E8" i="10"/>
  <c r="G5" i="9"/>
  <c r="G7" i="9" s="1"/>
  <c r="G8" i="9" s="1"/>
  <c r="G5" i="10"/>
  <c r="H3" i="9"/>
  <c r="H19" i="9" s="1"/>
  <c r="H12" i="10" s="1"/>
  <c r="F27" i="9"/>
  <c r="G9" i="9"/>
  <c r="G14" i="9"/>
  <c r="M6" i="9"/>
  <c r="N10" i="9"/>
  <c r="G17" i="9"/>
  <c r="G11" i="10" s="1"/>
  <c r="F25" i="9"/>
  <c r="L26" i="9"/>
  <c r="F11" i="9"/>
  <c r="F13" i="9" s="1"/>
  <c r="F9" i="10" s="1"/>
  <c r="G19" i="9"/>
  <c r="G12" i="10" s="1"/>
  <c r="E6" i="10"/>
  <c r="E28" i="10" s="1"/>
  <c r="G23" i="9"/>
  <c r="D14" i="9"/>
  <c r="F2" i="9"/>
  <c r="D5" i="8"/>
  <c r="D9" i="8" l="1"/>
  <c r="D11" i="8" s="1"/>
  <c r="G25" i="10"/>
  <c r="G18" i="10" s="1"/>
  <c r="G25" i="9"/>
  <c r="G29" i="9" s="1"/>
  <c r="G10" i="10" s="1"/>
  <c r="H9" i="9"/>
  <c r="H17" i="9"/>
  <c r="H11" i="10" s="1"/>
  <c r="H5" i="9"/>
  <c r="G27" i="9"/>
  <c r="G11" i="9"/>
  <c r="G6" i="10" s="1"/>
  <c r="F29" i="9"/>
  <c r="F10" i="10" s="1"/>
  <c r="H4" i="10"/>
  <c r="H5" i="10" s="1"/>
  <c r="I3" i="9"/>
  <c r="H23" i="9"/>
  <c r="H27" i="9"/>
  <c r="G2" i="9"/>
  <c r="H2" i="9" s="1"/>
  <c r="I2" i="9" s="1"/>
  <c r="J2" i="9" s="1"/>
  <c r="K2" i="9" s="1"/>
  <c r="L28" i="9"/>
  <c r="L24" i="9"/>
  <c r="H25" i="10"/>
  <c r="H18" i="10"/>
  <c r="O10" i="9"/>
  <c r="E30" i="10"/>
  <c r="E31" i="10" s="1"/>
  <c r="E7" i="10"/>
  <c r="E33" i="10"/>
  <c r="E35" i="10"/>
  <c r="E36" i="10" s="1"/>
  <c r="F12" i="9"/>
  <c r="F6" i="10"/>
  <c r="M26" i="9"/>
  <c r="N6" i="9"/>
  <c r="H7" i="9"/>
  <c r="H8" i="9" s="1"/>
  <c r="H14" i="9"/>
  <c r="C10" i="4"/>
  <c r="D10" i="4"/>
  <c r="G11" i="4"/>
  <c r="H11" i="4"/>
  <c r="I11" i="4"/>
  <c r="I23" i="4" s="1"/>
  <c r="D12" i="4"/>
  <c r="B13" i="4"/>
  <c r="B14" i="4" s="1"/>
  <c r="C13" i="4"/>
  <c r="C14" i="4" s="1"/>
  <c r="D14" i="4"/>
  <c r="D16" i="4"/>
  <c r="D18" i="4"/>
  <c r="B21" i="4"/>
  <c r="C21" i="4"/>
  <c r="D21" i="4"/>
  <c r="G21" i="4"/>
  <c r="H21" i="4"/>
  <c r="I21" i="4"/>
  <c r="G22" i="4"/>
  <c r="H22" i="4"/>
  <c r="I22" i="4"/>
  <c r="G23" i="4"/>
  <c r="H23" i="4"/>
  <c r="H11" i="9" l="1"/>
  <c r="R2" i="9"/>
  <c r="G12" i="9"/>
  <c r="H25" i="9"/>
  <c r="H29" i="9" s="1"/>
  <c r="H10" i="10" s="1"/>
  <c r="J3" i="9"/>
  <c r="I4" i="10"/>
  <c r="I5" i="10" s="1"/>
  <c r="I17" i="9"/>
  <c r="I11" i="10" s="1"/>
  <c r="I23" i="9"/>
  <c r="I5" i="9"/>
  <c r="I9" i="9"/>
  <c r="I19" i="9"/>
  <c r="I12" i="10" s="1"/>
  <c r="G13" i="9"/>
  <c r="G9" i="10" s="1"/>
  <c r="F7" i="10"/>
  <c r="I25" i="10"/>
  <c r="I18" i="10"/>
  <c r="L2" i="9"/>
  <c r="M2" i="9" s="1"/>
  <c r="N2" i="9" s="1"/>
  <c r="O2" i="9" s="1"/>
  <c r="S2" i="9" s="1"/>
  <c r="H13" i="9"/>
  <c r="H9" i="10" s="1"/>
  <c r="I14" i="9"/>
  <c r="H6" i="10"/>
  <c r="H12" i="9"/>
  <c r="G7" i="10"/>
  <c r="M24" i="9"/>
  <c r="M28" i="9"/>
  <c r="O6" i="9"/>
  <c r="N26" i="9"/>
  <c r="B17" i="4"/>
  <c r="B18" i="4" s="1"/>
  <c r="C17" i="4"/>
  <c r="C18" i="4" s="1"/>
  <c r="J9" i="9" l="1"/>
  <c r="R10" i="9" s="1"/>
  <c r="K3" i="9"/>
  <c r="J19" i="9"/>
  <c r="J4" i="10"/>
  <c r="J5" i="10" s="1"/>
  <c r="J17" i="9"/>
  <c r="J23" i="9"/>
  <c r="R4" i="9"/>
  <c r="J5" i="9"/>
  <c r="J7" i="9" s="1"/>
  <c r="J8" i="9" s="1"/>
  <c r="I25" i="9"/>
  <c r="I27" i="9"/>
  <c r="I11" i="9"/>
  <c r="I13" i="9" s="1"/>
  <c r="I9" i="10" s="1"/>
  <c r="I7" i="9"/>
  <c r="I8" i="9" s="1"/>
  <c r="N28" i="9"/>
  <c r="O26" i="9"/>
  <c r="J25" i="10"/>
  <c r="J18" i="10" s="1"/>
  <c r="H7" i="10"/>
  <c r="N24" i="9"/>
  <c r="J14" i="9"/>
  <c r="I8" i="2"/>
  <c r="J8" i="2" s="1"/>
  <c r="F8" i="2"/>
  <c r="G8" i="2" s="1"/>
  <c r="G7" i="2"/>
  <c r="J7" i="2"/>
  <c r="J6" i="2"/>
  <c r="J5" i="2"/>
  <c r="G6" i="2"/>
  <c r="G5" i="2"/>
  <c r="J11" i="9" l="1"/>
  <c r="J6" i="10" s="1"/>
  <c r="J7" i="10" s="1"/>
  <c r="I29" i="9"/>
  <c r="I10" i="10" s="1"/>
  <c r="R24" i="9"/>
  <c r="J12" i="10"/>
  <c r="R20" i="9"/>
  <c r="J12" i="9"/>
  <c r="K5" i="9"/>
  <c r="K7" i="9" s="1"/>
  <c r="K8" i="9" s="1"/>
  <c r="K9" i="9"/>
  <c r="L3" i="9"/>
  <c r="K23" i="9"/>
  <c r="K19" i="9"/>
  <c r="K12" i="10" s="1"/>
  <c r="K4" i="10"/>
  <c r="K5" i="10" s="1"/>
  <c r="K17" i="9"/>
  <c r="K11" i="10" s="1"/>
  <c r="I12" i="9"/>
  <c r="I6" i="10"/>
  <c r="I7" i="10" s="1"/>
  <c r="J11" i="10"/>
  <c r="R18" i="9"/>
  <c r="R6" i="9"/>
  <c r="J25" i="9"/>
  <c r="R26" i="9" s="1"/>
  <c r="J27" i="9"/>
  <c r="R28" i="9" s="1"/>
  <c r="J13" i="9"/>
  <c r="J9" i="10" s="1"/>
  <c r="K14" i="9"/>
  <c r="O28" i="9"/>
  <c r="K25" i="10"/>
  <c r="O24" i="9"/>
  <c r="J29" i="9" l="1"/>
  <c r="J10" i="10" s="1"/>
  <c r="K11" i="9"/>
  <c r="K12" i="9" s="1"/>
  <c r="K25" i="9"/>
  <c r="K27" i="9"/>
  <c r="M3" i="9"/>
  <c r="L17" i="9"/>
  <c r="L11" i="10" s="1"/>
  <c r="L4" i="10"/>
  <c r="L5" i="10" s="1"/>
  <c r="L23" i="9"/>
  <c r="L19" i="9"/>
  <c r="L12" i="10" s="1"/>
  <c r="L9" i="9"/>
  <c r="L5" i="9"/>
  <c r="L11" i="9" s="1"/>
  <c r="L25" i="10"/>
  <c r="L14" i="9"/>
  <c r="K18" i="10"/>
  <c r="K29" i="9" l="1"/>
  <c r="K10" i="10" s="1"/>
  <c r="K6" i="10"/>
  <c r="K7" i="10" s="1"/>
  <c r="K13" i="9"/>
  <c r="K9" i="10" s="1"/>
  <c r="L12" i="9"/>
  <c r="L6" i="10"/>
  <c r="L7" i="10" s="1"/>
  <c r="L25" i="9"/>
  <c r="L27" i="9"/>
  <c r="L29" i="9" s="1"/>
  <c r="L10" i="10" s="1"/>
  <c r="L7" i="9"/>
  <c r="L8" i="9" s="1"/>
  <c r="M5" i="9"/>
  <c r="M4" i="10"/>
  <c r="M5" i="10" s="1"/>
  <c r="M17" i="9"/>
  <c r="M11" i="10" s="1"/>
  <c r="M23" i="9"/>
  <c r="M9" i="9"/>
  <c r="N3" i="9"/>
  <c r="M19" i="9"/>
  <c r="M12" i="10" s="1"/>
  <c r="M7" i="9"/>
  <c r="M8" i="9" s="1"/>
  <c r="M25" i="10"/>
  <c r="M18" i="10" s="1"/>
  <c r="L18" i="10"/>
  <c r="L13" i="9"/>
  <c r="L9" i="10" s="1"/>
  <c r="M14" i="9"/>
  <c r="M11" i="9" l="1"/>
  <c r="M12" i="9" s="1"/>
  <c r="M6" i="10"/>
  <c r="M7" i="10" s="1"/>
  <c r="M25" i="9"/>
  <c r="M27" i="9"/>
  <c r="N5" i="9"/>
  <c r="N17" i="9"/>
  <c r="N11" i="10" s="1"/>
  <c r="N7" i="9"/>
  <c r="N8" i="9" s="1"/>
  <c r="N19" i="9"/>
  <c r="N12" i="10" s="1"/>
  <c r="N4" i="10"/>
  <c r="N5" i="10" s="1"/>
  <c r="N9" i="9"/>
  <c r="N23" i="9"/>
  <c r="O3" i="9"/>
  <c r="N14" i="9"/>
  <c r="M13" i="9"/>
  <c r="M9" i="10" s="1"/>
  <c r="N25" i="10"/>
  <c r="N18" i="10" s="1"/>
  <c r="M29" i="9" l="1"/>
  <c r="M10" i="10" s="1"/>
  <c r="N25" i="9"/>
  <c r="N27" i="9"/>
  <c r="N11" i="9"/>
  <c r="N13" i="9" s="1"/>
  <c r="N9" i="10" s="1"/>
  <c r="O9" i="9"/>
  <c r="S10" i="9" s="1"/>
  <c r="O5" i="9"/>
  <c r="O17" i="9"/>
  <c r="O4" i="10"/>
  <c r="O5" i="10" s="1"/>
  <c r="S4" i="9"/>
  <c r="O19" i="9"/>
  <c r="O23" i="9"/>
  <c r="O14" i="9"/>
  <c r="O25" i="10"/>
  <c r="O18" i="10" s="1"/>
  <c r="O11" i="10" l="1"/>
  <c r="S18" i="9"/>
  <c r="O7" i="9"/>
  <c r="O8" i="9" s="1"/>
  <c r="O27" i="9"/>
  <c r="S28" i="9" s="1"/>
  <c r="S6" i="9"/>
  <c r="O25" i="9"/>
  <c r="S26" i="9" s="1"/>
  <c r="S24" i="9"/>
  <c r="O11" i="9"/>
  <c r="O13" i="9" s="1"/>
  <c r="O9" i="10" s="1"/>
  <c r="N6" i="10"/>
  <c r="N7" i="10" s="1"/>
  <c r="N12" i="9"/>
  <c r="O12" i="10"/>
  <c r="S20" i="9"/>
  <c r="N29" i="9"/>
  <c r="N10" i="10" s="1"/>
  <c r="O12" i="9" l="1"/>
  <c r="O6" i="10"/>
  <c r="O29" i="9"/>
  <c r="O10" i="10" s="1"/>
  <c r="O7" i="10" l="1"/>
  <c r="F8" i="10"/>
  <c r="G8" i="10"/>
  <c r="H8" i="10"/>
  <c r="I8" i="10"/>
  <c r="J8" i="10"/>
  <c r="K8" i="10"/>
  <c r="L8" i="10"/>
  <c r="M8" i="10"/>
  <c r="N8" i="10"/>
  <c r="O8" i="10"/>
  <c r="F13" i="10"/>
  <c r="G13" i="10"/>
  <c r="H13" i="10"/>
  <c r="I13" i="10"/>
  <c r="J13" i="10"/>
  <c r="K13" i="10"/>
  <c r="L13" i="10"/>
  <c r="M13" i="10"/>
  <c r="N13" i="10"/>
  <c r="O13" i="10"/>
  <c r="F14" i="10"/>
  <c r="G14" i="10"/>
  <c r="H14" i="10"/>
  <c r="I14" i="10"/>
  <c r="J14" i="10"/>
  <c r="K14" i="10"/>
  <c r="L14" i="10"/>
  <c r="M14" i="10"/>
  <c r="N14" i="10"/>
  <c r="O14" i="10"/>
  <c r="L16" i="10"/>
  <c r="F19" i="10"/>
  <c r="G19" i="10"/>
  <c r="H19" i="10"/>
  <c r="I19" i="10"/>
  <c r="J19" i="10"/>
  <c r="K19" i="10"/>
  <c r="L19" i="10"/>
  <c r="M19" i="10"/>
  <c r="N19" i="10"/>
  <c r="O19" i="10"/>
  <c r="F20" i="10"/>
  <c r="G20" i="10"/>
  <c r="H20" i="10"/>
  <c r="I20" i="10"/>
  <c r="J20" i="10"/>
  <c r="K20" i="10"/>
  <c r="L20" i="10"/>
  <c r="M20" i="10"/>
  <c r="N20" i="10"/>
  <c r="O20" i="10"/>
  <c r="F24" i="10"/>
  <c r="G24" i="10"/>
  <c r="H24" i="10"/>
  <c r="I24" i="10"/>
  <c r="J24" i="10"/>
  <c r="K24" i="10"/>
  <c r="L24" i="10"/>
  <c r="M24" i="10"/>
  <c r="N24" i="10"/>
  <c r="O24" i="10"/>
  <c r="F26" i="10"/>
  <c r="G26" i="10"/>
  <c r="H26" i="10"/>
  <c r="I26" i="10"/>
  <c r="J26" i="10"/>
  <c r="K26" i="10"/>
  <c r="L26" i="10"/>
  <c r="M26" i="10"/>
  <c r="N26" i="10"/>
  <c r="O26" i="10"/>
  <c r="F28" i="10"/>
  <c r="G28" i="10"/>
  <c r="H28" i="10"/>
  <c r="L28" i="10"/>
  <c r="M28" i="10"/>
  <c r="N28" i="10"/>
  <c r="O28" i="10"/>
  <c r="F30" i="10"/>
  <c r="G30" i="10"/>
  <c r="H30" i="10"/>
  <c r="L30" i="10"/>
  <c r="M30" i="10"/>
  <c r="N30" i="10"/>
  <c r="O30" i="10"/>
  <c r="F31" i="10"/>
  <c r="G31" i="10"/>
  <c r="H31" i="10"/>
  <c r="L31" i="10"/>
  <c r="M31" i="10"/>
  <c r="N31" i="10"/>
  <c r="O31" i="10"/>
  <c r="F33" i="10"/>
  <c r="G33" i="10"/>
  <c r="H33" i="10"/>
  <c r="L33" i="10"/>
  <c r="M33" i="10"/>
  <c r="N33" i="10"/>
  <c r="O33" i="10"/>
  <c r="F35" i="10"/>
  <c r="G35" i="10"/>
  <c r="H35" i="10"/>
  <c r="L35" i="10"/>
  <c r="M35" i="10"/>
  <c r="N35" i="10"/>
  <c r="O35" i="10"/>
  <c r="F36" i="10"/>
  <c r="G36" i="10"/>
  <c r="H36" i="10"/>
  <c r="L36" i="10"/>
  <c r="M36" i="10"/>
  <c r="N36" i="10"/>
  <c r="O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Waterbury, Jason D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Waterbury, Jason D:</t>
        </r>
        <r>
          <rPr>
            <sz val="9"/>
            <color indexed="81"/>
            <rFont val="Tahoma"/>
            <family val="2"/>
          </rPr>
          <t xml:space="preserve">
0: Off
1: On</t>
        </r>
      </text>
    </comment>
  </commentList>
</comments>
</file>

<file path=xl/sharedStrings.xml><?xml version="1.0" encoding="utf-8"?>
<sst xmlns="http://schemas.openxmlformats.org/spreadsheetml/2006/main" count="153" uniqueCount="119">
  <si>
    <t>Adjusted EBITDA</t>
  </si>
  <si>
    <t>Cash and cash equivalents</t>
  </si>
  <si>
    <t>Sources ($mm)</t>
  </si>
  <si>
    <t>($mm)</t>
  </si>
  <si>
    <t>Amount</t>
  </si>
  <si>
    <t>Total Sources</t>
  </si>
  <si>
    <t>Total Debt</t>
  </si>
  <si>
    <t>Uses ($mm)</t>
  </si>
  <si>
    <t>Total Uses</t>
  </si>
  <si>
    <t>Before Transaction</t>
  </si>
  <si>
    <t>After Transaction</t>
  </si>
  <si>
    <t>New Revolving Credit Facility</t>
  </si>
  <si>
    <t>Repay Tranche B</t>
  </si>
  <si>
    <t>Repay Tranche A</t>
  </si>
  <si>
    <t>Tranche A</t>
  </si>
  <si>
    <t>Tranche B</t>
  </si>
  <si>
    <t>x EBITDA</t>
  </si>
  <si>
    <t>Participant name:</t>
  </si>
  <si>
    <t>FYE July 31,</t>
  </si>
  <si>
    <t>$ in millions</t>
  </si>
  <si>
    <r>
      <t>Income Statement</t>
    </r>
    <r>
      <rPr>
        <b/>
        <sz val="10"/>
        <color theme="3"/>
        <rFont val="Arial"/>
        <family val="2"/>
      </rPr>
      <t>:</t>
    </r>
  </si>
  <si>
    <r>
      <t>Cash Flow Statement</t>
    </r>
    <r>
      <rPr>
        <b/>
        <sz val="10"/>
        <color theme="3"/>
        <rFont val="Arial"/>
        <family val="2"/>
      </rPr>
      <t>:</t>
    </r>
  </si>
  <si>
    <t>Revenue</t>
  </si>
  <si>
    <t>Cash flow from operations</t>
  </si>
  <si>
    <r>
      <t xml:space="preserve">   </t>
    </r>
    <r>
      <rPr>
        <i/>
        <sz val="10"/>
        <color theme="3"/>
        <rFont val="Arial"/>
        <family val="2"/>
      </rPr>
      <t>% growth</t>
    </r>
  </si>
  <si>
    <t>Capital expenditures</t>
  </si>
  <si>
    <t>Free Cash Flow</t>
  </si>
  <si>
    <t>Cost of Goods Sold</t>
  </si>
  <si>
    <t>Gross Profit</t>
  </si>
  <si>
    <t>Acquisitions</t>
  </si>
  <si>
    <t xml:space="preserve">   Gross margin</t>
  </si>
  <si>
    <t>Dividends paid</t>
  </si>
  <si>
    <t>Total operating expenses</t>
  </si>
  <si>
    <t>Operating income</t>
  </si>
  <si>
    <r>
      <t>EBITDA calculation</t>
    </r>
    <r>
      <rPr>
        <b/>
        <sz val="10"/>
        <color theme="3"/>
        <rFont val="Arial"/>
        <family val="2"/>
      </rPr>
      <t>:</t>
    </r>
  </si>
  <si>
    <t xml:space="preserve">   Operating margin</t>
  </si>
  <si>
    <t>Net income</t>
  </si>
  <si>
    <r>
      <t>Credit ratios</t>
    </r>
    <r>
      <rPr>
        <b/>
        <sz val="10"/>
        <color theme="3"/>
        <rFont val="Arial"/>
        <family val="2"/>
      </rPr>
      <t>:</t>
    </r>
  </si>
  <si>
    <t xml:space="preserve">   Net profit margin</t>
  </si>
  <si>
    <t>Total Debt / EBITDA</t>
  </si>
  <si>
    <t>Debt to total capitalization</t>
  </si>
  <si>
    <r>
      <t>Balance Sheet</t>
    </r>
    <r>
      <rPr>
        <b/>
        <sz val="10"/>
        <color theme="3"/>
        <rFont val="Arial"/>
        <family val="2"/>
      </rPr>
      <t>:</t>
    </r>
  </si>
  <si>
    <t>FCF / Total Debt</t>
  </si>
  <si>
    <t>Accounts receivable</t>
  </si>
  <si>
    <t>Inventory</t>
  </si>
  <si>
    <t xml:space="preserve">   Total assets</t>
  </si>
  <si>
    <t>Accounts payable</t>
  </si>
  <si>
    <t>Total debt</t>
  </si>
  <si>
    <t>Equity</t>
  </si>
  <si>
    <t xml:space="preserve">   Liabilities and equity</t>
  </si>
  <si>
    <t>x</t>
  </si>
  <si>
    <t>Δ in NWC</t>
  </si>
  <si>
    <t>DPO</t>
  </si>
  <si>
    <t xml:space="preserve">Accounts Payable </t>
  </si>
  <si>
    <t>DIO</t>
  </si>
  <si>
    <t>DSO</t>
  </si>
  <si>
    <t>Accounts Receivable</t>
  </si>
  <si>
    <t>Balance Sheet</t>
  </si>
  <si>
    <t>% of Revenue</t>
  </si>
  <si>
    <t>Dividends</t>
  </si>
  <si>
    <t>Capital Expenditures</t>
  </si>
  <si>
    <t>Cash Flow</t>
  </si>
  <si>
    <t>EBITDA Margin %</t>
  </si>
  <si>
    <t>EBITDA</t>
  </si>
  <si>
    <t>Income Taxes</t>
  </si>
  <si>
    <t xml:space="preserve">x </t>
  </si>
  <si>
    <t>% Growth</t>
  </si>
  <si>
    <t>Base Case</t>
  </si>
  <si>
    <t>CAGR</t>
  </si>
  <si>
    <t>JPMorgan Extrapolated</t>
  </si>
  <si>
    <t>Management Projections</t>
  </si>
  <si>
    <t>Audited</t>
  </si>
  <si>
    <t>EBITDA Cushion (%)</t>
  </si>
  <si>
    <t>EBITDA Cushion ($)</t>
  </si>
  <si>
    <t>Interest Coverage Covenant</t>
  </si>
  <si>
    <t>Interest Coverage Ratio</t>
  </si>
  <si>
    <t>Interest Covenant</t>
  </si>
  <si>
    <t>Leverage Covenant</t>
  </si>
  <si>
    <t>Leverage Ratio</t>
  </si>
  <si>
    <t>TLA Amortization</t>
  </si>
  <si>
    <t>Term Loan A</t>
  </si>
  <si>
    <t>R/C facility</t>
  </si>
  <si>
    <t>TLA Commitment</t>
  </si>
  <si>
    <t>Covenant Projections ($mm)</t>
  </si>
  <si>
    <t>Year Ended July 31,</t>
  </si>
  <si>
    <t>R/C Commitment</t>
  </si>
  <si>
    <t>Cumulative free cash flow for debt service</t>
  </si>
  <si>
    <t>Cash available for debt service</t>
  </si>
  <si>
    <t>Mandatory debt repayments</t>
  </si>
  <si>
    <t>7-yr Payout</t>
  </si>
  <si>
    <t>Cumulative free cash flow</t>
  </si>
  <si>
    <t>Free cash flow</t>
  </si>
  <si>
    <t>Dividend payments</t>
  </si>
  <si>
    <t>Capex</t>
  </si>
  <si>
    <t>TLA Interest Rate</t>
  </si>
  <si>
    <t>Cash Tax Expense</t>
  </si>
  <si>
    <t>R/C Unused</t>
  </si>
  <si>
    <t>Interest Expense</t>
  </si>
  <si>
    <t>% Margin</t>
  </si>
  <si>
    <t>R/C Interest Rate</t>
  </si>
  <si>
    <t>Circuit Breaker</t>
  </si>
  <si>
    <t>FCF Model ($mm)</t>
  </si>
  <si>
    <t>Collateral description</t>
  </si>
  <si>
    <t>Eligible collateral value ($k)</t>
  </si>
  <si>
    <t>Authorized advance rate (%)</t>
  </si>
  <si>
    <t>Available collateral ($k)</t>
  </si>
  <si>
    <t>Inventories</t>
  </si>
  <si>
    <t>Property and equipment, net</t>
  </si>
  <si>
    <t>Total collateral available</t>
  </si>
  <si>
    <t>Less: (commitments)</t>
  </si>
  <si>
    <t>Excess / (deficiency)</t>
  </si>
  <si>
    <t xml:space="preserve">A/R, Inventory and Net PP&amp;E retrieved from company 10-K balance sheet (Note: that a typical borrowing base only includes A/R and Inventory). Noted in the borrowing base background, characteristics that typically warrant the need to be monitored under a borrowing base include a company that is: asset heavy, has intensive working capital needs, is underperforming and/or does not have other collateral that can be used as security. Company does not meet the warranted criteria therefore it is recommended that the company is not monitored under a borrowing base. 
</t>
  </si>
  <si>
    <t>(-) Cost of Goods Sold</t>
  </si>
  <si>
    <t>Gross Profit Margin</t>
  </si>
  <si>
    <t>GPM Margin %</t>
  </si>
  <si>
    <t>(-) Operating Expenses</t>
  </si>
  <si>
    <t>% of EBITDA</t>
  </si>
  <si>
    <t>Davis Industries - Financial Summary</t>
  </si>
  <si>
    <t>Mohd 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</si>
</sst>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.00_);_(* \(#,##0.00\);_(* &quot;-&quot;??_);_(@_)"/>
    <numFmt numFmtId="165" formatCode="0.0\x"/>
    <numFmt numFmtId="166" formatCode="_(* #,##0.0_);_(* \(#,##0.0\);_(* &quot;-&quot;?_);_(@_)"/>
    <numFmt numFmtId="167" formatCode="0.0%"/>
    <numFmt numFmtId="168" formatCode="#,##0.0"/>
    <numFmt numFmtId="169" formatCode="&quot;$&quot;#,##0.0"/>
    <numFmt numFmtId="170" formatCode="&quot;$&quot;#,##0.0_);[Red]\(&quot;$&quot;#,##0.0\)"/>
    <numFmt numFmtId="171" formatCode="_(* #,##0.0\x_);_(* \(#,##0.0\x\);_(* &quot;-&quot;?_);_(@_)"/>
    <numFmt numFmtId="172" formatCode="#,##0.0_);\(#,##0.0\)"/>
    <numFmt numFmtId="173" formatCode="_(* #,##0.0_);_(* \(#,##0.0\);_(* &quot;-&quot;??_);_(@_)"/>
    <numFmt numFmtId="174" formatCode="0&quot;PF&quot;"/>
    <numFmt numFmtId="175" formatCode="0\A"/>
    <numFmt numFmtId="176" formatCode="0&quot;P&quot;"/>
    <numFmt numFmtId="177" formatCode="0&quot;A&quot;"/>
    <numFmt numFmtId="178" formatCode="0.00\x"/>
    <numFmt numFmtId="179" formatCode="#&quot;E&quot;"/>
    <numFmt numFmtId="180" formatCode="#&quot;PF&quot;"/>
    <numFmt numFmtId="181" formatCode="#&quot;P&quot;"/>
  </numFmts>
  <fonts count="4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3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8"/>
      <name val="Arial"/>
      <family val="2"/>
    </font>
    <font>
      <b/>
      <sz val="10"/>
      <color rgb="FFFFFFFF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u/>
      <sz val="10"/>
      <color theme="3"/>
      <name val="Arial"/>
      <family val="2"/>
    </font>
    <font>
      <b/>
      <sz val="10"/>
      <color theme="3"/>
      <name val="Arial"/>
      <family val="2"/>
    </font>
    <font>
      <i/>
      <sz val="10"/>
      <color theme="3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8"/>
      <color theme="1"/>
      <name val="Arial"/>
      <family val="2"/>
    </font>
    <font>
      <sz val="8"/>
      <color theme="0" tint="-0.499984740745262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2"/>
      <name val="Arial"/>
      <family val="2"/>
    </font>
    <font>
      <i/>
      <sz val="8"/>
      <color theme="1"/>
      <name val="Arial"/>
      <family val="2"/>
    </font>
    <font>
      <sz val="8"/>
      <color theme="4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theme="4"/>
      <name val="Arial"/>
      <family val="2"/>
    </font>
    <font>
      <b/>
      <sz val="8"/>
      <color theme="2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8"/>
      <name val="Arial"/>
      <family val="2"/>
    </font>
    <font>
      <b/>
      <sz val="8"/>
      <color theme="3"/>
      <name val="Arial"/>
      <family val="2"/>
    </font>
    <font>
      <i/>
      <sz val="10"/>
      <color theme="1"/>
      <name val="Arial"/>
      <family val="2"/>
    </font>
    <font>
      <sz val="10"/>
      <color theme="2"/>
      <name val="Arial"/>
      <family val="2"/>
    </font>
    <font>
      <sz val="10"/>
      <name val="Arial"/>
      <family val="2"/>
    </font>
    <font>
      <sz val="10"/>
      <color theme="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0"/>
      <name val="Arial"/>
      <family val="2"/>
    </font>
    <font>
      <sz val="9"/>
      <color rgb="FF6D6E6A"/>
      <name val="Arial"/>
      <family val="2"/>
    </font>
    <font>
      <b/>
      <sz val="9"/>
      <color rgb="FF6D6E6A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9A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AE9F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6D6E6A"/>
      </bottom>
      <diagonal/>
    </border>
    <border>
      <left/>
      <right/>
      <top style="thin">
        <color rgb="FF6D6E6A"/>
      </top>
      <bottom style="thin">
        <color rgb="FF6D6E6A"/>
      </bottom>
      <diagonal/>
    </border>
    <border>
      <left/>
      <right/>
      <top style="thin">
        <color rgb="FF6D6E6A"/>
      </top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64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 style="dashDot">
        <color theme="3"/>
      </left>
      <right/>
      <top/>
      <bottom/>
      <diagonal/>
    </border>
    <border>
      <left/>
      <right style="dashDot">
        <color theme="3"/>
      </right>
      <top/>
      <bottom/>
      <diagonal/>
    </border>
    <border>
      <left/>
      <right style="dashDot">
        <color theme="3"/>
      </right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 style="dashDot">
        <color theme="3"/>
      </left>
      <right/>
      <top style="thin">
        <color theme="3"/>
      </top>
      <bottom style="thin">
        <color theme="3"/>
      </bottom>
      <diagonal/>
    </border>
    <border>
      <left/>
      <right style="dashDot">
        <color theme="3"/>
      </right>
      <top style="thin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 style="dashDot">
        <color theme="3"/>
      </left>
      <right/>
      <top style="medium">
        <color theme="3"/>
      </top>
      <bottom style="thin">
        <color theme="3"/>
      </bottom>
      <diagonal/>
    </border>
    <border>
      <left/>
      <right style="dashDot">
        <color theme="3"/>
      </right>
      <top style="medium">
        <color theme="3"/>
      </top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dashDot">
        <color theme="3"/>
      </left>
      <right/>
      <top/>
      <bottom style="medium">
        <color theme="3"/>
      </bottom>
      <diagonal/>
    </border>
    <border>
      <left/>
      <right style="dashDot">
        <color theme="3"/>
      </right>
      <top/>
      <bottom style="medium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0" borderId="0"/>
  </cellStyleXfs>
  <cellXfs count="299">
    <xf numFmtId="0" fontId="0" fillId="0" borderId="0" xfId="0"/>
    <xf numFmtId="0" fontId="2" fillId="0" borderId="0" xfId="0" applyFont="1"/>
    <xf numFmtId="0" fontId="6" fillId="4" borderId="0" xfId="0" applyFont="1" applyFill="1" applyAlignment="1">
      <alignment horizontal="left" wrapText="1" readingOrder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horizontal="left" wrapText="1" readingOrder="1"/>
    </xf>
    <xf numFmtId="0" fontId="8" fillId="0" borderId="1" xfId="0" applyFont="1" applyBorder="1" applyAlignment="1">
      <alignment horizontal="left" wrapText="1" readingOrder="1"/>
    </xf>
    <xf numFmtId="0" fontId="8" fillId="0" borderId="1" xfId="0" applyFont="1" applyBorder="1" applyAlignment="1">
      <alignment horizontal="right" wrapText="1" readingOrder="1"/>
    </xf>
    <xf numFmtId="0" fontId="5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 wrapText="1" readingOrder="1"/>
    </xf>
    <xf numFmtId="0" fontId="7" fillId="0" borderId="3" xfId="0" applyFont="1" applyBorder="1" applyAlignment="1">
      <alignment horizontal="left" wrapText="1" readingOrder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right" vertical="center" wrapText="1"/>
    </xf>
    <xf numFmtId="0" fontId="7" fillId="0" borderId="0" xfId="0" applyFont="1" applyAlignment="1">
      <alignment horizontal="left" wrapText="1" readingOrder="1"/>
    </xf>
    <xf numFmtId="0" fontId="6" fillId="4" borderId="0" xfId="0" applyFont="1" applyFill="1" applyAlignment="1">
      <alignment horizontal="right" wrapText="1" readingOrder="1"/>
    </xf>
    <xf numFmtId="0" fontId="5" fillId="0" borderId="1" xfId="0" applyFont="1" applyBorder="1" applyAlignment="1">
      <alignment horizontal="right" vertical="center" wrapText="1"/>
    </xf>
    <xf numFmtId="168" fontId="7" fillId="0" borderId="1" xfId="0" applyNumberFormat="1" applyFont="1" applyBorder="1" applyAlignment="1">
      <alignment horizontal="right" wrapText="1" readingOrder="1"/>
    </xf>
    <xf numFmtId="168" fontId="8" fillId="0" borderId="2" xfId="0" applyNumberFormat="1" applyFont="1" applyBorder="1" applyAlignment="1">
      <alignment horizontal="right" wrapText="1" readingOrder="1"/>
    </xf>
    <xf numFmtId="168" fontId="7" fillId="0" borderId="0" xfId="0" applyNumberFormat="1" applyFont="1" applyAlignment="1">
      <alignment horizontal="right" wrapText="1" readingOrder="1"/>
    </xf>
    <xf numFmtId="169" fontId="8" fillId="0" borderId="2" xfId="0" applyNumberFormat="1" applyFont="1" applyBorder="1" applyAlignment="1">
      <alignment horizontal="right" wrapText="1" readingOrder="1"/>
    </xf>
    <xf numFmtId="168" fontId="7" fillId="0" borderId="3" xfId="0" applyNumberFormat="1" applyFont="1" applyBorder="1" applyAlignment="1">
      <alignment horizontal="right" wrapText="1" readingOrder="1"/>
    </xf>
    <xf numFmtId="168" fontId="5" fillId="0" borderId="3" xfId="0" applyNumberFormat="1" applyFont="1" applyBorder="1" applyAlignment="1">
      <alignment horizontal="right" vertical="center" wrapText="1"/>
    </xf>
    <xf numFmtId="170" fontId="7" fillId="0" borderId="1" xfId="0" applyNumberFormat="1" applyFont="1" applyBorder="1" applyAlignment="1">
      <alignment horizontal="right" wrapText="1" readingOrder="1"/>
    </xf>
    <xf numFmtId="166" fontId="7" fillId="0" borderId="0" xfId="0" applyNumberFormat="1" applyFont="1" applyAlignment="1">
      <alignment horizontal="right" wrapText="1" readingOrder="1"/>
    </xf>
    <xf numFmtId="171" fontId="9" fillId="0" borderId="0" xfId="0" applyNumberFormat="1" applyFont="1" applyAlignment="1">
      <alignment horizontal="right" wrapText="1" readingOrder="1"/>
    </xf>
    <xf numFmtId="171" fontId="9" fillId="0" borderId="3" xfId="0" applyNumberFormat="1" applyFont="1" applyBorder="1" applyAlignment="1">
      <alignment horizontal="right" wrapText="1" readingOrder="1"/>
    </xf>
    <xf numFmtId="171" fontId="10" fillId="0" borderId="0" xfId="0" applyNumberFormat="1" applyFont="1" applyAlignment="1">
      <alignment horizontal="right" wrapText="1" readingOrder="1"/>
    </xf>
    <xf numFmtId="171" fontId="9" fillId="0" borderId="4" xfId="0" applyNumberFormat="1" applyFont="1" applyBorder="1" applyAlignment="1">
      <alignment horizontal="right" wrapText="1" readingOrder="1"/>
    </xf>
    <xf numFmtId="0" fontId="9" fillId="0" borderId="1" xfId="0" applyFont="1" applyBorder="1" applyAlignment="1">
      <alignment horizontal="left" wrapText="1" readingOrder="1"/>
    </xf>
    <xf numFmtId="0" fontId="0" fillId="2" borderId="0" xfId="0" applyFill="1"/>
    <xf numFmtId="0" fontId="4" fillId="0" borderId="0" xfId="0" applyFont="1"/>
    <xf numFmtId="0" fontId="3" fillId="2" borderId="0" xfId="0" applyFont="1" applyFill="1"/>
    <xf numFmtId="0" fontId="12" fillId="6" borderId="0" xfId="0" applyFont="1" applyFill="1"/>
    <xf numFmtId="0" fontId="12" fillId="0" borderId="0" xfId="0" applyFont="1"/>
    <xf numFmtId="0" fontId="12" fillId="6" borderId="5" xfId="0" applyFont="1" applyFill="1" applyBorder="1"/>
    <xf numFmtId="0" fontId="13" fillId="0" borderId="0" xfId="0" applyFont="1"/>
    <xf numFmtId="0" fontId="14" fillId="0" borderId="0" xfId="0" applyFont="1"/>
    <xf numFmtId="169" fontId="14" fillId="0" borderId="0" xfId="0" applyNumberFormat="1" applyFont="1"/>
    <xf numFmtId="169" fontId="12" fillId="0" borderId="0" xfId="0" applyNumberFormat="1" applyFont="1"/>
    <xf numFmtId="168" fontId="12" fillId="0" borderId="0" xfId="0" applyNumberFormat="1" applyFont="1"/>
    <xf numFmtId="167" fontId="15" fillId="0" borderId="0" xfId="1" applyNumberFormat="1" applyFont="1"/>
    <xf numFmtId="172" fontId="12" fillId="0" borderId="5" xfId="0" applyNumberFormat="1" applyFont="1" applyBorder="1"/>
    <xf numFmtId="168" fontId="14" fillId="0" borderId="0" xfId="0" applyNumberFormat="1" applyFont="1"/>
    <xf numFmtId="168" fontId="12" fillId="0" borderId="5" xfId="0" applyNumberFormat="1" applyFont="1" applyBorder="1"/>
    <xf numFmtId="172" fontId="12" fillId="0" borderId="0" xfId="0" applyNumberFormat="1" applyFont="1"/>
    <xf numFmtId="0" fontId="15" fillId="0" borderId="0" xfId="0" applyFont="1"/>
    <xf numFmtId="0" fontId="14" fillId="0" borderId="5" xfId="0" applyFont="1" applyBorder="1"/>
    <xf numFmtId="168" fontId="14" fillId="0" borderId="5" xfId="0" applyNumberFormat="1" applyFont="1" applyBorder="1"/>
    <xf numFmtId="0" fontId="12" fillId="0" borderId="5" xfId="0" applyFont="1" applyBorder="1"/>
    <xf numFmtId="0" fontId="12" fillId="0" borderId="0" xfId="0" applyFont="1" applyAlignment="1">
      <alignment horizontal="left"/>
    </xf>
    <xf numFmtId="167" fontId="17" fillId="0" borderId="0" xfId="1" applyNumberFormat="1" applyFont="1" applyFill="1"/>
    <xf numFmtId="167" fontId="17" fillId="0" borderId="0" xfId="1" applyNumberFormat="1" applyFont="1"/>
    <xf numFmtId="168" fontId="11" fillId="0" borderId="0" xfId="0" applyNumberFormat="1" applyFont="1"/>
    <xf numFmtId="0" fontId="11" fillId="0" borderId="0" xfId="0" applyFont="1"/>
    <xf numFmtId="165" fontId="12" fillId="7" borderId="0" xfId="0" applyNumberFormat="1" applyFont="1" applyFill="1"/>
    <xf numFmtId="167" fontId="12" fillId="7" borderId="0" xfId="1" applyNumberFormat="1" applyFont="1" applyFill="1"/>
    <xf numFmtId="167" fontId="12" fillId="7" borderId="5" xfId="1" applyNumberFormat="1" applyFont="1" applyFill="1" applyBorder="1"/>
    <xf numFmtId="172" fontId="11" fillId="0" borderId="0" xfId="0" applyNumberFormat="1" applyFont="1"/>
    <xf numFmtId="168" fontId="16" fillId="5" borderId="1" xfId="0" applyNumberFormat="1" applyFont="1" applyFill="1" applyBorder="1" applyAlignment="1">
      <alignment horizontal="right" wrapText="1" readingOrder="1"/>
    </xf>
    <xf numFmtId="166" fontId="16" fillId="5" borderId="3" xfId="0" applyNumberFormat="1" applyFont="1" applyFill="1" applyBorder="1" applyAlignment="1">
      <alignment horizontal="right" wrapText="1" readingOrder="1"/>
    </xf>
    <xf numFmtId="166" fontId="16" fillId="5" borderId="0" xfId="0" applyNumberFormat="1" applyFont="1" applyFill="1" applyAlignment="1">
      <alignment horizontal="right" wrapText="1" readingOrder="1"/>
    </xf>
    <xf numFmtId="169" fontId="12" fillId="0" borderId="5" xfId="0" applyNumberFormat="1" applyFont="1" applyBorder="1"/>
    <xf numFmtId="168" fontId="16" fillId="5" borderId="0" xfId="0" applyNumberFormat="1" applyFont="1" applyFill="1"/>
    <xf numFmtId="169" fontId="16" fillId="5" borderId="0" xfId="0" applyNumberFormat="1" applyFont="1" applyFill="1"/>
    <xf numFmtId="172" fontId="16" fillId="5" borderId="5" xfId="0" applyNumberFormat="1" applyFont="1" applyFill="1" applyBorder="1"/>
    <xf numFmtId="172" fontId="16" fillId="5" borderId="0" xfId="0" applyNumberFormat="1" applyFont="1" applyFill="1"/>
    <xf numFmtId="0" fontId="18" fillId="0" borderId="0" xfId="0" applyFont="1"/>
    <xf numFmtId="0" fontId="19" fillId="0" borderId="0" xfId="0" applyFont="1" applyAlignment="1">
      <alignment horizontal="center"/>
    </xf>
    <xf numFmtId="164" fontId="18" fillId="0" borderId="0" xfId="0" applyNumberFormat="1" applyFont="1"/>
    <xf numFmtId="0" fontId="18" fillId="0" borderId="8" xfId="0" applyFont="1" applyBorder="1"/>
    <xf numFmtId="0" fontId="18" fillId="0" borderId="9" xfId="0" applyFont="1" applyBorder="1"/>
    <xf numFmtId="164" fontId="18" fillId="0" borderId="10" xfId="2" applyFont="1" applyBorder="1"/>
    <xf numFmtId="164" fontId="18" fillId="0" borderId="11" xfId="2" applyFont="1" applyBorder="1"/>
    <xf numFmtId="164" fontId="18" fillId="0" borderId="12" xfId="2" applyFont="1" applyBorder="1"/>
    <xf numFmtId="164" fontId="18" fillId="0" borderId="13" xfId="2" applyFont="1" applyBorder="1"/>
    <xf numFmtId="0" fontId="18" fillId="0" borderId="14" xfId="3" applyFont="1" applyBorder="1" applyAlignment="1">
      <alignment horizontal="left"/>
    </xf>
    <xf numFmtId="10" fontId="20" fillId="8" borderId="0" xfId="4" applyNumberFormat="1" applyFont="1" applyFill="1" applyAlignment="1">
      <alignment horizontal="center"/>
    </xf>
    <xf numFmtId="10" fontId="20" fillId="2" borderId="15" xfId="4" applyNumberFormat="1" applyFont="1" applyFill="1" applyBorder="1" applyAlignment="1">
      <alignment horizontal="center"/>
    </xf>
    <xf numFmtId="10" fontId="20" fillId="9" borderId="0" xfId="4" applyNumberFormat="1" applyFont="1" applyFill="1" applyAlignment="1">
      <alignment horizontal="center"/>
    </xf>
    <xf numFmtId="173" fontId="21" fillId="10" borderId="0" xfId="2" applyNumberFormat="1" applyFont="1" applyFill="1" applyBorder="1"/>
    <xf numFmtId="173" fontId="22" fillId="10" borderId="8" xfId="2" applyNumberFormat="1" applyFont="1" applyFill="1" applyBorder="1"/>
    <xf numFmtId="173" fontId="22" fillId="10" borderId="0" xfId="2" applyNumberFormat="1" applyFont="1" applyFill="1" applyBorder="1"/>
    <xf numFmtId="173" fontId="21" fillId="10" borderId="9" xfId="2" applyNumberFormat="1" applyFont="1" applyFill="1" applyBorder="1"/>
    <xf numFmtId="0" fontId="23" fillId="10" borderId="17" xfId="3" applyFont="1" applyFill="1" applyBorder="1" applyAlignment="1">
      <alignment horizontal="left" indent="1"/>
    </xf>
    <xf numFmtId="164" fontId="21" fillId="0" borderId="16" xfId="5" applyFont="1" applyBorder="1"/>
    <xf numFmtId="164" fontId="21" fillId="0" borderId="0" xfId="5" applyFont="1" applyBorder="1"/>
    <xf numFmtId="164" fontId="21" fillId="0" borderId="8" xfId="5" applyFont="1" applyBorder="1"/>
    <xf numFmtId="164" fontId="21" fillId="0" borderId="9" xfId="5" applyFont="1" applyBorder="1"/>
    <xf numFmtId="164" fontId="24" fillId="0" borderId="9" xfId="5" applyFont="1" applyBorder="1"/>
    <xf numFmtId="164" fontId="24" fillId="0" borderId="0" xfId="5" applyFont="1" applyBorder="1"/>
    <xf numFmtId="0" fontId="18" fillId="0" borderId="17" xfId="3" applyFont="1" applyBorder="1" applyAlignment="1">
      <alignment horizontal="left"/>
    </xf>
    <xf numFmtId="173" fontId="21" fillId="0" borderId="16" xfId="5" applyNumberFormat="1" applyFont="1" applyBorder="1"/>
    <xf numFmtId="173" fontId="21" fillId="0" borderId="0" xfId="5" applyNumberFormat="1" applyFont="1" applyBorder="1"/>
    <xf numFmtId="173" fontId="21" fillId="0" borderId="8" xfId="5" applyNumberFormat="1" applyFont="1" applyBorder="1"/>
    <xf numFmtId="173" fontId="21" fillId="0" borderId="9" xfId="5" applyNumberFormat="1" applyFont="1" applyBorder="1"/>
    <xf numFmtId="173" fontId="24" fillId="0" borderId="9" xfId="5" applyNumberFormat="1" applyFont="1" applyBorder="1"/>
    <xf numFmtId="173" fontId="24" fillId="0" borderId="0" xfId="5" applyNumberFormat="1" applyFont="1" applyBorder="1"/>
    <xf numFmtId="164" fontId="25" fillId="11" borderId="18" xfId="5" applyFont="1" applyFill="1" applyBorder="1"/>
    <xf numFmtId="164" fontId="25" fillId="11" borderId="19" xfId="5" applyFont="1" applyFill="1" applyBorder="1"/>
    <xf numFmtId="164" fontId="25" fillId="11" borderId="20" xfId="5" applyFont="1" applyFill="1" applyBorder="1"/>
    <xf numFmtId="164" fontId="25" fillId="11" borderId="21" xfId="5" applyFont="1" applyFill="1" applyBorder="1"/>
    <xf numFmtId="0" fontId="25" fillId="11" borderId="22" xfId="3" applyFont="1" applyFill="1" applyBorder="1"/>
    <xf numFmtId="167" fontId="21" fillId="10" borderId="10" xfId="4" applyNumberFormat="1" applyFont="1" applyFill="1" applyBorder="1"/>
    <xf numFmtId="167" fontId="21" fillId="10" borderId="11" xfId="4" applyNumberFormat="1" applyFont="1" applyFill="1" applyBorder="1"/>
    <xf numFmtId="167" fontId="22" fillId="10" borderId="12" xfId="4" applyNumberFormat="1" applyFont="1" applyFill="1" applyBorder="1"/>
    <xf numFmtId="167" fontId="22" fillId="10" borderId="11" xfId="4" applyNumberFormat="1" applyFont="1" applyFill="1" applyBorder="1"/>
    <xf numFmtId="167" fontId="21" fillId="10" borderId="13" xfId="4" applyNumberFormat="1" applyFont="1" applyFill="1" applyBorder="1"/>
    <xf numFmtId="0" fontId="23" fillId="10" borderId="14" xfId="3" applyFont="1" applyFill="1" applyBorder="1" applyAlignment="1">
      <alignment horizontal="left" indent="1"/>
    </xf>
    <xf numFmtId="167" fontId="21" fillId="10" borderId="16" xfId="4" applyNumberFormat="1" applyFont="1" applyFill="1" applyBorder="1"/>
    <xf numFmtId="167" fontId="21" fillId="10" borderId="0" xfId="4" applyNumberFormat="1" applyFont="1" applyFill="1" applyBorder="1"/>
    <xf numFmtId="167" fontId="22" fillId="10" borderId="8" xfId="4" applyNumberFormat="1" applyFont="1" applyFill="1" applyBorder="1"/>
    <xf numFmtId="167" fontId="22" fillId="10" borderId="0" xfId="4" applyNumberFormat="1" applyFont="1" applyFill="1" applyBorder="1"/>
    <xf numFmtId="167" fontId="21" fillId="10" borderId="9" xfId="4" applyNumberFormat="1" applyFont="1" applyFill="1" applyBorder="1"/>
    <xf numFmtId="164" fontId="25" fillId="12" borderId="18" xfId="5" applyFont="1" applyFill="1" applyBorder="1"/>
    <xf numFmtId="164" fontId="25" fillId="12" borderId="19" xfId="5" applyFont="1" applyFill="1" applyBorder="1"/>
    <xf numFmtId="164" fontId="25" fillId="12" borderId="20" xfId="5" applyFont="1" applyFill="1" applyBorder="1"/>
    <xf numFmtId="164" fontId="25" fillId="12" borderId="21" xfId="5" applyFont="1" applyFill="1" applyBorder="1"/>
    <xf numFmtId="0" fontId="25" fillId="12" borderId="22" xfId="3" applyFont="1" applyFill="1" applyBorder="1"/>
    <xf numFmtId="10" fontId="22" fillId="0" borderId="0" xfId="4" applyNumberFormat="1" applyFont="1" applyFill="1" applyBorder="1"/>
    <xf numFmtId="10" fontId="22" fillId="0" borderId="8" xfId="4" applyNumberFormat="1" applyFont="1" applyFill="1" applyBorder="1"/>
    <xf numFmtId="10" fontId="22" fillId="0" borderId="9" xfId="4" applyNumberFormat="1" applyFont="1" applyFill="1" applyBorder="1"/>
    <xf numFmtId="173" fontId="21" fillId="0" borderId="0" xfId="2" applyNumberFormat="1" applyFont="1" applyFill="1" applyBorder="1"/>
    <xf numFmtId="167" fontId="21" fillId="10" borderId="12" xfId="4" applyNumberFormat="1" applyFont="1" applyFill="1" applyBorder="1"/>
    <xf numFmtId="173" fontId="26" fillId="0" borderId="16" xfId="2" applyNumberFormat="1" applyFont="1" applyBorder="1" applyAlignment="1">
      <alignment horizontal="right"/>
    </xf>
    <xf numFmtId="173" fontId="26" fillId="0" borderId="0" xfId="2" applyNumberFormat="1" applyFont="1" applyBorder="1" applyAlignment="1">
      <alignment horizontal="right"/>
    </xf>
    <xf numFmtId="173" fontId="26" fillId="0" borderId="8" xfId="2" applyNumberFormat="1" applyFont="1" applyBorder="1" applyAlignment="1">
      <alignment horizontal="right"/>
    </xf>
    <xf numFmtId="173" fontId="26" fillId="0" borderId="9" xfId="2" applyNumberFormat="1" applyFont="1" applyBorder="1" applyAlignment="1">
      <alignment horizontal="right"/>
    </xf>
    <xf numFmtId="164" fontId="18" fillId="0" borderId="16" xfId="2" applyFont="1" applyBorder="1"/>
    <xf numFmtId="164" fontId="18" fillId="0" borderId="0" xfId="2" applyFont="1" applyBorder="1"/>
    <xf numFmtId="173" fontId="24" fillId="0" borderId="0" xfId="2" applyNumberFormat="1" applyFont="1" applyBorder="1" applyAlignment="1">
      <alignment horizontal="right"/>
    </xf>
    <xf numFmtId="167" fontId="21" fillId="10" borderId="8" xfId="4" applyNumberFormat="1" applyFont="1" applyFill="1" applyBorder="1"/>
    <xf numFmtId="173" fontId="25" fillId="0" borderId="16" xfId="2" applyNumberFormat="1" applyFont="1" applyBorder="1"/>
    <xf numFmtId="173" fontId="25" fillId="0" borderId="0" xfId="2" applyNumberFormat="1" applyFont="1" applyBorder="1"/>
    <xf numFmtId="173" fontId="25" fillId="0" borderId="8" xfId="2" applyNumberFormat="1" applyFont="1" applyBorder="1"/>
    <xf numFmtId="173" fontId="27" fillId="0" borderId="0" xfId="2" applyNumberFormat="1" applyFont="1" applyBorder="1" applyAlignment="1">
      <alignment horizontal="right"/>
    </xf>
    <xf numFmtId="0" fontId="25" fillId="0" borderId="0" xfId="0" applyFont="1"/>
    <xf numFmtId="173" fontId="28" fillId="0" borderId="0" xfId="2" applyNumberFormat="1" applyFont="1" applyBorder="1" applyAlignment="1">
      <alignment horizontal="right"/>
    </xf>
    <xf numFmtId="173" fontId="24" fillId="0" borderId="8" xfId="2" applyNumberFormat="1" applyFont="1" applyBorder="1" applyAlignment="1">
      <alignment horizontal="right"/>
    </xf>
    <xf numFmtId="173" fontId="24" fillId="0" borderId="9" xfId="2" applyNumberFormat="1" applyFont="1" applyBorder="1" applyAlignment="1">
      <alignment horizontal="right"/>
    </xf>
    <xf numFmtId="173" fontId="21" fillId="0" borderId="8" xfId="2" applyNumberFormat="1" applyFont="1" applyFill="1" applyBorder="1"/>
    <xf numFmtId="173" fontId="21" fillId="0" borderId="9" xfId="2" applyNumberFormat="1" applyFont="1" applyFill="1" applyBorder="1"/>
    <xf numFmtId="173" fontId="25" fillId="0" borderId="0" xfId="2" applyNumberFormat="1" applyFont="1"/>
    <xf numFmtId="173" fontId="19" fillId="0" borderId="0" xfId="2" applyNumberFormat="1" applyFont="1" applyFill="1" applyAlignment="1">
      <alignment horizontal="center"/>
    </xf>
    <xf numFmtId="173" fontId="26" fillId="0" borderId="16" xfId="2" applyNumberFormat="1" applyFont="1" applyBorder="1"/>
    <xf numFmtId="173" fontId="26" fillId="0" borderId="0" xfId="2" applyNumberFormat="1" applyFont="1" applyBorder="1"/>
    <xf numFmtId="173" fontId="26" fillId="0" borderId="8" xfId="2" applyNumberFormat="1" applyFont="1" applyBorder="1"/>
    <xf numFmtId="0" fontId="18" fillId="0" borderId="0" xfId="3" applyFont="1"/>
    <xf numFmtId="0" fontId="19" fillId="0" borderId="0" xfId="3" applyFont="1" applyAlignment="1">
      <alignment horizontal="center"/>
    </xf>
    <xf numFmtId="0" fontId="25" fillId="0" borderId="0" xfId="3" applyFont="1"/>
    <xf numFmtId="173" fontId="26" fillId="0" borderId="18" xfId="5" applyNumberFormat="1" applyFont="1" applyBorder="1"/>
    <xf numFmtId="173" fontId="26" fillId="0" borderId="19" xfId="5" applyNumberFormat="1" applyFont="1" applyBorder="1"/>
    <xf numFmtId="173" fontId="26" fillId="0" borderId="20" xfId="5" applyNumberFormat="1" applyFont="1" applyBorder="1"/>
    <xf numFmtId="173" fontId="28" fillId="0" borderId="19" xfId="5" applyNumberFormat="1" applyFont="1" applyBorder="1"/>
    <xf numFmtId="174" fontId="20" fillId="8" borderId="0" xfId="3" applyNumberFormat="1" applyFont="1" applyFill="1" applyAlignment="1">
      <alignment horizontal="center"/>
    </xf>
    <xf numFmtId="174" fontId="20" fillId="2" borderId="15" xfId="3" applyNumberFormat="1" applyFont="1" applyFill="1" applyBorder="1" applyAlignment="1">
      <alignment horizontal="center"/>
    </xf>
    <xf numFmtId="175" fontId="20" fillId="9" borderId="0" xfId="3" applyNumberFormat="1" applyFont="1" applyFill="1" applyAlignment="1">
      <alignment horizontal="center"/>
    </xf>
    <xf numFmtId="176" fontId="20" fillId="8" borderId="0" xfId="3" applyNumberFormat="1" applyFont="1" applyFill="1" applyAlignment="1">
      <alignment horizontal="center"/>
    </xf>
    <xf numFmtId="176" fontId="20" fillId="8" borderId="8" xfId="3" applyNumberFormat="1" applyFont="1" applyFill="1" applyBorder="1" applyAlignment="1">
      <alignment horizontal="center"/>
    </xf>
    <xf numFmtId="176" fontId="20" fillId="2" borderId="9" xfId="3" applyNumberFormat="1" applyFont="1" applyFill="1" applyBorder="1" applyAlignment="1">
      <alignment horizontal="center"/>
    </xf>
    <xf numFmtId="176" fontId="20" fillId="2" borderId="0" xfId="3" applyNumberFormat="1" applyFont="1" applyFill="1" applyAlignment="1">
      <alignment horizontal="center"/>
    </xf>
    <xf numFmtId="176" fontId="20" fillId="2" borderId="8" xfId="3" applyNumberFormat="1" applyFont="1" applyFill="1" applyBorder="1" applyAlignment="1">
      <alignment horizontal="center"/>
    </xf>
    <xf numFmtId="177" fontId="20" fillId="9" borderId="9" xfId="0" applyNumberFormat="1" applyFont="1" applyFill="1" applyBorder="1" applyAlignment="1">
      <alignment horizontal="center"/>
    </xf>
    <xf numFmtId="177" fontId="20" fillId="9" borderId="0" xfId="0" applyNumberFormat="1" applyFont="1" applyFill="1" applyAlignment="1">
      <alignment horizontal="center"/>
    </xf>
    <xf numFmtId="0" fontId="27" fillId="0" borderId="0" xfId="3" applyFont="1" applyAlignment="1">
      <alignment horizontal="center"/>
    </xf>
    <xf numFmtId="0" fontId="25" fillId="0" borderId="0" xfId="3" applyFont="1" applyAlignment="1">
      <alignment horizontal="centerContinuous"/>
    </xf>
    <xf numFmtId="0" fontId="29" fillId="7" borderId="0" xfId="5" applyNumberFormat="1" applyFont="1" applyFill="1" applyAlignment="1">
      <alignment horizontal="centerContinuous"/>
    </xf>
    <xf numFmtId="0" fontId="30" fillId="7" borderId="0" xfId="5" applyNumberFormat="1" applyFont="1" applyFill="1" applyBorder="1" applyAlignment="1">
      <alignment horizontal="centerContinuous"/>
    </xf>
    <xf numFmtId="0" fontId="24" fillId="0" borderId="0" xfId="5" applyNumberFormat="1" applyFont="1" applyFill="1" applyBorder="1" applyAlignment="1">
      <alignment horizontal="centerContinuous"/>
    </xf>
    <xf numFmtId="0" fontId="24" fillId="0" borderId="0" xfId="5" applyNumberFormat="1" applyFont="1" applyFill="1" applyAlignment="1">
      <alignment horizontal="centerContinuous"/>
    </xf>
    <xf numFmtId="0" fontId="27" fillId="0" borderId="8" xfId="5" applyNumberFormat="1" applyFont="1" applyFill="1" applyBorder="1" applyAlignment="1">
      <alignment horizontal="centerContinuous"/>
    </xf>
    <xf numFmtId="164" fontId="31" fillId="0" borderId="9" xfId="5" applyFont="1" applyFill="1" applyBorder="1" applyAlignment="1">
      <alignment horizontal="centerContinuous"/>
    </xf>
    <xf numFmtId="164" fontId="31" fillId="0" borderId="0" xfId="5" applyFont="1" applyFill="1" applyBorder="1" applyAlignment="1">
      <alignment horizontal="centerContinuous"/>
    </xf>
    <xf numFmtId="164" fontId="32" fillId="0" borderId="0" xfId="5" applyFont="1" applyFill="1" applyBorder="1" applyAlignment="1">
      <alignment horizontal="centerContinuous"/>
    </xf>
    <xf numFmtId="0" fontId="33" fillId="0" borderId="0" xfId="0" applyFont="1"/>
    <xf numFmtId="164" fontId="0" fillId="0" borderId="0" xfId="0" applyNumberFormat="1"/>
    <xf numFmtId="10" fontId="15" fillId="0" borderId="0" xfId="1" applyNumberFormat="1" applyFont="1" applyFill="1"/>
    <xf numFmtId="10" fontId="15" fillId="0" borderId="23" xfId="1" applyNumberFormat="1" applyFont="1" applyFill="1" applyBorder="1"/>
    <xf numFmtId="10" fontId="15" fillId="0" borderId="24" xfId="1" applyNumberFormat="1" applyFont="1" applyBorder="1"/>
    <xf numFmtId="0" fontId="15" fillId="0" borderId="0" xfId="0" applyFont="1" applyAlignment="1">
      <alignment horizontal="left" vertical="top" indent="1"/>
    </xf>
    <xf numFmtId="164" fontId="15" fillId="0" borderId="0" xfId="0" applyNumberFormat="1" applyFont="1"/>
    <xf numFmtId="164" fontId="15" fillId="0" borderId="23" xfId="0" applyNumberFormat="1" applyFont="1" applyBorder="1"/>
    <xf numFmtId="164" fontId="15" fillId="0" borderId="24" xfId="2" applyFont="1" applyBorder="1" applyAlignment="1">
      <alignment horizontal="left" vertical="top" indent="1"/>
    </xf>
    <xf numFmtId="178" fontId="12" fillId="0" borderId="0" xfId="2" applyNumberFormat="1" applyFont="1" applyFill="1" applyBorder="1" applyAlignment="1">
      <alignment horizontal="right"/>
    </xf>
    <xf numFmtId="178" fontId="12" fillId="0" borderId="23" xfId="2" applyNumberFormat="1" applyFont="1" applyFill="1" applyBorder="1" applyAlignment="1">
      <alignment horizontal="right"/>
    </xf>
    <xf numFmtId="178" fontId="12" fillId="0" borderId="25" xfId="2" applyNumberFormat="1" applyFont="1" applyFill="1" applyBorder="1" applyAlignment="1">
      <alignment horizontal="right"/>
    </xf>
    <xf numFmtId="0" fontId="12" fillId="0" borderId="26" xfId="0" applyFont="1" applyBorder="1" applyAlignment="1">
      <alignment horizontal="left" vertical="top" indent="1"/>
    </xf>
    <xf numFmtId="178" fontId="34" fillId="5" borderId="0" xfId="2" applyNumberFormat="1" applyFont="1" applyFill="1" applyAlignment="1">
      <alignment horizontal="center"/>
    </xf>
    <xf numFmtId="178" fontId="14" fillId="11" borderId="27" xfId="2" applyNumberFormat="1" applyFont="1" applyFill="1" applyBorder="1" applyAlignment="1">
      <alignment horizontal="right"/>
    </xf>
    <xf numFmtId="178" fontId="14" fillId="11" borderId="28" xfId="2" applyNumberFormat="1" applyFont="1" applyFill="1" applyBorder="1" applyAlignment="1">
      <alignment horizontal="right"/>
    </xf>
    <xf numFmtId="178" fontId="14" fillId="11" borderId="29" xfId="6" applyNumberFormat="1" applyFont="1" applyFill="1" applyBorder="1" applyAlignment="1">
      <alignment horizontal="right"/>
    </xf>
    <xf numFmtId="0" fontId="14" fillId="11" borderId="27" xfId="6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10" fontId="15" fillId="0" borderId="0" xfId="1" applyNumberFormat="1" applyFont="1"/>
    <xf numFmtId="10" fontId="15" fillId="0" borderId="23" xfId="1" applyNumberFormat="1" applyFont="1" applyBorder="1"/>
    <xf numFmtId="0" fontId="12" fillId="0" borderId="0" xfId="0" applyFont="1" applyAlignment="1">
      <alignment horizontal="left" vertical="top" indent="1"/>
    </xf>
    <xf numFmtId="173" fontId="12" fillId="0" borderId="0" xfId="2" applyNumberFormat="1" applyFont="1" applyFill="1" applyBorder="1" applyAlignment="1">
      <alignment horizontal="right"/>
    </xf>
    <xf numFmtId="173" fontId="12" fillId="0" borderId="23" xfId="2" applyNumberFormat="1" applyFont="1" applyFill="1" applyBorder="1" applyAlignment="1">
      <alignment horizontal="right"/>
    </xf>
    <xf numFmtId="173" fontId="12" fillId="0" borderId="24" xfId="2" applyNumberFormat="1" applyFont="1" applyBorder="1" applyAlignment="1">
      <alignment vertical="top"/>
    </xf>
    <xf numFmtId="0" fontId="12" fillId="0" borderId="0" xfId="0" applyFont="1" applyAlignment="1">
      <alignment vertical="top"/>
    </xf>
    <xf numFmtId="167" fontId="34" fillId="5" borderId="0" xfId="0" applyNumberFormat="1" applyFont="1" applyFill="1" applyAlignment="1">
      <alignment horizontal="center"/>
    </xf>
    <xf numFmtId="173" fontId="14" fillId="13" borderId="27" xfId="2" applyNumberFormat="1" applyFont="1" applyFill="1" applyBorder="1" applyAlignment="1">
      <alignment horizontal="right"/>
    </xf>
    <xf numFmtId="173" fontId="14" fillId="13" borderId="28" xfId="2" applyNumberFormat="1" applyFont="1" applyFill="1" applyBorder="1" applyAlignment="1">
      <alignment horizontal="right"/>
    </xf>
    <xf numFmtId="173" fontId="14" fillId="13" borderId="29" xfId="2" applyNumberFormat="1" applyFont="1" applyFill="1" applyBorder="1" applyAlignment="1">
      <alignment horizontal="left"/>
    </xf>
    <xf numFmtId="0" fontId="14" fillId="13" borderId="27" xfId="6" applyFont="1" applyFill="1" applyBorder="1" applyAlignment="1">
      <alignment horizontal="left"/>
    </xf>
    <xf numFmtId="173" fontId="12" fillId="0" borderId="0" xfId="2" applyNumberFormat="1" applyFont="1"/>
    <xf numFmtId="173" fontId="12" fillId="0" borderId="23" xfId="2" applyNumberFormat="1" applyFont="1" applyBorder="1"/>
    <xf numFmtId="1" fontId="34" fillId="5" borderId="0" xfId="2" applyNumberFormat="1" applyFont="1" applyFill="1" applyAlignment="1">
      <alignment horizontal="center"/>
    </xf>
    <xf numFmtId="179" fontId="12" fillId="0" borderId="30" xfId="0" applyNumberFormat="1" applyFont="1" applyBorder="1" applyAlignment="1">
      <alignment horizontal="center"/>
    </xf>
    <xf numFmtId="179" fontId="12" fillId="0" borderId="31" xfId="0" applyNumberFormat="1" applyFont="1" applyBorder="1" applyAlignment="1">
      <alignment horizontal="center"/>
    </xf>
    <xf numFmtId="180" fontId="12" fillId="0" borderId="32" xfId="0" applyNumberFormat="1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4" fillId="0" borderId="33" xfId="0" applyFont="1" applyBorder="1" applyAlignment="1">
      <alignment horizontal="centerContinuous"/>
    </xf>
    <xf numFmtId="0" fontId="14" fillId="0" borderId="34" xfId="0" applyFont="1" applyBorder="1" applyAlignment="1">
      <alignment horizontal="centerContinuous"/>
    </xf>
    <xf numFmtId="0" fontId="14" fillId="0" borderId="35" xfId="0" applyFont="1" applyBorder="1"/>
    <xf numFmtId="0" fontId="0" fillId="0" borderId="23" xfId="0" applyBorder="1"/>
    <xf numFmtId="0" fontId="0" fillId="0" borderId="24" xfId="0" applyBorder="1"/>
    <xf numFmtId="173" fontId="15" fillId="0" borderId="0" xfId="2" applyNumberFormat="1" applyFont="1"/>
    <xf numFmtId="173" fontId="15" fillId="0" borderId="23" xfId="2" applyNumberFormat="1" applyFont="1" applyBorder="1"/>
    <xf numFmtId="0" fontId="15" fillId="0" borderId="24" xfId="0" applyFont="1" applyBorder="1" applyAlignment="1">
      <alignment vertical="top"/>
    </xf>
    <xf numFmtId="164" fontId="33" fillId="0" borderId="0" xfId="0" applyNumberFormat="1" applyFont="1"/>
    <xf numFmtId="0" fontId="14" fillId="13" borderId="29" xfId="6" applyFont="1" applyFill="1" applyBorder="1" applyAlignment="1">
      <alignment horizontal="left"/>
    </xf>
    <xf numFmtId="173" fontId="15" fillId="0" borderId="23" xfId="0" applyNumberFormat="1" applyFont="1" applyBorder="1"/>
    <xf numFmtId="0" fontId="15" fillId="0" borderId="0" xfId="0" applyFont="1" applyAlignment="1">
      <alignment vertical="top"/>
    </xf>
    <xf numFmtId="167" fontId="4" fillId="11" borderId="36" xfId="1" applyNumberFormat="1" applyFont="1" applyFill="1" applyBorder="1"/>
    <xf numFmtId="0" fontId="12" fillId="0" borderId="24" xfId="0" applyFont="1" applyBorder="1" applyAlignment="1">
      <alignment vertical="top"/>
    </xf>
    <xf numFmtId="173" fontId="14" fillId="13" borderId="29" xfId="2" applyNumberFormat="1" applyFont="1" applyFill="1" applyBorder="1" applyAlignment="1">
      <alignment horizontal="right"/>
    </xf>
    <xf numFmtId="173" fontId="12" fillId="0" borderId="0" xfId="2" applyNumberFormat="1" applyFont="1" applyBorder="1" applyAlignment="1">
      <alignment horizontal="right" vertical="top"/>
    </xf>
    <xf numFmtId="173" fontId="12" fillId="0" borderId="23" xfId="2" applyNumberFormat="1" applyFont="1" applyBorder="1" applyAlignment="1">
      <alignment horizontal="right" vertical="top"/>
    </xf>
    <xf numFmtId="173" fontId="12" fillId="0" borderId="24" xfId="2" applyNumberFormat="1" applyFont="1" applyBorder="1" applyAlignment="1">
      <alignment horizontal="right" vertical="top"/>
    </xf>
    <xf numFmtId="10" fontId="34" fillId="5" borderId="0" xfId="1" applyNumberFormat="1" applyFont="1" applyFill="1" applyAlignment="1">
      <alignment horizontal="center"/>
    </xf>
    <xf numFmtId="0" fontId="12" fillId="0" borderId="0" xfId="0" quotePrefix="1" applyFont="1" applyAlignment="1">
      <alignment horizontal="left" vertical="top"/>
    </xf>
    <xf numFmtId="173" fontId="12" fillId="0" borderId="0" xfId="2" applyNumberFormat="1" applyFont="1" applyFill="1" applyBorder="1" applyAlignment="1">
      <alignment horizontal="center" vertical="top"/>
    </xf>
    <xf numFmtId="173" fontId="12" fillId="0" borderId="0" xfId="2" applyNumberFormat="1" applyFont="1" applyBorder="1" applyAlignment="1">
      <alignment horizontal="center" vertical="top"/>
    </xf>
    <xf numFmtId="173" fontId="12" fillId="0" borderId="23" xfId="2" applyNumberFormat="1" applyFont="1" applyBorder="1" applyAlignment="1">
      <alignment horizontal="center" vertical="top"/>
    </xf>
    <xf numFmtId="167" fontId="15" fillId="0" borderId="0" xfId="1" applyNumberFormat="1" applyFont="1" applyBorder="1" applyAlignment="1">
      <alignment horizontal="right"/>
    </xf>
    <xf numFmtId="167" fontId="15" fillId="0" borderId="23" xfId="1" applyNumberFormat="1" applyFont="1" applyBorder="1" applyAlignment="1">
      <alignment horizontal="right"/>
    </xf>
    <xf numFmtId="167" fontId="15" fillId="0" borderId="24" xfId="1" applyNumberFormat="1" applyFont="1" applyBorder="1" applyAlignment="1">
      <alignment horizontal="right"/>
    </xf>
    <xf numFmtId="0" fontId="15" fillId="0" borderId="0" xfId="0" applyFont="1" applyAlignment="1">
      <alignment horizontal="left" indent="1"/>
    </xf>
    <xf numFmtId="173" fontId="14" fillId="0" borderId="0" xfId="2" applyNumberFormat="1" applyFont="1" applyBorder="1" applyAlignment="1">
      <alignment horizontal="center"/>
    </xf>
    <xf numFmtId="173" fontId="14" fillId="0" borderId="23" xfId="2" applyNumberFormat="1" applyFont="1" applyBorder="1" applyAlignment="1">
      <alignment horizontal="center"/>
    </xf>
    <xf numFmtId="173" fontId="14" fillId="0" borderId="24" xfId="2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36" fillId="0" borderId="0" xfId="0" applyFont="1" applyAlignment="1">
      <alignment horizontal="left" vertical="center" indent="1"/>
    </xf>
    <xf numFmtId="0" fontId="4" fillId="5" borderId="37" xfId="0" applyFont="1" applyFill="1" applyBorder="1" applyAlignment="1">
      <alignment horizontal="center"/>
    </xf>
    <xf numFmtId="173" fontId="14" fillId="0" borderId="24" xfId="2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14" fillId="0" borderId="33" xfId="0" applyFont="1" applyBorder="1" applyAlignment="1">
      <alignment horizontal="centerContinuous"/>
    </xf>
    <xf numFmtId="0" fontId="14" fillId="0" borderId="33" xfId="0" applyFont="1" applyBorder="1"/>
    <xf numFmtId="0" fontId="0" fillId="7" borderId="0" xfId="0" applyFill="1"/>
    <xf numFmtId="0" fontId="39" fillId="2" borderId="0" xfId="0" applyFont="1" applyFill="1"/>
    <xf numFmtId="0" fontId="40" fillId="7" borderId="0" xfId="0" applyFont="1" applyFill="1" applyAlignment="1">
      <alignment horizontal="left" wrapText="1" readingOrder="1"/>
    </xf>
    <xf numFmtId="4" fontId="40" fillId="7" borderId="0" xfId="0" applyNumberFormat="1" applyFont="1" applyFill="1" applyAlignment="1">
      <alignment horizontal="right" wrapText="1" readingOrder="1"/>
    </xf>
    <xf numFmtId="9" fontId="40" fillId="7" borderId="0" xfId="0" applyNumberFormat="1" applyFont="1" applyFill="1" applyAlignment="1">
      <alignment horizontal="center" wrapText="1" readingOrder="1"/>
    </xf>
    <xf numFmtId="0" fontId="5" fillId="7" borderId="0" xfId="0" applyFont="1" applyFill="1" applyAlignment="1">
      <alignment wrapText="1"/>
    </xf>
    <xf numFmtId="0" fontId="41" fillId="7" borderId="0" xfId="0" applyFont="1" applyFill="1" applyAlignment="1">
      <alignment horizontal="left" wrapText="1" readingOrder="1"/>
    </xf>
    <xf numFmtId="4" fontId="41" fillId="7" borderId="0" xfId="0" applyNumberFormat="1" applyFont="1" applyFill="1" applyAlignment="1">
      <alignment horizontal="right" wrapText="1" readingOrder="1"/>
    </xf>
    <xf numFmtId="177" fontId="20" fillId="9" borderId="38" xfId="0" applyNumberFormat="1" applyFont="1" applyFill="1" applyBorder="1" applyAlignment="1">
      <alignment horizontal="center"/>
    </xf>
    <xf numFmtId="0" fontId="25" fillId="0" borderId="22" xfId="3" applyFont="1" applyBorder="1"/>
    <xf numFmtId="173" fontId="28" fillId="0" borderId="20" xfId="5" applyNumberFormat="1" applyFont="1" applyBorder="1"/>
    <xf numFmtId="173" fontId="28" fillId="0" borderId="21" xfId="5" applyNumberFormat="1" applyFont="1" applyBorder="1"/>
    <xf numFmtId="167" fontId="22" fillId="5" borderId="0" xfId="4" applyNumberFormat="1" applyFont="1" applyFill="1" applyBorder="1"/>
    <xf numFmtId="173" fontId="27" fillId="0" borderId="8" xfId="2" applyNumberFormat="1" applyFont="1" applyBorder="1" applyAlignment="1">
      <alignment horizontal="right"/>
    </xf>
    <xf numFmtId="173" fontId="27" fillId="0" borderId="9" xfId="2" applyNumberFormat="1" applyFont="1" applyBorder="1" applyAlignment="1">
      <alignment horizontal="right"/>
    </xf>
    <xf numFmtId="0" fontId="25" fillId="0" borderId="17" xfId="3" applyFont="1" applyBorder="1"/>
    <xf numFmtId="173" fontId="19" fillId="0" borderId="0" xfId="2" applyNumberFormat="1" applyFont="1" applyFill="1" applyBorder="1" applyAlignment="1">
      <alignment horizontal="center"/>
    </xf>
    <xf numFmtId="173" fontId="28" fillId="0" borderId="8" xfId="2" applyNumberFormat="1" applyFont="1" applyBorder="1" applyAlignment="1">
      <alignment horizontal="right"/>
    </xf>
    <xf numFmtId="173" fontId="28" fillId="0" borderId="9" xfId="2" applyNumberFormat="1" applyFont="1" applyBorder="1" applyAlignment="1">
      <alignment horizontal="right"/>
    </xf>
    <xf numFmtId="0" fontId="18" fillId="0" borderId="17" xfId="3" applyFont="1" applyBorder="1"/>
    <xf numFmtId="164" fontId="18" fillId="0" borderId="8" xfId="0" applyNumberFormat="1" applyFont="1" applyBorder="1"/>
    <xf numFmtId="0" fontId="18" fillId="0" borderId="9" xfId="3" applyFont="1" applyBorder="1" applyAlignment="1">
      <alignment horizontal="left" indent="2"/>
    </xf>
    <xf numFmtId="173" fontId="24" fillId="0" borderId="8" xfId="5" applyNumberFormat="1" applyFont="1" applyBorder="1"/>
    <xf numFmtId="173" fontId="21" fillId="0" borderId="15" xfId="5" applyNumberFormat="1" applyFont="1" applyBorder="1"/>
    <xf numFmtId="167" fontId="22" fillId="5" borderId="9" xfId="4" applyNumberFormat="1" applyFont="1" applyFill="1" applyBorder="1"/>
    <xf numFmtId="167" fontId="22" fillId="5" borderId="8" xfId="4" applyNumberFormat="1" applyFont="1" applyFill="1" applyBorder="1"/>
    <xf numFmtId="167" fontId="22" fillId="10" borderId="16" xfId="4" applyNumberFormat="1" applyFont="1" applyFill="1" applyBorder="1"/>
    <xf numFmtId="164" fontId="24" fillId="0" borderId="8" xfId="5" applyFont="1" applyBorder="1"/>
    <xf numFmtId="167" fontId="22" fillId="5" borderId="11" xfId="4" applyNumberFormat="1" applyFont="1" applyFill="1" applyBorder="1"/>
    <xf numFmtId="167" fontId="22" fillId="5" borderId="13" xfId="4" applyNumberFormat="1" applyFont="1" applyFill="1" applyBorder="1"/>
    <xf numFmtId="167" fontId="22" fillId="5" borderId="12" xfId="4" applyNumberFormat="1" applyFont="1" applyFill="1" applyBorder="1"/>
    <xf numFmtId="167" fontId="22" fillId="10" borderId="10" xfId="4" applyNumberFormat="1" applyFont="1" applyFill="1" applyBorder="1"/>
    <xf numFmtId="173" fontId="21" fillId="10" borderId="8" xfId="2" applyNumberFormat="1" applyFont="1" applyFill="1" applyBorder="1"/>
    <xf numFmtId="173" fontId="22" fillId="5" borderId="0" xfId="2" applyNumberFormat="1" applyFont="1" applyFill="1" applyBorder="1"/>
    <xf numFmtId="173" fontId="22" fillId="5" borderId="9" xfId="2" applyNumberFormat="1" applyFont="1" applyFill="1" applyBorder="1"/>
    <xf numFmtId="173" fontId="22" fillId="5" borderId="8" xfId="2" applyNumberFormat="1" applyFont="1" applyFill="1" applyBorder="1"/>
    <xf numFmtId="164" fontId="21" fillId="10" borderId="0" xfId="2" applyFont="1" applyFill="1" applyBorder="1"/>
    <xf numFmtId="164" fontId="21" fillId="10" borderId="16" xfId="2" applyFont="1" applyFill="1" applyBorder="1"/>
    <xf numFmtId="164" fontId="21" fillId="0" borderId="15" xfId="5" applyFont="1" applyBorder="1"/>
    <xf numFmtId="0" fontId="18" fillId="0" borderId="12" xfId="0" applyFont="1" applyBorder="1"/>
    <xf numFmtId="2" fontId="18" fillId="0" borderId="0" xfId="0" applyNumberFormat="1" applyFont="1"/>
    <xf numFmtId="2" fontId="0" fillId="0" borderId="0" xfId="0" applyNumberFormat="1"/>
    <xf numFmtId="181" fontId="12" fillId="0" borderId="31" xfId="0" applyNumberFormat="1" applyFont="1" applyBorder="1" applyAlignment="1">
      <alignment horizontal="center"/>
    </xf>
    <xf numFmtId="181" fontId="12" fillId="0" borderId="30" xfId="0" applyNumberFormat="1" applyFont="1" applyBorder="1" applyAlignment="1">
      <alignment horizontal="center"/>
    </xf>
    <xf numFmtId="178" fontId="14" fillId="5" borderId="27" xfId="2" applyNumberFormat="1" applyFont="1" applyFill="1" applyBorder="1" applyAlignment="1">
      <alignment horizontal="right"/>
    </xf>
    <xf numFmtId="164" fontId="15" fillId="5" borderId="0" xfId="0" applyNumberFormat="1" applyFont="1" applyFill="1"/>
    <xf numFmtId="10" fontId="15" fillId="5" borderId="0" xfId="1" applyNumberFormat="1" applyFont="1" applyFill="1"/>
    <xf numFmtId="0" fontId="12" fillId="6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 wrapText="1" readingOrder="1"/>
    </xf>
    <xf numFmtId="0" fontId="18" fillId="7" borderId="0" xfId="0" applyFont="1" applyFill="1" applyAlignment="1">
      <alignment horizontal="left" vertical="top" wrapText="1"/>
    </xf>
  </cellXfs>
  <cellStyles count="7">
    <cellStyle name="Comma" xfId="2" builtinId="3"/>
    <cellStyle name="Comma 2" xfId="5" xr:uid="{00000000-0005-0000-0000-000001000000}"/>
    <cellStyle name="Normal" xfId="0" builtinId="0"/>
    <cellStyle name="Normal 2" xfId="3" xr:uid="{00000000-0005-0000-0000-000003000000}"/>
    <cellStyle name="Normal 2 3" xfId="6" xr:uid="{00000000-0005-0000-0000-000004000000}"/>
    <cellStyle name="Percent" xfId="1" builtinId="5"/>
    <cellStyle name="Percent 2" xfId="4" xr:uid="{00000000-0005-0000-0000-000006000000}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JPMorgan Chase &amp; Co">
      <a:dk1>
        <a:sysClr val="windowText" lastClr="000000"/>
      </a:dk1>
      <a:lt1>
        <a:sysClr val="window" lastClr="FFFFFF"/>
      </a:lt1>
      <a:dk2>
        <a:srgbClr val="6D6E6A"/>
      </a:dk2>
      <a:lt2>
        <a:srgbClr val="478FBF"/>
      </a:lt2>
      <a:accent1>
        <a:srgbClr val="0069A3"/>
      </a:accent1>
      <a:accent2>
        <a:srgbClr val="818A37"/>
      </a:accent2>
      <a:accent3>
        <a:srgbClr val="7DBAC4"/>
      </a:accent3>
      <a:accent4>
        <a:srgbClr val="5A5397"/>
      </a:accent4>
      <a:accent5>
        <a:srgbClr val="7E776F"/>
      </a:accent5>
      <a:accent6>
        <a:srgbClr val="AD670D"/>
      </a:accent6>
      <a:hlink>
        <a:srgbClr val="B99D30"/>
      </a:hlink>
      <a:folHlink>
        <a:srgbClr val="007C88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2:I37"/>
  <sheetViews>
    <sheetView showGridLines="0" topLeftCell="A10" zoomScaleNormal="100" workbookViewId="0">
      <selection activeCell="B2" sqref="B2:C2"/>
    </sheetView>
  </sheetViews>
  <sheetFormatPr defaultColWidth="9.109375" defaultRowHeight="13.2" x14ac:dyDescent="0.25"/>
  <cols>
    <col min="1" max="1" width="30.6640625" customWidth="1"/>
    <col min="2" max="4" width="13.33203125" customWidth="1"/>
    <col min="6" max="6" width="30.6640625" customWidth="1"/>
    <col min="7" max="9" width="13.33203125" customWidth="1"/>
  </cols>
  <sheetData>
    <row r="2" spans="1:9" x14ac:dyDescent="0.25">
      <c r="A2" s="29" t="s">
        <v>17</v>
      </c>
      <c r="B2" s="295" t="s">
        <v>118</v>
      </c>
      <c r="C2" s="296"/>
    </row>
    <row r="4" spans="1:9" x14ac:dyDescent="0.25">
      <c r="A4" s="30" t="s">
        <v>117</v>
      </c>
      <c r="B4" s="28"/>
      <c r="C4" s="28"/>
      <c r="D4" s="28"/>
      <c r="E4" s="28"/>
      <c r="F4" s="28"/>
      <c r="G4" s="28"/>
      <c r="H4" s="28"/>
      <c r="I4" s="28"/>
    </row>
    <row r="6" spans="1:9" x14ac:dyDescent="0.25">
      <c r="A6" s="31"/>
      <c r="B6" s="294" t="s">
        <v>18</v>
      </c>
      <c r="C6" s="294"/>
      <c r="D6" s="294"/>
      <c r="E6" s="32"/>
      <c r="F6" s="31"/>
      <c r="G6" s="294" t="s">
        <v>18</v>
      </c>
      <c r="H6" s="294"/>
      <c r="I6" s="294"/>
    </row>
    <row r="7" spans="1:9" x14ac:dyDescent="0.25">
      <c r="A7" s="33" t="s">
        <v>19</v>
      </c>
      <c r="B7" s="33">
        <v>2015</v>
      </c>
      <c r="C7" s="33">
        <v>2016</v>
      </c>
      <c r="D7" s="33">
        <v>2017</v>
      </c>
      <c r="E7" s="32"/>
      <c r="F7" s="33" t="s">
        <v>19</v>
      </c>
      <c r="G7" s="33">
        <v>2015</v>
      </c>
      <c r="H7" s="33">
        <v>2016</v>
      </c>
      <c r="I7" s="33">
        <v>2017</v>
      </c>
    </row>
    <row r="8" spans="1:9" x14ac:dyDescent="0.25">
      <c r="A8" s="34" t="s">
        <v>20</v>
      </c>
      <c r="B8" s="32"/>
      <c r="C8" s="32"/>
      <c r="D8" s="32"/>
      <c r="E8" s="32"/>
      <c r="F8" s="34" t="s">
        <v>21</v>
      </c>
      <c r="G8" s="32"/>
      <c r="H8" s="32"/>
      <c r="I8" s="32"/>
    </row>
    <row r="9" spans="1:9" x14ac:dyDescent="0.25">
      <c r="A9" s="35" t="s">
        <v>22</v>
      </c>
      <c r="B9" s="36">
        <v>353.12799999999999</v>
      </c>
      <c r="C9" s="36">
        <v>415.80799999999999</v>
      </c>
      <c r="D9" s="62">
        <v>480.25799999999998</v>
      </c>
      <c r="E9" s="32"/>
      <c r="F9" s="32" t="s">
        <v>23</v>
      </c>
      <c r="G9" s="37">
        <v>39.08</v>
      </c>
      <c r="H9" s="37">
        <v>48.97</v>
      </c>
      <c r="I9" s="62">
        <v>59.917999999999999</v>
      </c>
    </row>
    <row r="10" spans="1:9" x14ac:dyDescent="0.25">
      <c r="A10" s="32" t="s">
        <v>24</v>
      </c>
      <c r="B10" s="38"/>
      <c r="C10" s="39">
        <f>+C9/B9-1</f>
        <v>0.17749937699644325</v>
      </c>
      <c r="D10" s="39">
        <f>+D9/C9-1</f>
        <v>0.15499942281052781</v>
      </c>
      <c r="E10" s="32"/>
      <c r="F10" s="32" t="s">
        <v>25</v>
      </c>
      <c r="G10" s="40">
        <v>-7.9450000000000003</v>
      </c>
      <c r="H10" s="40">
        <v>-11.438000000000001</v>
      </c>
      <c r="I10" s="63">
        <v>-16.809000000000001</v>
      </c>
    </row>
    <row r="11" spans="1:9" x14ac:dyDescent="0.25">
      <c r="A11" s="32"/>
      <c r="B11" s="38"/>
      <c r="C11" s="39"/>
      <c r="D11" s="50"/>
      <c r="E11" s="32"/>
      <c r="F11" s="35" t="s">
        <v>26</v>
      </c>
      <c r="G11" s="41">
        <f>+G9+G10</f>
        <v>31.134999999999998</v>
      </c>
      <c r="H11" s="41">
        <f>+H9+H10</f>
        <v>37.531999999999996</v>
      </c>
      <c r="I11" s="41">
        <f>+I9+I10</f>
        <v>43.108999999999995</v>
      </c>
    </row>
    <row r="12" spans="1:9" x14ac:dyDescent="0.25">
      <c r="A12" s="32" t="s">
        <v>27</v>
      </c>
      <c r="B12" s="42">
        <v>188.04</v>
      </c>
      <c r="C12" s="42">
        <v>215.18</v>
      </c>
      <c r="D12" s="42">
        <f>+D9-D13</f>
        <v>242.52999999999997</v>
      </c>
      <c r="E12" s="32"/>
      <c r="F12" s="32"/>
      <c r="G12" s="38"/>
      <c r="H12" s="38"/>
      <c r="I12" s="51"/>
    </row>
    <row r="13" spans="1:9" x14ac:dyDescent="0.25">
      <c r="A13" s="35" t="s">
        <v>28</v>
      </c>
      <c r="B13" s="41">
        <f>+B9-B12</f>
        <v>165.08799999999999</v>
      </c>
      <c r="C13" s="41">
        <f>+C9-C12</f>
        <v>200.62799999999999</v>
      </c>
      <c r="D13" s="61">
        <v>237.72800000000001</v>
      </c>
      <c r="E13" s="32"/>
      <c r="F13" s="32" t="s">
        <v>29</v>
      </c>
      <c r="G13" s="43">
        <v>-20.422000000000001</v>
      </c>
      <c r="H13" s="43">
        <v>-64.988</v>
      </c>
      <c r="I13" s="64">
        <v>-43.777999999999999</v>
      </c>
    </row>
    <row r="14" spans="1:9" x14ac:dyDescent="0.25">
      <c r="A14" s="44" t="s">
        <v>30</v>
      </c>
      <c r="B14" s="39">
        <f>+B13/B9</f>
        <v>0.46750186901067037</v>
      </c>
      <c r="C14" s="39">
        <f>+C13/C9</f>
        <v>0.48250153917192545</v>
      </c>
      <c r="D14" s="39">
        <f>+D13/D9</f>
        <v>0.49500060384210159</v>
      </c>
      <c r="E14" s="32"/>
      <c r="F14" s="32"/>
      <c r="G14" s="43"/>
      <c r="H14" s="43"/>
      <c r="I14" s="56"/>
    </row>
    <row r="15" spans="1:9" x14ac:dyDescent="0.25">
      <c r="A15" s="44"/>
      <c r="B15" s="39"/>
      <c r="C15" s="39"/>
      <c r="D15" s="49"/>
      <c r="E15" s="32"/>
      <c r="F15" s="32" t="s">
        <v>31</v>
      </c>
      <c r="G15" s="43">
        <v>-2.649</v>
      </c>
      <c r="H15" s="43">
        <v>-3.1190000000000002</v>
      </c>
      <c r="I15" s="64">
        <v>-3.6019999999999999</v>
      </c>
    </row>
    <row r="16" spans="1:9" x14ac:dyDescent="0.25">
      <c r="A16" s="32" t="s">
        <v>32</v>
      </c>
      <c r="B16" s="42">
        <v>116.28700000000001</v>
      </c>
      <c r="C16" s="42">
        <v>142.613</v>
      </c>
      <c r="D16" s="42">
        <f>+D13-D17</f>
        <v>172.899</v>
      </c>
      <c r="E16" s="32"/>
      <c r="F16" s="32"/>
      <c r="G16" s="38"/>
      <c r="H16" s="38"/>
      <c r="I16" s="51"/>
    </row>
    <row r="17" spans="1:9" x14ac:dyDescent="0.25">
      <c r="A17" s="35" t="s">
        <v>33</v>
      </c>
      <c r="B17" s="41">
        <f>+B13-B16</f>
        <v>48.800999999999988</v>
      </c>
      <c r="C17" s="41">
        <f>+C13-C16</f>
        <v>58.014999999999986</v>
      </c>
      <c r="D17" s="61">
        <v>64.828999999999994</v>
      </c>
      <c r="E17" s="32"/>
      <c r="F17" s="34" t="s">
        <v>34</v>
      </c>
      <c r="G17" s="32"/>
      <c r="H17" s="32"/>
      <c r="I17" s="52"/>
    </row>
    <row r="18" spans="1:9" x14ac:dyDescent="0.25">
      <c r="A18" s="44" t="s">
        <v>35</v>
      </c>
      <c r="B18" s="39">
        <f>+B17/B9</f>
        <v>0.13819634806642347</v>
      </c>
      <c r="C18" s="39">
        <f>+C17/C9</f>
        <v>0.13952353009081112</v>
      </c>
      <c r="D18" s="39">
        <f>+D17/D9</f>
        <v>0.13498786069154495</v>
      </c>
      <c r="E18" s="32"/>
      <c r="F18" s="35" t="s">
        <v>0</v>
      </c>
      <c r="G18" s="60">
        <v>70.185000000000002</v>
      </c>
      <c r="H18" s="60">
        <v>86.28</v>
      </c>
      <c r="I18" s="60">
        <v>99.778999999999996</v>
      </c>
    </row>
    <row r="19" spans="1:9" x14ac:dyDescent="0.25">
      <c r="A19" s="32"/>
      <c r="B19" s="42"/>
      <c r="C19" s="42"/>
      <c r="D19" s="42"/>
      <c r="E19" s="32"/>
      <c r="F19" s="32"/>
      <c r="G19" s="38"/>
      <c r="H19" s="38"/>
      <c r="I19" s="51"/>
    </row>
    <row r="20" spans="1:9" x14ac:dyDescent="0.25">
      <c r="A20" s="35" t="s">
        <v>36</v>
      </c>
      <c r="B20" s="41">
        <v>27.837999999999987</v>
      </c>
      <c r="C20" s="41">
        <v>34.909999999999982</v>
      </c>
      <c r="D20" s="61">
        <v>40.752000000000002</v>
      </c>
      <c r="E20" s="32"/>
      <c r="F20" s="34" t="s">
        <v>37</v>
      </c>
      <c r="G20" s="32"/>
      <c r="H20" s="32"/>
      <c r="I20" s="52"/>
    </row>
    <row r="21" spans="1:9" x14ac:dyDescent="0.25">
      <c r="A21" s="44" t="s">
        <v>38</v>
      </c>
      <c r="B21" s="39">
        <f>+B20/B9</f>
        <v>7.8832604607960821E-2</v>
      </c>
      <c r="C21" s="39">
        <f>+C20/C9</f>
        <v>8.3957018623980265E-2</v>
      </c>
      <c r="D21" s="39">
        <f>+D20/D9</f>
        <v>8.4854390764963844E-2</v>
      </c>
      <c r="E21" s="32"/>
      <c r="F21" s="32" t="s">
        <v>39</v>
      </c>
      <c r="G21" s="53">
        <f>+B29/G18</f>
        <v>1.1184726081071454</v>
      </c>
      <c r="H21" s="53">
        <f>+C29/H18</f>
        <v>1.3444598980064906</v>
      </c>
      <c r="I21" s="53">
        <f>+D29/I18</f>
        <v>1.2627907675963881</v>
      </c>
    </row>
    <row r="22" spans="1:9" x14ac:dyDescent="0.25">
      <c r="A22" s="32"/>
      <c r="B22" s="32"/>
      <c r="C22" s="32"/>
      <c r="D22" s="52"/>
      <c r="E22" s="32"/>
      <c r="F22" s="32" t="s">
        <v>40</v>
      </c>
      <c r="G22" s="54">
        <f>+B29/(B29+B30)</f>
        <v>0.25895284089409654</v>
      </c>
      <c r="H22" s="54">
        <f>+C29/(C29+C30)</f>
        <v>0.31722331153790406</v>
      </c>
      <c r="I22" s="54">
        <f>+D29/(D29+D30)</f>
        <v>0.30300989832334524</v>
      </c>
    </row>
    <row r="23" spans="1:9" x14ac:dyDescent="0.25">
      <c r="A23" s="34" t="s">
        <v>41</v>
      </c>
      <c r="B23" s="32"/>
      <c r="C23" s="32"/>
      <c r="D23" s="52"/>
      <c r="E23" s="32"/>
      <c r="F23" s="47" t="s">
        <v>42</v>
      </c>
      <c r="G23" s="55">
        <f>+G11/B29</f>
        <v>0.39662420382165603</v>
      </c>
      <c r="H23" s="55">
        <f>+H11/C29</f>
        <v>0.32355172413793098</v>
      </c>
      <c r="I23" s="55">
        <f>+I11/D29</f>
        <v>0.34213492063492057</v>
      </c>
    </row>
    <row r="24" spans="1:9" x14ac:dyDescent="0.25">
      <c r="A24" s="32" t="s">
        <v>1</v>
      </c>
      <c r="B24" s="37">
        <v>19.824999999999999</v>
      </c>
      <c r="C24" s="37">
        <v>26.75</v>
      </c>
      <c r="D24" s="62">
        <v>32.478999999999999</v>
      </c>
      <c r="E24" s="32"/>
      <c r="F24" s="48"/>
    </row>
    <row r="25" spans="1:9" x14ac:dyDescent="0.25">
      <c r="A25" s="32" t="s">
        <v>43</v>
      </c>
      <c r="B25" s="38">
        <v>43.536000000000001</v>
      </c>
      <c r="C25" s="38">
        <v>58.384</v>
      </c>
      <c r="D25" s="61">
        <v>69.078000000000003</v>
      </c>
      <c r="E25" s="32"/>
    </row>
    <row r="26" spans="1:9" x14ac:dyDescent="0.25">
      <c r="A26" s="32" t="s">
        <v>44</v>
      </c>
      <c r="B26" s="38">
        <v>45.078000000000003</v>
      </c>
      <c r="C26" s="38">
        <v>57.332000000000001</v>
      </c>
      <c r="D26" s="61">
        <v>61.795000000000002</v>
      </c>
      <c r="E26" s="32"/>
    </row>
    <row r="27" spans="1:9" x14ac:dyDescent="0.25">
      <c r="A27" s="35" t="s">
        <v>45</v>
      </c>
      <c r="B27" s="41">
        <v>364.95699999999999</v>
      </c>
      <c r="C27" s="41">
        <v>443.30799999999999</v>
      </c>
      <c r="D27" s="41">
        <v>501.108</v>
      </c>
      <c r="E27" s="32"/>
    </row>
    <row r="28" spans="1:9" x14ac:dyDescent="0.25">
      <c r="A28" s="32" t="s">
        <v>46</v>
      </c>
      <c r="B28" s="38">
        <v>10.116</v>
      </c>
      <c r="C28" s="38">
        <v>16.448</v>
      </c>
      <c r="D28" s="61">
        <v>17.172000000000001</v>
      </c>
      <c r="E28" s="32"/>
    </row>
    <row r="29" spans="1:9" x14ac:dyDescent="0.25">
      <c r="A29" s="32" t="s">
        <v>47</v>
      </c>
      <c r="B29" s="38">
        <v>78.5</v>
      </c>
      <c r="C29" s="38">
        <v>116</v>
      </c>
      <c r="D29" s="61">
        <v>126</v>
      </c>
      <c r="E29" s="32"/>
    </row>
    <row r="30" spans="1:9" x14ac:dyDescent="0.25">
      <c r="A30" s="32" t="s">
        <v>48</v>
      </c>
      <c r="B30" s="38">
        <v>224.64400000000001</v>
      </c>
      <c r="C30" s="38">
        <v>249.673</v>
      </c>
      <c r="D30" s="61">
        <v>289.82799999999997</v>
      </c>
      <c r="E30" s="32"/>
      <c r="F30" s="32"/>
      <c r="G30" s="32"/>
      <c r="H30" s="32"/>
      <c r="I30" s="32"/>
    </row>
    <row r="31" spans="1:9" x14ac:dyDescent="0.25">
      <c r="A31" s="45" t="s">
        <v>49</v>
      </c>
      <c r="B31" s="46">
        <v>364.95699999999999</v>
      </c>
      <c r="C31" s="46">
        <v>443.30799999999999</v>
      </c>
      <c r="D31" s="46">
        <v>501.108</v>
      </c>
      <c r="E31" s="32"/>
    </row>
    <row r="32" spans="1:9" x14ac:dyDescent="0.25">
      <c r="B32" s="32"/>
      <c r="C32" s="32"/>
      <c r="D32" s="32"/>
      <c r="E32" s="32"/>
    </row>
    <row r="33" spans="5:5" x14ac:dyDescent="0.25">
      <c r="E33" s="32"/>
    </row>
    <row r="34" spans="5:5" x14ac:dyDescent="0.25">
      <c r="E34" s="32"/>
    </row>
    <row r="35" spans="5:5" x14ac:dyDescent="0.25">
      <c r="E35" s="32"/>
    </row>
    <row r="36" spans="5:5" x14ac:dyDescent="0.25">
      <c r="E36" s="32"/>
    </row>
    <row r="37" spans="5:5" x14ac:dyDescent="0.25">
      <c r="E37" s="32"/>
    </row>
  </sheetData>
  <mergeCells count="3">
    <mergeCell ref="B6:D6"/>
    <mergeCell ref="G6:I6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3:J11"/>
  <sheetViews>
    <sheetView showGridLines="0" zoomScaleNormal="100" workbookViewId="0">
      <selection activeCell="M15" sqref="M15"/>
    </sheetView>
  </sheetViews>
  <sheetFormatPr defaultColWidth="9.109375" defaultRowHeight="11.4" x14ac:dyDescent="0.2"/>
  <cols>
    <col min="1" max="1" width="3" style="1" customWidth="1"/>
    <col min="2" max="2" width="26.33203125" style="1" customWidth="1"/>
    <col min="3" max="3" width="9.109375" style="1"/>
    <col min="4" max="4" width="4.109375" style="1" customWidth="1"/>
    <col min="5" max="5" width="26.6640625" style="1" bestFit="1" customWidth="1"/>
    <col min="6" max="6" width="10" style="1" bestFit="1" customWidth="1"/>
    <col min="7" max="7" width="11.6640625" style="1" bestFit="1" customWidth="1"/>
    <col min="8" max="8" width="2.77734375" style="1" customWidth="1"/>
    <col min="9" max="9" width="10" style="1" bestFit="1" customWidth="1"/>
    <col min="10" max="10" width="11.6640625" style="1" bestFit="1" customWidth="1"/>
    <col min="11" max="16384" width="9.109375" style="1"/>
  </cols>
  <sheetData>
    <row r="3" spans="2:10" ht="12.75" customHeight="1" x14ac:dyDescent="0.25">
      <c r="B3" s="2" t="s">
        <v>2</v>
      </c>
      <c r="C3" s="2"/>
      <c r="D3" s="3"/>
      <c r="E3" s="2"/>
      <c r="F3" s="297" t="s">
        <v>9</v>
      </c>
      <c r="G3" s="297"/>
      <c r="H3" s="2"/>
      <c r="I3" s="297" t="s">
        <v>10</v>
      </c>
      <c r="J3" s="297"/>
    </row>
    <row r="4" spans="2:10" ht="12.75" customHeight="1" x14ac:dyDescent="0.25">
      <c r="B4" s="4" t="s">
        <v>11</v>
      </c>
      <c r="C4" s="15">
        <v>126</v>
      </c>
      <c r="D4" s="3"/>
      <c r="E4" s="5" t="s">
        <v>3</v>
      </c>
      <c r="F4" s="6" t="s">
        <v>4</v>
      </c>
      <c r="G4" s="6" t="s">
        <v>16</v>
      </c>
      <c r="H4" s="7"/>
      <c r="I4" s="6" t="s">
        <v>4</v>
      </c>
      <c r="J4" s="6" t="s">
        <v>16</v>
      </c>
    </row>
    <row r="5" spans="2:10" ht="12.75" customHeight="1" x14ac:dyDescent="0.25">
      <c r="B5" s="8" t="s">
        <v>5</v>
      </c>
      <c r="C5" s="18">
        <v>126</v>
      </c>
      <c r="D5" s="3"/>
      <c r="E5" s="9" t="s">
        <v>14</v>
      </c>
      <c r="F5" s="19">
        <v>80</v>
      </c>
      <c r="G5" s="23">
        <f>+F5/F10</f>
        <v>0.80160320641282568</v>
      </c>
      <c r="H5" s="7"/>
      <c r="I5" s="58"/>
      <c r="J5" s="24">
        <f>+I5/I10</f>
        <v>0</v>
      </c>
    </row>
    <row r="6" spans="2:10" ht="12.75" customHeight="1" x14ac:dyDescent="0.25">
      <c r="B6" s="10"/>
      <c r="C6" s="11"/>
      <c r="D6" s="3"/>
      <c r="E6" s="12" t="s">
        <v>15</v>
      </c>
      <c r="F6" s="17">
        <v>46</v>
      </c>
      <c r="G6" s="23">
        <f>+F6/F10</f>
        <v>0.46092184368737477</v>
      </c>
      <c r="H6" s="3"/>
      <c r="I6" s="59"/>
      <c r="J6" s="23">
        <f>+I6/I10</f>
        <v>0</v>
      </c>
    </row>
    <row r="7" spans="2:10" ht="12.75" customHeight="1" x14ac:dyDescent="0.25">
      <c r="B7" s="2" t="s">
        <v>7</v>
      </c>
      <c r="C7" s="13"/>
      <c r="D7" s="3"/>
      <c r="E7" s="4" t="s">
        <v>11</v>
      </c>
      <c r="F7" s="22">
        <v>0</v>
      </c>
      <c r="G7" s="26">
        <f>+F7/F10</f>
        <v>0</v>
      </c>
      <c r="H7" s="3"/>
      <c r="I7" s="57"/>
      <c r="J7" s="26">
        <f>+I7/I10</f>
        <v>0</v>
      </c>
    </row>
    <row r="8" spans="2:10" ht="12.75" customHeight="1" x14ac:dyDescent="0.25">
      <c r="B8" s="12" t="s">
        <v>13</v>
      </c>
      <c r="C8" s="17">
        <v>80</v>
      </c>
      <c r="D8" s="3"/>
      <c r="E8" s="8" t="s">
        <v>6</v>
      </c>
      <c r="F8" s="16">
        <f>SUM(F5:F7)</f>
        <v>126</v>
      </c>
      <c r="G8" s="25">
        <f>+F8/F10</f>
        <v>1.2625250501002003</v>
      </c>
      <c r="H8" s="3"/>
      <c r="I8" s="16">
        <f>SUM(I5:I7)</f>
        <v>0</v>
      </c>
      <c r="J8" s="25">
        <f>+I8/I10</f>
        <v>0</v>
      </c>
    </row>
    <row r="9" spans="2:10" ht="12.75" customHeight="1" x14ac:dyDescent="0.25">
      <c r="B9" s="4" t="s">
        <v>12</v>
      </c>
      <c r="C9" s="15">
        <v>46</v>
      </c>
      <c r="D9" s="3"/>
      <c r="E9" s="10"/>
      <c r="F9" s="20"/>
      <c r="G9" s="11"/>
      <c r="H9" s="3"/>
      <c r="I9" s="20"/>
      <c r="J9" s="11"/>
    </row>
    <row r="10" spans="2:10" ht="12.75" customHeight="1" x14ac:dyDescent="0.25">
      <c r="B10" s="8" t="s">
        <v>8</v>
      </c>
      <c r="C10" s="18">
        <v>126</v>
      </c>
      <c r="D10" s="3"/>
      <c r="E10" s="27" t="s">
        <v>0</v>
      </c>
      <c r="F10" s="21">
        <v>99.8</v>
      </c>
      <c r="G10" s="14"/>
      <c r="H10" s="3"/>
      <c r="I10" s="21">
        <v>99.8</v>
      </c>
      <c r="J10" s="14"/>
    </row>
    <row r="11" spans="2:10" ht="12.75" customHeight="1" x14ac:dyDescent="0.2"/>
  </sheetData>
  <mergeCells count="2">
    <mergeCell ref="F3:G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</sheetPr>
  <dimension ref="A1:D14"/>
  <sheetViews>
    <sheetView showGridLines="0" workbookViewId="0">
      <selection activeCell="D6" sqref="D6"/>
    </sheetView>
  </sheetViews>
  <sheetFormatPr defaultColWidth="9.109375" defaultRowHeight="13.2" x14ac:dyDescent="0.25"/>
  <cols>
    <col min="1" max="1" width="25.109375" style="247" customWidth="1"/>
    <col min="2" max="2" width="27.44140625" style="247" customWidth="1"/>
    <col min="3" max="3" width="24.44140625" style="247" customWidth="1"/>
    <col min="4" max="4" width="39.44140625" style="247" customWidth="1"/>
    <col min="5" max="16384" width="9.109375" style="247"/>
  </cols>
  <sheetData>
    <row r="1" spans="1:4" customFormat="1" x14ac:dyDescent="0.25"/>
    <row r="2" spans="1:4" customFormat="1" x14ac:dyDescent="0.25">
      <c r="A2" s="29" t="s">
        <v>17</v>
      </c>
      <c r="B2" s="295" t="s">
        <v>118</v>
      </c>
      <c r="C2" s="296"/>
    </row>
    <row r="4" spans="1:4" x14ac:dyDescent="0.25">
      <c r="A4" s="248" t="s">
        <v>102</v>
      </c>
      <c r="B4" s="248" t="s">
        <v>103</v>
      </c>
      <c r="C4" s="248" t="s">
        <v>104</v>
      </c>
      <c r="D4" s="248" t="s">
        <v>105</v>
      </c>
    </row>
    <row r="5" spans="1:4" x14ac:dyDescent="0.25">
      <c r="A5" s="249" t="s">
        <v>43</v>
      </c>
      <c r="B5" s="250">
        <v>69078</v>
      </c>
      <c r="C5" s="251">
        <v>0.7</v>
      </c>
      <c r="D5" s="250">
        <f>B5*C5</f>
        <v>48354.6</v>
      </c>
    </row>
    <row r="6" spans="1:4" x14ac:dyDescent="0.25">
      <c r="A6" s="249" t="s">
        <v>106</v>
      </c>
      <c r="B6" s="250">
        <v>61795</v>
      </c>
      <c r="C6" s="251">
        <v>0.4</v>
      </c>
      <c r="D6" s="250">
        <v>0</v>
      </c>
    </row>
    <row r="7" spans="1:4" x14ac:dyDescent="0.25">
      <c r="A7" s="249" t="s">
        <v>107</v>
      </c>
      <c r="B7" s="250">
        <v>55211</v>
      </c>
      <c r="C7" s="251">
        <v>0.5</v>
      </c>
      <c r="D7" s="250">
        <v>0</v>
      </c>
    </row>
    <row r="8" spans="1:4" ht="22.8" x14ac:dyDescent="0.4">
      <c r="A8" s="252"/>
      <c r="B8" s="252"/>
      <c r="C8" s="252"/>
      <c r="D8" s="252"/>
    </row>
    <row r="9" spans="1:4" ht="22.8" x14ac:dyDescent="0.4">
      <c r="A9" s="252"/>
      <c r="B9" s="252"/>
      <c r="C9" s="249" t="s">
        <v>108</v>
      </c>
      <c r="D9" s="250">
        <f>SUM(D5:D7)</f>
        <v>48354.6</v>
      </c>
    </row>
    <row r="10" spans="1:4" ht="22.8" x14ac:dyDescent="0.4">
      <c r="A10" s="252"/>
      <c r="B10" s="252"/>
      <c r="C10" s="249" t="s">
        <v>109</v>
      </c>
      <c r="D10" s="250">
        <v>126000</v>
      </c>
    </row>
    <row r="11" spans="1:4" ht="22.8" x14ac:dyDescent="0.4">
      <c r="A11" s="252"/>
      <c r="B11" s="252"/>
      <c r="C11" s="253" t="s">
        <v>110</v>
      </c>
      <c r="D11" s="254">
        <f>D9-D10</f>
        <v>-77645.399999999994</v>
      </c>
    </row>
    <row r="13" spans="1:4" ht="78.75" customHeight="1" x14ac:dyDescent="0.25">
      <c r="A13" s="298" t="s">
        <v>111</v>
      </c>
      <c r="B13" s="298"/>
      <c r="C13" s="298"/>
      <c r="D13" s="298"/>
    </row>
    <row r="14" spans="1:4" ht="9" customHeight="1" x14ac:dyDescent="0.25">
      <c r="A14" s="298"/>
      <c r="B14" s="298"/>
      <c r="C14" s="298"/>
      <c r="D14" s="298"/>
    </row>
  </sheetData>
  <mergeCells count="2">
    <mergeCell ref="A13:D14"/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S35"/>
  <sheetViews>
    <sheetView showGridLines="0" tabSelected="1" zoomScale="130" zoomScaleNormal="130" workbookViewId="0">
      <selection activeCell="B2" sqref="B2"/>
    </sheetView>
  </sheetViews>
  <sheetFormatPr defaultColWidth="9.109375" defaultRowHeight="10.199999999999999" x14ac:dyDescent="0.2"/>
  <cols>
    <col min="1" max="1" width="1.77734375" style="66" customWidth="1"/>
    <col min="2" max="2" width="25.33203125" style="65" bestFit="1" customWidth="1"/>
    <col min="3" max="5" width="7.6640625" style="65" customWidth="1"/>
    <col min="6" max="15" width="6.77734375" style="65" customWidth="1"/>
    <col min="16" max="16" width="1.77734375" style="66" customWidth="1"/>
    <col min="17" max="19" width="10.33203125" style="65" bestFit="1" customWidth="1"/>
    <col min="20" max="16384" width="9.109375" style="65"/>
  </cols>
  <sheetData>
    <row r="1" spans="1:19" s="145" customFormat="1" ht="10.8" thickBot="1" x14ac:dyDescent="0.25">
      <c r="A1" s="146"/>
      <c r="C1" s="171" t="s">
        <v>71</v>
      </c>
      <c r="D1" s="170"/>
      <c r="E1" s="169"/>
      <c r="F1" s="168" t="s">
        <v>70</v>
      </c>
      <c r="G1" s="167"/>
      <c r="H1" s="167"/>
      <c r="I1" s="167"/>
      <c r="J1" s="166"/>
      <c r="K1" s="165" t="s">
        <v>69</v>
      </c>
      <c r="L1" s="164"/>
      <c r="M1" s="164"/>
      <c r="N1" s="164"/>
      <c r="O1" s="164"/>
      <c r="P1" s="146"/>
      <c r="Q1" s="163" t="s">
        <v>68</v>
      </c>
      <c r="R1" s="163"/>
      <c r="S1" s="163"/>
    </row>
    <row r="2" spans="1:19" s="145" customFormat="1" x14ac:dyDescent="0.2">
      <c r="A2" s="146"/>
      <c r="B2" s="162" t="s">
        <v>67</v>
      </c>
      <c r="C2" s="255">
        <v>2015</v>
      </c>
      <c r="D2" s="161">
        <f>C2+1</f>
        <v>2016</v>
      </c>
      <c r="E2" s="160">
        <f>D2+1</f>
        <v>2017</v>
      </c>
      <c r="F2" s="159">
        <f>E2+1</f>
        <v>2018</v>
      </c>
      <c r="G2" s="158">
        <f t="shared" ref="G2:O2" si="0">F2+1</f>
        <v>2019</v>
      </c>
      <c r="H2" s="158">
        <f t="shared" si="0"/>
        <v>2020</v>
      </c>
      <c r="I2" s="158">
        <f t="shared" si="0"/>
        <v>2021</v>
      </c>
      <c r="J2" s="157">
        <f t="shared" si="0"/>
        <v>2022</v>
      </c>
      <c r="K2" s="156">
        <f t="shared" si="0"/>
        <v>2023</v>
      </c>
      <c r="L2" s="155">
        <f t="shared" si="0"/>
        <v>2024</v>
      </c>
      <c r="M2" s="155">
        <f t="shared" si="0"/>
        <v>2025</v>
      </c>
      <c r="N2" s="155">
        <f t="shared" si="0"/>
        <v>2026</v>
      </c>
      <c r="O2" s="155">
        <f t="shared" si="0"/>
        <v>2027</v>
      </c>
      <c r="P2" s="146"/>
      <c r="Q2" s="154" t="str">
        <f>"CAGR: "&amp;(C2-2000)&amp;"-"&amp;(E2-2000)</f>
        <v>CAGR: 15-17</v>
      </c>
      <c r="R2" s="153" t="str">
        <f>"CAGR: "&amp;(F2-2000)&amp;"-"&amp;(J2-2000)</f>
        <v>CAGR: 18-22</v>
      </c>
      <c r="S2" s="152" t="str">
        <f>"CAGR: "&amp;(K2-2000)&amp;"-"&amp;(O2-2000)</f>
        <v>CAGR: 23-27</v>
      </c>
    </row>
    <row r="3" spans="1:19" s="147" customFormat="1" x14ac:dyDescent="0.2">
      <c r="A3" s="66" t="s">
        <v>50</v>
      </c>
      <c r="B3" s="256" t="s">
        <v>22</v>
      </c>
      <c r="C3" s="257">
        <v>353.1275</v>
      </c>
      <c r="D3" s="151">
        <v>415.80763124999999</v>
      </c>
      <c r="E3" s="258">
        <v>480.25781409374997</v>
      </c>
      <c r="F3" s="150">
        <v>525</v>
      </c>
      <c r="G3" s="149">
        <f>F3*(1+G4)</f>
        <v>588</v>
      </c>
      <c r="H3" s="149">
        <f t="shared" ref="H3:O3" si="1">G3*(1+H4)</f>
        <v>646.80000000000007</v>
      </c>
      <c r="I3" s="149">
        <f t="shared" si="1"/>
        <v>646.80000000000007</v>
      </c>
      <c r="J3" s="149">
        <f t="shared" si="1"/>
        <v>646.80000000000007</v>
      </c>
      <c r="K3" s="149">
        <f t="shared" si="1"/>
        <v>646.80000000000007</v>
      </c>
      <c r="L3" s="149">
        <f t="shared" si="1"/>
        <v>646.80000000000007</v>
      </c>
      <c r="M3" s="149">
        <f t="shared" si="1"/>
        <v>646.80000000000007</v>
      </c>
      <c r="N3" s="149">
        <f t="shared" si="1"/>
        <v>646.80000000000007</v>
      </c>
      <c r="O3" s="148">
        <f t="shared" si="1"/>
        <v>646.80000000000007</v>
      </c>
      <c r="P3" s="66" t="s">
        <v>50</v>
      </c>
    </row>
    <row r="4" spans="1:19" s="145" customFormat="1" x14ac:dyDescent="0.2">
      <c r="A4" s="146"/>
      <c r="B4" s="82" t="s">
        <v>66</v>
      </c>
      <c r="C4" s="129"/>
      <c r="D4" s="108">
        <f>IFERROR(D3/C3-1,"")</f>
        <v>0.17749999999999999</v>
      </c>
      <c r="E4" s="111">
        <f t="shared" ref="E4" si="2">IFERROR(E3/D3-1,"")</f>
        <v>0.15500000000000003</v>
      </c>
      <c r="F4" s="109">
        <v>9.2999999999999999E-2</v>
      </c>
      <c r="G4" s="110">
        <v>0.12</v>
      </c>
      <c r="H4" s="110">
        <v>0.1</v>
      </c>
      <c r="I4" s="259"/>
      <c r="J4" s="259"/>
      <c r="K4" s="259"/>
      <c r="L4" s="108">
        <f>K4</f>
        <v>0</v>
      </c>
      <c r="M4" s="108">
        <f t="shared" ref="M4:O6" si="3">L4</f>
        <v>0</v>
      </c>
      <c r="N4" s="108">
        <f t="shared" si="3"/>
        <v>0</v>
      </c>
      <c r="O4" s="107">
        <f t="shared" si="3"/>
        <v>0</v>
      </c>
      <c r="P4" s="146"/>
      <c r="Q4" s="77">
        <f>IFERROR(((E3/C3)^(1/($E$3-$C$3)))-1,"")</f>
        <v>2.4216573789699325E-3</v>
      </c>
      <c r="R4" s="76">
        <f>IFERROR(((J3/F3)^(1/($J$3-$F$3)))-1,"")</f>
        <v>1.7144307265333225E-3</v>
      </c>
      <c r="S4" s="75" t="str">
        <f>IFERROR(((O3/K3)^(1/($O$3-$K$3)))-1,"")</f>
        <v/>
      </c>
    </row>
    <row r="5" spans="1:19" s="134" customFormat="1" x14ac:dyDescent="0.2">
      <c r="A5" s="66"/>
      <c r="B5" s="89" t="s">
        <v>112</v>
      </c>
      <c r="C5" s="260">
        <v>188.04039374999999</v>
      </c>
      <c r="D5" s="133">
        <v>215.18044917187498</v>
      </c>
      <c r="E5" s="261">
        <v>242.53019611734373</v>
      </c>
      <c r="F5" s="132">
        <f>F6*F$3</f>
        <v>267.75</v>
      </c>
      <c r="G5" s="131">
        <f t="shared" ref="G5:O5" si="4">G6*G$3</f>
        <v>299.88</v>
      </c>
      <c r="H5" s="131">
        <f t="shared" si="4"/>
        <v>329.86800000000005</v>
      </c>
      <c r="I5" s="131">
        <f t="shared" si="4"/>
        <v>0</v>
      </c>
      <c r="J5" s="131">
        <f t="shared" si="4"/>
        <v>0</v>
      </c>
      <c r="K5" s="131">
        <f t="shared" si="4"/>
        <v>0</v>
      </c>
      <c r="L5" s="131">
        <f t="shared" si="4"/>
        <v>0</v>
      </c>
      <c r="M5" s="131">
        <f t="shared" si="4"/>
        <v>0</v>
      </c>
      <c r="N5" s="131">
        <f t="shared" si="4"/>
        <v>0</v>
      </c>
      <c r="O5" s="130">
        <f t="shared" si="4"/>
        <v>0</v>
      </c>
      <c r="P5" s="66"/>
    </row>
    <row r="6" spans="1:19" x14ac:dyDescent="0.2">
      <c r="B6" s="82" t="s">
        <v>58</v>
      </c>
      <c r="C6" s="129">
        <f>C5/C$3</f>
        <v>0.53249999999999997</v>
      </c>
      <c r="D6" s="108">
        <f t="shared" ref="D6:E6" si="5">D5/D$3</f>
        <v>0.51749999999999996</v>
      </c>
      <c r="E6" s="111">
        <f t="shared" si="5"/>
        <v>0.505</v>
      </c>
      <c r="F6" s="109">
        <v>0.51</v>
      </c>
      <c r="G6" s="110">
        <v>0.51</v>
      </c>
      <c r="H6" s="110">
        <v>0.51</v>
      </c>
      <c r="I6" s="259"/>
      <c r="J6" s="259"/>
      <c r="K6" s="259"/>
      <c r="L6" s="108">
        <f>K6</f>
        <v>0</v>
      </c>
      <c r="M6" s="108">
        <f t="shared" si="3"/>
        <v>0</v>
      </c>
      <c r="N6" s="108">
        <f t="shared" si="3"/>
        <v>0</v>
      </c>
      <c r="O6" s="107">
        <f t="shared" si="3"/>
        <v>0</v>
      </c>
      <c r="Q6" s="77">
        <f>IFERROR(((E5/C5)^(1/($E$3-$C$3)))-1,"")</f>
        <v>2.0036469884330277E-3</v>
      </c>
      <c r="R6" s="76">
        <f>IFERROR(((J5/F5)^(1/($J$3-$F$3)))-1,"")</f>
        <v>-1</v>
      </c>
      <c r="S6" s="75" t="str">
        <f>IFERROR(((O5/K5)^(1/($O$3-$K$3)))-1,"")</f>
        <v/>
      </c>
    </row>
    <row r="7" spans="1:19" s="140" customFormat="1" x14ac:dyDescent="0.2">
      <c r="A7" s="141" t="s">
        <v>65</v>
      </c>
      <c r="B7" s="262" t="s">
        <v>113</v>
      </c>
      <c r="C7" s="124">
        <f t="shared" ref="C7:O7" si="6">C3-C5</f>
        <v>165.08710625000001</v>
      </c>
      <c r="D7" s="123">
        <f t="shared" si="6"/>
        <v>200.627182078125</v>
      </c>
      <c r="E7" s="125">
        <f t="shared" si="6"/>
        <v>237.72761797640624</v>
      </c>
      <c r="F7" s="144">
        <f t="shared" si="6"/>
        <v>257.25</v>
      </c>
      <c r="G7" s="143">
        <f t="shared" si="6"/>
        <v>288.12</v>
      </c>
      <c r="H7" s="143">
        <f t="shared" si="6"/>
        <v>316.93200000000002</v>
      </c>
      <c r="I7" s="143">
        <f t="shared" si="6"/>
        <v>646.80000000000007</v>
      </c>
      <c r="J7" s="143">
        <f t="shared" si="6"/>
        <v>646.80000000000007</v>
      </c>
      <c r="K7" s="143">
        <f t="shared" si="6"/>
        <v>646.80000000000007</v>
      </c>
      <c r="L7" s="143">
        <f t="shared" si="6"/>
        <v>646.80000000000007</v>
      </c>
      <c r="M7" s="143">
        <f t="shared" si="6"/>
        <v>646.80000000000007</v>
      </c>
      <c r="N7" s="143">
        <f t="shared" si="6"/>
        <v>646.80000000000007</v>
      </c>
      <c r="O7" s="142">
        <f t="shared" si="6"/>
        <v>646.80000000000007</v>
      </c>
      <c r="P7" s="263" t="s">
        <v>65</v>
      </c>
    </row>
    <row r="8" spans="1:19" x14ac:dyDescent="0.2">
      <c r="B8" s="82" t="s">
        <v>114</v>
      </c>
      <c r="C8" s="129">
        <f>C7/C$3</f>
        <v>0.46750000000000003</v>
      </c>
      <c r="D8" s="108">
        <f t="shared" ref="D8:O8" si="7">D7/D$3</f>
        <v>0.48250000000000004</v>
      </c>
      <c r="E8" s="111">
        <f t="shared" si="7"/>
        <v>0.495</v>
      </c>
      <c r="F8" s="129">
        <f t="shared" si="7"/>
        <v>0.49</v>
      </c>
      <c r="G8" s="108">
        <f t="shared" si="7"/>
        <v>0.49</v>
      </c>
      <c r="H8" s="108">
        <f t="shared" si="7"/>
        <v>0.49</v>
      </c>
      <c r="I8" s="108">
        <f t="shared" si="7"/>
        <v>1</v>
      </c>
      <c r="J8" s="108">
        <f t="shared" si="7"/>
        <v>1</v>
      </c>
      <c r="K8" s="108">
        <f t="shared" si="7"/>
        <v>1</v>
      </c>
      <c r="L8" s="108">
        <f t="shared" si="7"/>
        <v>1</v>
      </c>
      <c r="M8" s="108">
        <f t="shared" si="7"/>
        <v>1</v>
      </c>
      <c r="N8" s="108">
        <f t="shared" si="7"/>
        <v>1</v>
      </c>
      <c r="O8" s="107">
        <f t="shared" si="7"/>
        <v>1</v>
      </c>
    </row>
    <row r="9" spans="1:19" s="134" customFormat="1" x14ac:dyDescent="0.2">
      <c r="A9" s="66" t="s">
        <v>50</v>
      </c>
      <c r="B9" s="89" t="s">
        <v>115</v>
      </c>
      <c r="C9" s="264">
        <v>94.901968750000009</v>
      </c>
      <c r="D9" s="135">
        <v>114.34709859375</v>
      </c>
      <c r="E9" s="265">
        <v>137.94812155195311</v>
      </c>
      <c r="F9" s="132">
        <f>F10*F$3</f>
        <v>152.25</v>
      </c>
      <c r="G9" s="131">
        <f t="shared" ref="G9:O9" si="8">G10*G$3</f>
        <v>170.51999999999998</v>
      </c>
      <c r="H9" s="131">
        <f t="shared" si="8"/>
        <v>187.572</v>
      </c>
      <c r="I9" s="131">
        <f t="shared" si="8"/>
        <v>0</v>
      </c>
      <c r="J9" s="131">
        <f t="shared" si="8"/>
        <v>0</v>
      </c>
      <c r="K9" s="131">
        <f t="shared" si="8"/>
        <v>0</v>
      </c>
      <c r="L9" s="131">
        <f t="shared" si="8"/>
        <v>0</v>
      </c>
      <c r="M9" s="131">
        <f t="shared" si="8"/>
        <v>0</v>
      </c>
      <c r="N9" s="131">
        <f t="shared" si="8"/>
        <v>0</v>
      </c>
      <c r="O9" s="130">
        <f t="shared" si="8"/>
        <v>0</v>
      </c>
      <c r="P9" s="66" t="s">
        <v>50</v>
      </c>
    </row>
    <row r="10" spans="1:19" x14ac:dyDescent="0.2">
      <c r="B10" s="82" t="s">
        <v>58</v>
      </c>
      <c r="C10" s="129">
        <f>C9/C$3</f>
        <v>0.26874703541921829</v>
      </c>
      <c r="D10" s="108">
        <f t="shared" ref="D10:E10" si="9">D9/D$3</f>
        <v>0.27500000000000002</v>
      </c>
      <c r="E10" s="111">
        <f t="shared" si="9"/>
        <v>0.28723764091639453</v>
      </c>
      <c r="F10" s="109">
        <v>0.28999999999999998</v>
      </c>
      <c r="G10" s="110">
        <v>0.28999999999999998</v>
      </c>
      <c r="H10" s="110">
        <v>0.28999999999999998</v>
      </c>
      <c r="I10" s="259"/>
      <c r="J10" s="259"/>
      <c r="K10" s="259"/>
      <c r="L10" s="108">
        <f>K10</f>
        <v>0</v>
      </c>
      <c r="M10" s="108">
        <f t="shared" ref="M10:O10" si="10">L10</f>
        <v>0</v>
      </c>
      <c r="N10" s="108">
        <f t="shared" si="10"/>
        <v>0</v>
      </c>
      <c r="O10" s="107">
        <f t="shared" si="10"/>
        <v>0</v>
      </c>
      <c r="Q10" s="77">
        <f>IFERROR(((E9/C9)^(1/($E$3-$C$3)))-1,"")</f>
        <v>2.9464569615109681E-3</v>
      </c>
      <c r="R10" s="76">
        <f>IFERROR(((J9/F9)^(1/($J$3-$F$3)))-1,"")</f>
        <v>-1</v>
      </c>
      <c r="S10" s="75" t="str">
        <f>IFERROR(((O9/K9)^(1/($O$3-$K$3)))-1,"")</f>
        <v/>
      </c>
    </row>
    <row r="11" spans="1:19" x14ac:dyDescent="0.2">
      <c r="B11" s="262" t="s">
        <v>63</v>
      </c>
      <c r="C11" s="124">
        <f t="shared" ref="C11:O11" si="11">C3-C5-C9</f>
        <v>70.185137499999996</v>
      </c>
      <c r="D11" s="123">
        <f t="shared" si="11"/>
        <v>86.280083484374998</v>
      </c>
      <c r="E11" s="125">
        <f t="shared" si="11"/>
        <v>99.779496424453129</v>
      </c>
      <c r="F11" s="124">
        <f t="shared" si="11"/>
        <v>105</v>
      </c>
      <c r="G11" s="123">
        <f t="shared" si="11"/>
        <v>117.60000000000002</v>
      </c>
      <c r="H11" s="123">
        <f t="shared" si="11"/>
        <v>129.36000000000001</v>
      </c>
      <c r="I11" s="123">
        <f t="shared" si="11"/>
        <v>646.80000000000007</v>
      </c>
      <c r="J11" s="123">
        <f t="shared" si="11"/>
        <v>646.80000000000007</v>
      </c>
      <c r="K11" s="123">
        <f t="shared" si="11"/>
        <v>646.80000000000007</v>
      </c>
      <c r="L11" s="123">
        <f t="shared" si="11"/>
        <v>646.80000000000007</v>
      </c>
      <c r="M11" s="123">
        <f t="shared" si="11"/>
        <v>646.80000000000007</v>
      </c>
      <c r="N11" s="123">
        <f t="shared" si="11"/>
        <v>646.80000000000007</v>
      </c>
      <c r="O11" s="122">
        <f t="shared" si="11"/>
        <v>646.80000000000007</v>
      </c>
    </row>
    <row r="12" spans="1:19" x14ac:dyDescent="0.2">
      <c r="B12" s="82" t="s">
        <v>62</v>
      </c>
      <c r="C12" s="129">
        <f t="shared" ref="C12:O12" si="12">C11/C3</f>
        <v>0.19875296458078173</v>
      </c>
      <c r="D12" s="108">
        <f t="shared" si="12"/>
        <v>0.20749999999999999</v>
      </c>
      <c r="E12" s="111">
        <f t="shared" si="12"/>
        <v>0.20776235908360549</v>
      </c>
      <c r="F12" s="129">
        <f t="shared" si="12"/>
        <v>0.2</v>
      </c>
      <c r="G12" s="108">
        <f t="shared" si="12"/>
        <v>0.20000000000000004</v>
      </c>
      <c r="H12" s="108">
        <f t="shared" si="12"/>
        <v>0.2</v>
      </c>
      <c r="I12" s="108">
        <f t="shared" si="12"/>
        <v>1</v>
      </c>
      <c r="J12" s="108">
        <f t="shared" si="12"/>
        <v>1</v>
      </c>
      <c r="K12" s="108">
        <f t="shared" si="12"/>
        <v>1</v>
      </c>
      <c r="L12" s="108">
        <f t="shared" si="12"/>
        <v>1</v>
      </c>
      <c r="M12" s="108">
        <f t="shared" si="12"/>
        <v>1</v>
      </c>
      <c r="N12" s="108">
        <f t="shared" si="12"/>
        <v>1</v>
      </c>
      <c r="O12" s="107">
        <f t="shared" si="12"/>
        <v>1</v>
      </c>
    </row>
    <row r="13" spans="1:19" x14ac:dyDescent="0.2">
      <c r="B13" s="266" t="s">
        <v>64</v>
      </c>
      <c r="C13" s="136">
        <v>16.392573447159091</v>
      </c>
      <c r="D13" s="128">
        <v>19.784714308229116</v>
      </c>
      <c r="E13" s="137">
        <v>19.899778418564374</v>
      </c>
      <c r="F13" s="267">
        <f t="shared" ref="F13:O13" si="13">F14*F11</f>
        <v>20.940942867268149</v>
      </c>
      <c r="G13" s="127">
        <f t="shared" si="13"/>
        <v>23.453856011340331</v>
      </c>
      <c r="H13" s="127">
        <f t="shared" si="13"/>
        <v>25.799241612474361</v>
      </c>
      <c r="I13" s="127">
        <f t="shared" si="13"/>
        <v>128.99620806237181</v>
      </c>
      <c r="J13" s="127">
        <f t="shared" si="13"/>
        <v>128.99620806237181</v>
      </c>
      <c r="K13" s="127">
        <f t="shared" si="13"/>
        <v>128.99620806237181</v>
      </c>
      <c r="L13" s="127">
        <f t="shared" si="13"/>
        <v>128.99620806237181</v>
      </c>
      <c r="M13" s="127">
        <f t="shared" si="13"/>
        <v>128.99620806237181</v>
      </c>
      <c r="N13" s="127">
        <f t="shared" si="13"/>
        <v>128.99620806237181</v>
      </c>
      <c r="O13" s="126">
        <f t="shared" si="13"/>
        <v>128.99620806237181</v>
      </c>
    </row>
    <row r="14" spans="1:19" x14ac:dyDescent="0.2">
      <c r="A14" s="66" t="s">
        <v>50</v>
      </c>
      <c r="B14" s="106" t="s">
        <v>116</v>
      </c>
      <c r="C14" s="121">
        <f>C13/C11</f>
        <v>0.23356189117901338</v>
      </c>
      <c r="D14" s="102">
        <f>D13/D11</f>
        <v>0.22930801071619331</v>
      </c>
      <c r="E14" s="105">
        <f>E13/E11</f>
        <v>0.1994375511168395</v>
      </c>
      <c r="F14" s="121">
        <f>E14</f>
        <v>0.1994375511168395</v>
      </c>
      <c r="G14" s="102">
        <f t="shared" ref="G14:O14" si="14">F14</f>
        <v>0.1994375511168395</v>
      </c>
      <c r="H14" s="102">
        <f t="shared" si="14"/>
        <v>0.1994375511168395</v>
      </c>
      <c r="I14" s="102">
        <f t="shared" si="14"/>
        <v>0.1994375511168395</v>
      </c>
      <c r="J14" s="102">
        <f t="shared" si="14"/>
        <v>0.1994375511168395</v>
      </c>
      <c r="K14" s="102">
        <f t="shared" si="14"/>
        <v>0.1994375511168395</v>
      </c>
      <c r="L14" s="102">
        <f t="shared" si="14"/>
        <v>0.1994375511168395</v>
      </c>
      <c r="M14" s="102">
        <f t="shared" si="14"/>
        <v>0.1994375511168395</v>
      </c>
      <c r="N14" s="102">
        <f t="shared" si="14"/>
        <v>0.1994375511168395</v>
      </c>
      <c r="O14" s="101">
        <f t="shared" si="14"/>
        <v>0.1994375511168395</v>
      </c>
    </row>
    <row r="15" spans="1:19" ht="4.95" customHeight="1" x14ac:dyDescent="0.2">
      <c r="B15" s="268"/>
      <c r="C15" s="138"/>
      <c r="D15" s="120"/>
      <c r="E15" s="139"/>
      <c r="F15" s="118"/>
      <c r="G15" s="117"/>
      <c r="H15" s="117"/>
      <c r="I15" s="117"/>
      <c r="J15" s="119"/>
      <c r="K15" s="118"/>
      <c r="L15" s="117"/>
      <c r="M15" s="117"/>
      <c r="N15" s="117"/>
      <c r="O15" s="117"/>
    </row>
    <row r="16" spans="1:19" x14ac:dyDescent="0.2">
      <c r="A16" s="66" t="s">
        <v>50</v>
      </c>
      <c r="B16" s="116" t="s">
        <v>61</v>
      </c>
      <c r="C16" s="114"/>
      <c r="D16" s="113"/>
      <c r="E16" s="115"/>
      <c r="F16" s="114"/>
      <c r="G16" s="113"/>
      <c r="H16" s="113"/>
      <c r="I16" s="113"/>
      <c r="J16" s="115"/>
      <c r="K16" s="114"/>
      <c r="L16" s="113"/>
      <c r="M16" s="113"/>
      <c r="N16" s="113"/>
      <c r="O16" s="112"/>
      <c r="P16" s="66" t="s">
        <v>50</v>
      </c>
    </row>
    <row r="17" spans="1:19" x14ac:dyDescent="0.2">
      <c r="B17" s="89" t="s">
        <v>60</v>
      </c>
      <c r="C17" s="269">
        <v>7.9453687500000001</v>
      </c>
      <c r="D17" s="95">
        <v>11.434709859374999</v>
      </c>
      <c r="E17" s="94">
        <v>16.809023493281252</v>
      </c>
      <c r="F17" s="270">
        <f>F18*F$3</f>
        <v>18.375</v>
      </c>
      <c r="G17" s="91">
        <f t="shared" ref="G17:O17" si="15">G18*G$3</f>
        <v>20.580000000000002</v>
      </c>
      <c r="H17" s="91">
        <f t="shared" si="15"/>
        <v>22.638000000000005</v>
      </c>
      <c r="I17" s="91">
        <f t="shared" si="15"/>
        <v>0</v>
      </c>
      <c r="J17" s="93">
        <f t="shared" si="15"/>
        <v>0</v>
      </c>
      <c r="K17" s="92">
        <f t="shared" si="15"/>
        <v>0</v>
      </c>
      <c r="L17" s="91">
        <f t="shared" si="15"/>
        <v>22.638000000000005</v>
      </c>
      <c r="M17" s="91">
        <f t="shared" si="15"/>
        <v>22.638000000000005</v>
      </c>
      <c r="N17" s="91">
        <f t="shared" si="15"/>
        <v>22.638000000000005</v>
      </c>
      <c r="O17" s="90">
        <f t="shared" si="15"/>
        <v>22.638000000000005</v>
      </c>
    </row>
    <row r="18" spans="1:19" x14ac:dyDescent="0.2">
      <c r="B18" s="82" t="s">
        <v>58</v>
      </c>
      <c r="C18" s="129">
        <f t="shared" ref="C18:E18" si="16">C17/C$3</f>
        <v>2.2499999999999999E-2</v>
      </c>
      <c r="D18" s="108">
        <f t="shared" si="16"/>
        <v>2.75E-2</v>
      </c>
      <c r="E18" s="111">
        <f t="shared" si="16"/>
        <v>3.5000000000000003E-2</v>
      </c>
      <c r="F18" s="109">
        <v>3.5000000000000003E-2</v>
      </c>
      <c r="G18" s="110">
        <v>3.5000000000000003E-2</v>
      </c>
      <c r="H18" s="110">
        <v>3.5000000000000003E-2</v>
      </c>
      <c r="I18" s="259"/>
      <c r="J18" s="271"/>
      <c r="K18" s="272"/>
      <c r="L18" s="110">
        <v>3.5000000000000003E-2</v>
      </c>
      <c r="M18" s="110">
        <v>3.5000000000000003E-2</v>
      </c>
      <c r="N18" s="110">
        <v>3.5000000000000003E-2</v>
      </c>
      <c r="O18" s="273">
        <v>3.5000000000000003E-2</v>
      </c>
      <c r="Q18" s="77">
        <f>IFERROR(((E17/C17)^(1/($E$3-$C$3)))-1,"")</f>
        <v>5.9115665678004525E-3</v>
      </c>
      <c r="R18" s="76">
        <f>IFERROR(((J17/F17)^(1/($J$3-$F$3)))-1,"")</f>
        <v>-1</v>
      </c>
      <c r="S18" s="75" t="str">
        <f>IFERROR(((O17/K17)^(1/($O$3-$K$3)))-1,"")</f>
        <v/>
      </c>
    </row>
    <row r="19" spans="1:19" x14ac:dyDescent="0.2">
      <c r="B19" s="89" t="s">
        <v>59</v>
      </c>
      <c r="C19" s="274">
        <v>2.6484562499999997</v>
      </c>
      <c r="D19" s="88">
        <v>3.1185572343749999</v>
      </c>
      <c r="E19" s="87">
        <v>3.6019336057031248</v>
      </c>
      <c r="F19" s="270">
        <f>F20*F$3</f>
        <v>4.2</v>
      </c>
      <c r="G19" s="91">
        <f t="shared" ref="G19:O19" si="17">G20*G$3</f>
        <v>4.7039999999999997</v>
      </c>
      <c r="H19" s="91">
        <f t="shared" si="17"/>
        <v>5.1744000000000003</v>
      </c>
      <c r="I19" s="91">
        <f t="shared" si="17"/>
        <v>0</v>
      </c>
      <c r="J19" s="93">
        <f t="shared" si="17"/>
        <v>0</v>
      </c>
      <c r="K19" s="92">
        <f t="shared" si="17"/>
        <v>0</v>
      </c>
      <c r="L19" s="91">
        <f t="shared" si="17"/>
        <v>5.1744000000000003</v>
      </c>
      <c r="M19" s="91">
        <f t="shared" si="17"/>
        <v>5.1744000000000003</v>
      </c>
      <c r="N19" s="91">
        <f t="shared" si="17"/>
        <v>5.1744000000000003</v>
      </c>
      <c r="O19" s="90">
        <f t="shared" si="17"/>
        <v>5.1744000000000003</v>
      </c>
    </row>
    <row r="20" spans="1:19" x14ac:dyDescent="0.2">
      <c r="B20" s="106" t="s">
        <v>58</v>
      </c>
      <c r="C20" s="121">
        <f>C19/C$3</f>
        <v>7.4999999999999997E-3</v>
      </c>
      <c r="D20" s="102">
        <f t="shared" ref="D20:E20" si="18">D19/D$3</f>
        <v>7.4999999999999997E-3</v>
      </c>
      <c r="E20" s="105">
        <f t="shared" si="18"/>
        <v>7.4999999999999997E-3</v>
      </c>
      <c r="F20" s="103">
        <v>8.0000000000000002E-3</v>
      </c>
      <c r="G20" s="104">
        <v>8.0000000000000002E-3</v>
      </c>
      <c r="H20" s="104">
        <v>8.0000000000000002E-3</v>
      </c>
      <c r="I20" s="275"/>
      <c r="J20" s="276"/>
      <c r="K20" s="277"/>
      <c r="L20" s="104">
        <v>8.0000000000000002E-3</v>
      </c>
      <c r="M20" s="104">
        <v>8.0000000000000002E-3</v>
      </c>
      <c r="N20" s="104">
        <v>8.0000000000000002E-3</v>
      </c>
      <c r="O20" s="278">
        <v>8.0000000000000002E-3</v>
      </c>
      <c r="Q20" s="77">
        <f>IFERROR(((E19/C19)^(1/($E$3-$C$3)))-1,"")</f>
        <v>2.4216573789699325E-3</v>
      </c>
      <c r="R20" s="76">
        <f>IFERROR(((J19/F19)^(1/($J$3-$F$3)))-1,"")</f>
        <v>-1</v>
      </c>
      <c r="S20" s="75" t="str">
        <f>IFERROR(((O19/K19)^(1/($O$3-$K$3)))-1,"")</f>
        <v/>
      </c>
    </row>
    <row r="21" spans="1:19" ht="4.95" customHeight="1" x14ac:dyDescent="0.2">
      <c r="B21" s="69"/>
      <c r="C21" s="68"/>
      <c r="E21" s="69"/>
      <c r="F21" s="68"/>
      <c r="J21" s="69"/>
      <c r="K21" s="68"/>
    </row>
    <row r="22" spans="1:19" x14ac:dyDescent="0.2">
      <c r="A22" s="66" t="s">
        <v>50</v>
      </c>
      <c r="B22" s="100" t="s">
        <v>57</v>
      </c>
      <c r="C22" s="98"/>
      <c r="D22" s="97"/>
      <c r="E22" s="99"/>
      <c r="F22" s="98"/>
      <c r="G22" s="97"/>
      <c r="H22" s="97"/>
      <c r="I22" s="97"/>
      <c r="J22" s="99"/>
      <c r="K22" s="98"/>
      <c r="L22" s="97"/>
      <c r="M22" s="97"/>
      <c r="N22" s="97"/>
      <c r="O22" s="96"/>
      <c r="P22" s="66" t="s">
        <v>50</v>
      </c>
    </row>
    <row r="23" spans="1:19" x14ac:dyDescent="0.2">
      <c r="B23" s="89" t="s">
        <v>56</v>
      </c>
      <c r="C23" s="269">
        <v>43.536267123287672</v>
      </c>
      <c r="D23" s="95">
        <v>58.383948223458901</v>
      </c>
      <c r="E23" s="94">
        <v>69.078178739511984</v>
      </c>
      <c r="F23" s="270">
        <f>F24*F$3/365</f>
        <v>75.513698630136986</v>
      </c>
      <c r="G23" s="91">
        <f t="shared" ref="G23:O23" si="19">G24*G$3/365</f>
        <v>84.575342465753423</v>
      </c>
      <c r="H23" s="91">
        <f t="shared" si="19"/>
        <v>93.032876712328772</v>
      </c>
      <c r="I23" s="91">
        <f t="shared" si="19"/>
        <v>0</v>
      </c>
      <c r="J23" s="93">
        <f t="shared" si="19"/>
        <v>0</v>
      </c>
      <c r="K23" s="92">
        <f t="shared" si="19"/>
        <v>0</v>
      </c>
      <c r="L23" s="91">
        <f t="shared" si="19"/>
        <v>0</v>
      </c>
      <c r="M23" s="91">
        <f t="shared" si="19"/>
        <v>0</v>
      </c>
      <c r="N23" s="91">
        <f t="shared" si="19"/>
        <v>0</v>
      </c>
      <c r="O23" s="90">
        <f t="shared" si="19"/>
        <v>0</v>
      </c>
    </row>
    <row r="24" spans="1:19" x14ac:dyDescent="0.2">
      <c r="B24" s="82" t="s">
        <v>55</v>
      </c>
      <c r="C24" s="279">
        <f>C23/C3*365</f>
        <v>45</v>
      </c>
      <c r="D24" s="78">
        <f>D23/D3*365</f>
        <v>51.25</v>
      </c>
      <c r="E24" s="81">
        <f>E23/E3*365</f>
        <v>52.5</v>
      </c>
      <c r="F24" s="79">
        <v>52.5</v>
      </c>
      <c r="G24" s="80">
        <v>52.5</v>
      </c>
      <c r="H24" s="80">
        <v>52.5</v>
      </c>
      <c r="I24" s="280"/>
      <c r="J24" s="281"/>
      <c r="K24" s="282"/>
      <c r="L24" s="283">
        <f>K24</f>
        <v>0</v>
      </c>
      <c r="M24" s="283">
        <f t="shared" ref="M24:O24" si="20">L24</f>
        <v>0</v>
      </c>
      <c r="N24" s="283">
        <f t="shared" si="20"/>
        <v>0</v>
      </c>
      <c r="O24" s="284">
        <f t="shared" si="20"/>
        <v>0</v>
      </c>
      <c r="Q24" s="77">
        <f>IFERROR(((E23/C23)^(1/($E$3-$C$3)))-1,"")</f>
        <v>3.6378716410399026E-3</v>
      </c>
      <c r="R24" s="76">
        <f>IFERROR(((J23/F23)^(1/($J$3-$F$3)))-1,"")</f>
        <v>-1</v>
      </c>
      <c r="S24" s="75" t="str">
        <f>IFERROR(((O23/K23)^(1/($O$3-$K$3)))-1,"")</f>
        <v/>
      </c>
    </row>
    <row r="25" spans="1:19" x14ac:dyDescent="0.2">
      <c r="B25" s="89" t="s">
        <v>44</v>
      </c>
      <c r="C25" s="269">
        <v>45.07817658390411</v>
      </c>
      <c r="D25" s="95">
        <v>57.332325156068066</v>
      </c>
      <c r="E25" s="94">
        <v>61.795365038117716</v>
      </c>
      <c r="F25" s="270">
        <f>F26*F$5/365</f>
        <v>68.221232876712335</v>
      </c>
      <c r="G25" s="91">
        <f t="shared" ref="G25:O25" si="21">G26*G$5/365</f>
        <v>76.407780821917811</v>
      </c>
      <c r="H25" s="91">
        <f t="shared" si="21"/>
        <v>84.048558904109598</v>
      </c>
      <c r="I25" s="91">
        <f t="shared" si="21"/>
        <v>0</v>
      </c>
      <c r="J25" s="93">
        <f t="shared" si="21"/>
        <v>0</v>
      </c>
      <c r="K25" s="92">
        <f t="shared" si="21"/>
        <v>0</v>
      </c>
      <c r="L25" s="91">
        <f t="shared" si="21"/>
        <v>0</v>
      </c>
      <c r="M25" s="91">
        <f t="shared" si="21"/>
        <v>0</v>
      </c>
      <c r="N25" s="91">
        <f t="shared" si="21"/>
        <v>0</v>
      </c>
      <c r="O25" s="90">
        <f t="shared" si="21"/>
        <v>0</v>
      </c>
    </row>
    <row r="26" spans="1:19" x14ac:dyDescent="0.2">
      <c r="B26" s="82" t="s">
        <v>54</v>
      </c>
      <c r="C26" s="279">
        <f>C25/C5*365</f>
        <v>87.5</v>
      </c>
      <c r="D26" s="78">
        <f>D25/D5*365</f>
        <v>97.250000000000014</v>
      </c>
      <c r="E26" s="81">
        <f>E25/E5*365</f>
        <v>93</v>
      </c>
      <c r="F26" s="79">
        <v>93</v>
      </c>
      <c r="G26" s="80">
        <v>93</v>
      </c>
      <c r="H26" s="80">
        <v>93</v>
      </c>
      <c r="I26" s="280"/>
      <c r="J26" s="281"/>
      <c r="K26" s="282"/>
      <c r="L26" s="283">
        <f>K26</f>
        <v>0</v>
      </c>
      <c r="M26" s="283">
        <f t="shared" ref="M26:O26" si="22">L26</f>
        <v>0</v>
      </c>
      <c r="N26" s="283">
        <f t="shared" si="22"/>
        <v>0</v>
      </c>
      <c r="O26" s="284">
        <f t="shared" si="22"/>
        <v>0</v>
      </c>
      <c r="Q26" s="77">
        <f>IFERROR(((E25/C25)^(1/($E$3-$C$3)))-1,"")</f>
        <v>2.4842364631967317E-3</v>
      </c>
      <c r="R26" s="76">
        <f>IFERROR(((J25/F25)^(1/($J$3-$F$3)))-1,"")</f>
        <v>-1</v>
      </c>
      <c r="S26" s="75" t="str">
        <f>IFERROR(((O25/K25)^(1/($O$3-$K$3)))-1,"")</f>
        <v/>
      </c>
    </row>
    <row r="27" spans="1:19" x14ac:dyDescent="0.2">
      <c r="B27" s="89" t="s">
        <v>53</v>
      </c>
      <c r="C27" s="274">
        <v>10.115659999169008</v>
      </c>
      <c r="D27" s="88">
        <v>16.448233705689947</v>
      </c>
      <c r="E27" s="87">
        <v>17.17238719518733</v>
      </c>
      <c r="F27" s="285">
        <f>F28*F$5/365</f>
        <v>18.95807922114076</v>
      </c>
      <c r="G27" s="84">
        <f t="shared" ref="G27:O27" si="23">G28*G$5/365</f>
        <v>21.233048727677652</v>
      </c>
      <c r="H27" s="84">
        <f t="shared" si="23"/>
        <v>23.35635360044542</v>
      </c>
      <c r="I27" s="84">
        <f t="shared" si="23"/>
        <v>0</v>
      </c>
      <c r="J27" s="86">
        <f t="shared" si="23"/>
        <v>0</v>
      </c>
      <c r="K27" s="85">
        <f t="shared" si="23"/>
        <v>0</v>
      </c>
      <c r="L27" s="84">
        <f t="shared" si="23"/>
        <v>0</v>
      </c>
      <c r="M27" s="84">
        <f t="shared" si="23"/>
        <v>0</v>
      </c>
      <c r="N27" s="84">
        <f t="shared" si="23"/>
        <v>0</v>
      </c>
      <c r="O27" s="83">
        <f t="shared" si="23"/>
        <v>0</v>
      </c>
    </row>
    <row r="28" spans="1:19" x14ac:dyDescent="0.2">
      <c r="B28" s="82" t="s">
        <v>52</v>
      </c>
      <c r="C28" s="279">
        <f>C27/C5*365</f>
        <v>19.635227442703055</v>
      </c>
      <c r="D28" s="78">
        <f>D27/D5*365</f>
        <v>27.900328889923742</v>
      </c>
      <c r="E28" s="81">
        <f>E27/E5*365</f>
        <v>25.843880170742775</v>
      </c>
      <c r="F28" s="79">
        <v>25.843880170742775</v>
      </c>
      <c r="G28" s="80">
        <v>25.843880170742775</v>
      </c>
      <c r="H28" s="80">
        <v>25.843880170742775</v>
      </c>
      <c r="I28" s="280"/>
      <c r="J28" s="281"/>
      <c r="K28" s="282"/>
      <c r="L28" s="283">
        <f>K28</f>
        <v>0</v>
      </c>
      <c r="M28" s="283">
        <f t="shared" ref="M28:O28" si="24">L28</f>
        <v>0</v>
      </c>
      <c r="N28" s="283">
        <f t="shared" si="24"/>
        <v>0</v>
      </c>
      <c r="O28" s="284">
        <f t="shared" si="24"/>
        <v>0</v>
      </c>
      <c r="Q28" s="77">
        <f>IFERROR(((E27/C27)^(1/($E$3-$C$3)))-1,"")</f>
        <v>4.1714757654058854E-3</v>
      </c>
      <c r="R28" s="76">
        <f>IFERROR(((J27/F27)^(1/($J$3-$F$3)))-1,"")</f>
        <v>-1</v>
      </c>
      <c r="S28" s="75" t="str">
        <f>IFERROR(((O27/K27)^(1/($O$3-$K$3)))-1,"")</f>
        <v/>
      </c>
    </row>
    <row r="29" spans="1:19" x14ac:dyDescent="0.2">
      <c r="A29" s="66" t="s">
        <v>50</v>
      </c>
      <c r="B29" s="74" t="s">
        <v>51</v>
      </c>
      <c r="C29" s="286"/>
      <c r="D29" s="71"/>
      <c r="E29" s="73">
        <f t="shared" ref="E29:O29" si="25">(D23-E23)+(D25-E25)+(E27-D27)</f>
        <v>-14.433116908605349</v>
      </c>
      <c r="F29" s="72">
        <f>(E23-F23)+(E25-F25)+(F27-E27)</f>
        <v>-11.075695703266192</v>
      </c>
      <c r="G29" s="71">
        <f t="shared" si="25"/>
        <v>-14.973222274285021</v>
      </c>
      <c r="H29" s="71">
        <f t="shared" si="25"/>
        <v>-13.975007455999368</v>
      </c>
      <c r="I29" s="71">
        <f t="shared" si="25"/>
        <v>153.72508201599294</v>
      </c>
      <c r="J29" s="73">
        <f t="shared" si="25"/>
        <v>0</v>
      </c>
      <c r="K29" s="72">
        <f t="shared" si="25"/>
        <v>0</v>
      </c>
      <c r="L29" s="71">
        <f t="shared" si="25"/>
        <v>0</v>
      </c>
      <c r="M29" s="71">
        <f t="shared" si="25"/>
        <v>0</v>
      </c>
      <c r="N29" s="71">
        <f t="shared" si="25"/>
        <v>0</v>
      </c>
      <c r="O29" s="70">
        <f t="shared" si="25"/>
        <v>0</v>
      </c>
      <c r="P29" s="66" t="s">
        <v>50</v>
      </c>
    </row>
    <row r="30" spans="1:19" x14ac:dyDescent="0.2">
      <c r="B30" s="69"/>
      <c r="C30" s="68"/>
      <c r="E30" s="69"/>
      <c r="F30" s="68"/>
    </row>
    <row r="31" spans="1:19" ht="13.2" x14ac:dyDescent="0.25">
      <c r="D31"/>
    </row>
    <row r="32" spans="1:19" ht="13.2" x14ac:dyDescent="0.25">
      <c r="D32"/>
    </row>
    <row r="33" spans="4:4" x14ac:dyDescent="0.2">
      <c r="D33" s="287"/>
    </row>
    <row r="34" spans="4:4" ht="13.2" x14ac:dyDescent="0.25">
      <c r="D34" s="288"/>
    </row>
    <row r="35" spans="4:4" x14ac:dyDescent="0.2">
      <c r="D35" s="67"/>
    </row>
  </sheetData>
  <pageMargins left="0.7" right="0.7" top="0.75" bottom="0.75" header="0.3" footer="0.3"/>
  <pageSetup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O38"/>
  <sheetViews>
    <sheetView showGridLines="0" zoomScale="115" zoomScaleNormal="115" workbookViewId="0">
      <selection activeCell="B5" sqref="B5"/>
    </sheetView>
  </sheetViews>
  <sheetFormatPr defaultColWidth="9.109375" defaultRowHeight="13.2" x14ac:dyDescent="0.25"/>
  <cols>
    <col min="1" max="1" width="2.6640625" customWidth="1"/>
    <col min="2" max="2" width="19" bestFit="1" customWidth="1"/>
    <col min="3" max="3" width="2.6640625" customWidth="1"/>
    <col min="4" max="4" width="36" bestFit="1" customWidth="1"/>
    <col min="5" max="15" width="10.109375" bestFit="1" customWidth="1"/>
  </cols>
  <sheetData>
    <row r="2" spans="2:15" s="29" customFormat="1" ht="13.8" thickBot="1" x14ac:dyDescent="0.3">
      <c r="B2"/>
      <c r="D2" s="35"/>
      <c r="E2" s="246"/>
      <c r="F2" s="245" t="s">
        <v>84</v>
      </c>
      <c r="G2" s="210"/>
      <c r="H2" s="210"/>
      <c r="I2" s="210"/>
      <c r="J2" s="210"/>
      <c r="K2" s="210"/>
      <c r="L2" s="210"/>
      <c r="M2" s="210"/>
      <c r="N2" s="210"/>
      <c r="O2" s="210"/>
    </row>
    <row r="3" spans="2:15" x14ac:dyDescent="0.25">
      <c r="D3" s="209" t="s">
        <v>101</v>
      </c>
      <c r="E3" s="208">
        <f>F3-1</f>
        <v>2017</v>
      </c>
      <c r="F3" s="289">
        <v>2018</v>
      </c>
      <c r="G3" s="290">
        <f>F3+1</f>
        <v>2019</v>
      </c>
      <c r="H3" s="290">
        <f t="shared" ref="H3:O3" si="0">G3+1</f>
        <v>2020</v>
      </c>
      <c r="I3" s="290">
        <f t="shared" si="0"/>
        <v>2021</v>
      </c>
      <c r="J3" s="290">
        <f t="shared" si="0"/>
        <v>2022</v>
      </c>
      <c r="K3" s="290">
        <f t="shared" si="0"/>
        <v>2023</v>
      </c>
      <c r="L3" s="290">
        <f t="shared" si="0"/>
        <v>2024</v>
      </c>
      <c r="M3" s="290">
        <f t="shared" si="0"/>
        <v>2025</v>
      </c>
      <c r="N3" s="290">
        <f t="shared" si="0"/>
        <v>2026</v>
      </c>
      <c r="O3" s="290">
        <f t="shared" si="0"/>
        <v>2027</v>
      </c>
    </row>
    <row r="4" spans="2:15" ht="13.8" thickBot="1" x14ac:dyDescent="0.3">
      <c r="B4" s="244" t="s">
        <v>100</v>
      </c>
      <c r="D4" s="240" t="s">
        <v>22</v>
      </c>
      <c r="E4" s="243">
        <f>'Base Case'!E3</f>
        <v>480.25781409374997</v>
      </c>
      <c r="F4" s="238">
        <f>'Base Case'!F3</f>
        <v>525</v>
      </c>
      <c r="G4" s="237">
        <f>'Base Case'!G3</f>
        <v>588</v>
      </c>
      <c r="H4" s="237">
        <f>'Base Case'!H3</f>
        <v>646.80000000000007</v>
      </c>
      <c r="I4" s="237">
        <f>'Base Case'!I3</f>
        <v>646.80000000000007</v>
      </c>
      <c r="J4" s="237">
        <f>'Base Case'!J3</f>
        <v>646.80000000000007</v>
      </c>
      <c r="K4" s="237">
        <f>'Base Case'!K3</f>
        <v>646.80000000000007</v>
      </c>
      <c r="L4" s="237">
        <f>'Base Case'!L3</f>
        <v>646.80000000000007</v>
      </c>
      <c r="M4" s="237">
        <f>'Base Case'!M3</f>
        <v>646.80000000000007</v>
      </c>
      <c r="N4" s="237">
        <f>'Base Case'!N3</f>
        <v>646.80000000000007</v>
      </c>
      <c r="O4" s="237">
        <f>'Base Case'!O3</f>
        <v>646.80000000000007</v>
      </c>
    </row>
    <row r="5" spans="2:15" s="172" customFormat="1" ht="13.8" thickBot="1" x14ac:dyDescent="0.3">
      <c r="B5" s="242">
        <v>1</v>
      </c>
      <c r="D5" s="236" t="s">
        <v>66</v>
      </c>
      <c r="E5" s="235">
        <f>'Base Case'!E4</f>
        <v>0.15500000000000003</v>
      </c>
      <c r="F5" s="234">
        <f>'Base Case'!F4</f>
        <v>9.2999999999999999E-2</v>
      </c>
      <c r="G5" s="233">
        <f t="shared" ref="G5:O5" si="1">G4/F4-1</f>
        <v>0.12000000000000011</v>
      </c>
      <c r="H5" s="233">
        <f t="shared" si="1"/>
        <v>0.10000000000000009</v>
      </c>
      <c r="I5" s="233">
        <f t="shared" si="1"/>
        <v>0</v>
      </c>
      <c r="J5" s="233">
        <f t="shared" si="1"/>
        <v>0</v>
      </c>
      <c r="K5" s="233">
        <f t="shared" si="1"/>
        <v>0</v>
      </c>
      <c r="L5" s="233">
        <f t="shared" si="1"/>
        <v>0</v>
      </c>
      <c r="M5" s="233">
        <f t="shared" si="1"/>
        <v>0</v>
      </c>
      <c r="N5" s="233">
        <f t="shared" si="1"/>
        <v>0</v>
      </c>
      <c r="O5" s="233">
        <f t="shared" si="1"/>
        <v>0</v>
      </c>
    </row>
    <row r="6" spans="2:15" s="172" customFormat="1" x14ac:dyDescent="0.25">
      <c r="B6" s="241"/>
      <c r="D6" s="240" t="s">
        <v>63</v>
      </c>
      <c r="E6" s="239">
        <f>'Base Case'!E11</f>
        <v>99.779496424453129</v>
      </c>
      <c r="F6" s="238">
        <f>'Base Case'!F11</f>
        <v>105</v>
      </c>
      <c r="G6" s="237">
        <f>'Base Case'!G11</f>
        <v>117.60000000000002</v>
      </c>
      <c r="H6" s="237">
        <f>'Base Case'!H11</f>
        <v>129.36000000000001</v>
      </c>
      <c r="I6" s="237">
        <f>'Base Case'!I11</f>
        <v>646.80000000000007</v>
      </c>
      <c r="J6" s="237">
        <f>'Base Case'!J11</f>
        <v>646.80000000000007</v>
      </c>
      <c r="K6" s="237">
        <f>'Base Case'!K11</f>
        <v>646.80000000000007</v>
      </c>
      <c r="L6" s="237">
        <f>'Base Case'!L11</f>
        <v>646.80000000000007</v>
      </c>
      <c r="M6" s="237">
        <f>'Base Case'!M11</f>
        <v>646.80000000000007</v>
      </c>
      <c r="N6" s="237">
        <f>'Base Case'!N11</f>
        <v>646.80000000000007</v>
      </c>
      <c r="O6" s="237">
        <f>'Base Case'!O11</f>
        <v>646.80000000000007</v>
      </c>
    </row>
    <row r="7" spans="2:15" s="172" customFormat="1" x14ac:dyDescent="0.25">
      <c r="B7" s="190" t="s">
        <v>99</v>
      </c>
      <c r="D7" s="236" t="s">
        <v>98</v>
      </c>
      <c r="E7" s="235">
        <f t="shared" ref="E7:O7" si="2">E6/E4</f>
        <v>0.20776235908360549</v>
      </c>
      <c r="F7" s="234">
        <f t="shared" si="2"/>
        <v>0.2</v>
      </c>
      <c r="G7" s="233">
        <f t="shared" si="2"/>
        <v>0.20000000000000004</v>
      </c>
      <c r="H7" s="233">
        <f t="shared" si="2"/>
        <v>0.2</v>
      </c>
      <c r="I7" s="233">
        <f t="shared" si="2"/>
        <v>1</v>
      </c>
      <c r="J7" s="233">
        <f t="shared" si="2"/>
        <v>1</v>
      </c>
      <c r="K7" s="233">
        <f t="shared" si="2"/>
        <v>1</v>
      </c>
      <c r="L7" s="233">
        <f t="shared" si="2"/>
        <v>1</v>
      </c>
      <c r="M7" s="233">
        <f t="shared" si="2"/>
        <v>1</v>
      </c>
      <c r="N7" s="233">
        <f t="shared" si="2"/>
        <v>1</v>
      </c>
      <c r="O7" s="233">
        <f t="shared" si="2"/>
        <v>1</v>
      </c>
    </row>
    <row r="8" spans="2:15" x14ac:dyDescent="0.25">
      <c r="B8" s="228">
        <v>0.04</v>
      </c>
      <c r="D8" s="197" t="s">
        <v>97</v>
      </c>
      <c r="E8" s="196">
        <f t="shared" ref="E8:O8" si="3">IF($B$5=0,0,((E25*$B$12)+((($B$23-E24)*$B$10)+(E24*$B$8)))*-1)</f>
        <v>-5.41</v>
      </c>
      <c r="F8" s="232">
        <f t="shared" ca="1" si="3"/>
        <v>-3.7779350776877738</v>
      </c>
      <c r="G8" s="231">
        <f t="shared" ca="1" si="3"/>
        <v>-1.9604381530410988</v>
      </c>
      <c r="H8" s="231">
        <f t="shared" ca="1" si="3"/>
        <v>-1</v>
      </c>
      <c r="I8" s="231">
        <f t="shared" ca="1" si="3"/>
        <v>-1</v>
      </c>
      <c r="J8" s="231">
        <f t="shared" ca="1" si="3"/>
        <v>-1</v>
      </c>
      <c r="K8" s="231">
        <f t="shared" ca="1" si="3"/>
        <v>-1</v>
      </c>
      <c r="L8" s="231">
        <f t="shared" ca="1" si="3"/>
        <v>-1</v>
      </c>
      <c r="M8" s="231">
        <f t="shared" ca="1" si="3"/>
        <v>-1</v>
      </c>
      <c r="N8" s="231">
        <f t="shared" ca="1" si="3"/>
        <v>-1</v>
      </c>
      <c r="O8" s="231">
        <f t="shared" ca="1" si="3"/>
        <v>-1</v>
      </c>
    </row>
    <row r="9" spans="2:15" x14ac:dyDescent="0.25">
      <c r="B9" s="190" t="s">
        <v>96</v>
      </c>
      <c r="D9" s="197" t="s">
        <v>95</v>
      </c>
      <c r="E9" s="196"/>
      <c r="F9" s="232">
        <f>-'Base Case'!F13</f>
        <v>-20.940942867268149</v>
      </c>
      <c r="G9" s="231">
        <f>-'Base Case'!G13</f>
        <v>-23.453856011340331</v>
      </c>
      <c r="H9" s="231">
        <f>-'Base Case'!H13</f>
        <v>-25.799241612474361</v>
      </c>
      <c r="I9" s="230">
        <f>-'Base Case'!I13</f>
        <v>-128.99620806237181</v>
      </c>
      <c r="J9" s="230">
        <f>-'Base Case'!J13</f>
        <v>-128.99620806237181</v>
      </c>
      <c r="K9" s="230">
        <f>-'Base Case'!K13</f>
        <v>-128.99620806237181</v>
      </c>
      <c r="L9" s="230">
        <f>-'Base Case'!L13</f>
        <v>-128.99620806237181</v>
      </c>
      <c r="M9" s="230">
        <f>-'Base Case'!M13</f>
        <v>-128.99620806237181</v>
      </c>
      <c r="N9" s="230">
        <f>-'Base Case'!N13</f>
        <v>-128.99620806237181</v>
      </c>
      <c r="O9" s="230">
        <f>-'Base Case'!O13</f>
        <v>-128.99620806237181</v>
      </c>
    </row>
    <row r="10" spans="2:15" x14ac:dyDescent="0.25">
      <c r="B10" s="228">
        <v>5.0000000000000001E-3</v>
      </c>
      <c r="D10" s="197" t="s">
        <v>51</v>
      </c>
      <c r="E10" s="196"/>
      <c r="F10" s="232">
        <f>'Base Case'!F29</f>
        <v>-11.075695703266192</v>
      </c>
      <c r="G10" s="231">
        <f>'Base Case'!G29</f>
        <v>-14.973222274285021</v>
      </c>
      <c r="H10" s="231">
        <f>'Base Case'!H29</f>
        <v>-13.975007455999368</v>
      </c>
      <c r="I10" s="230">
        <f>'Base Case'!I29</f>
        <v>153.72508201599294</v>
      </c>
      <c r="J10" s="230">
        <f>'Base Case'!J29</f>
        <v>0</v>
      </c>
      <c r="K10" s="230">
        <f>'Base Case'!K29</f>
        <v>0</v>
      </c>
      <c r="L10" s="230">
        <f>'Base Case'!L29</f>
        <v>0</v>
      </c>
      <c r="M10" s="230">
        <f>'Base Case'!M29</f>
        <v>0</v>
      </c>
      <c r="N10" s="230">
        <f>'Base Case'!N29</f>
        <v>0</v>
      </c>
      <c r="O10" s="230">
        <f>'Base Case'!O29</f>
        <v>0</v>
      </c>
    </row>
    <row r="11" spans="2:15" x14ac:dyDescent="0.25">
      <c r="B11" s="190" t="s">
        <v>94</v>
      </c>
      <c r="D11" s="229" t="s">
        <v>93</v>
      </c>
      <c r="E11" s="227"/>
      <c r="F11" s="226">
        <f>-'Base Case'!F17</f>
        <v>-18.375</v>
      </c>
      <c r="G11" s="225">
        <f>-'Base Case'!G17</f>
        <v>-20.580000000000002</v>
      </c>
      <c r="H11" s="225">
        <f>-'Base Case'!H17</f>
        <v>-22.638000000000005</v>
      </c>
      <c r="I11" s="225">
        <f>-'Base Case'!I17</f>
        <v>0</v>
      </c>
      <c r="J11" s="225">
        <f>-'Base Case'!J17</f>
        <v>0</v>
      </c>
      <c r="K11" s="225">
        <f>-'Base Case'!K17</f>
        <v>0</v>
      </c>
      <c r="L11" s="225">
        <f>-'Base Case'!L17</f>
        <v>-22.638000000000005</v>
      </c>
      <c r="M11" s="225">
        <f>-'Base Case'!M17</f>
        <v>-22.638000000000005</v>
      </c>
      <c r="N11" s="225">
        <f>-'Base Case'!N17</f>
        <v>-22.638000000000005</v>
      </c>
      <c r="O11" s="225">
        <f>-'Base Case'!O17</f>
        <v>-22.638000000000005</v>
      </c>
    </row>
    <row r="12" spans="2:15" x14ac:dyDescent="0.25">
      <c r="B12" s="228">
        <v>0.04</v>
      </c>
      <c r="D12" s="197" t="s">
        <v>92</v>
      </c>
      <c r="E12" s="227"/>
      <c r="F12" s="226">
        <f>-'Base Case'!F19</f>
        <v>-4.2</v>
      </c>
      <c r="G12" s="225">
        <f>-'Base Case'!G19</f>
        <v>-4.7039999999999997</v>
      </c>
      <c r="H12" s="225">
        <f>-'Base Case'!H19</f>
        <v>-5.1744000000000003</v>
      </c>
      <c r="I12" s="225">
        <f>-'Base Case'!I19</f>
        <v>0</v>
      </c>
      <c r="J12" s="225">
        <f>-'Base Case'!J19</f>
        <v>0</v>
      </c>
      <c r="K12" s="225">
        <f>-'Base Case'!K19</f>
        <v>0</v>
      </c>
      <c r="L12" s="225">
        <f>-'Base Case'!L19</f>
        <v>-5.1744000000000003</v>
      </c>
      <c r="M12" s="225">
        <f>-'Base Case'!M19</f>
        <v>-5.1744000000000003</v>
      </c>
      <c r="N12" s="225">
        <f>-'Base Case'!N19</f>
        <v>-5.1744000000000003</v>
      </c>
      <c r="O12" s="225">
        <f>-'Base Case'!O19</f>
        <v>-5.1744000000000003</v>
      </c>
    </row>
    <row r="13" spans="2:15" x14ac:dyDescent="0.25">
      <c r="B13" s="173"/>
      <c r="D13" s="202" t="s">
        <v>91</v>
      </c>
      <c r="E13" s="224"/>
      <c r="F13" s="200">
        <f ca="1">F6+SUM(F8:F12)</f>
        <v>46.630426351777885</v>
      </c>
      <c r="G13" s="199">
        <f t="shared" ref="G13:O13" ca="1" si="4">G6+SUM(G8:G12)</f>
        <v>51.928483561333579</v>
      </c>
      <c r="H13" s="199">
        <f t="shared" ca="1" si="4"/>
        <v>60.773350931526281</v>
      </c>
      <c r="I13" s="199">
        <f t="shared" ca="1" si="4"/>
        <v>670.5288739536212</v>
      </c>
      <c r="J13" s="199">
        <f t="shared" ca="1" si="4"/>
        <v>516.80379193762826</v>
      </c>
      <c r="K13" s="199">
        <f t="shared" ca="1" si="4"/>
        <v>516.80379193762826</v>
      </c>
      <c r="L13" s="199">
        <f t="shared" ca="1" si="4"/>
        <v>488.99139193762824</v>
      </c>
      <c r="M13" s="199">
        <f t="shared" ca="1" si="4"/>
        <v>488.99139193762824</v>
      </c>
      <c r="N13" s="199">
        <f t="shared" ca="1" si="4"/>
        <v>488.99139193762824</v>
      </c>
      <c r="O13" s="199">
        <f t="shared" ca="1" si="4"/>
        <v>488.99139193762824</v>
      </c>
    </row>
    <row r="14" spans="2:15" s="172" customFormat="1" x14ac:dyDescent="0.25">
      <c r="B14" s="218"/>
      <c r="D14" s="177" t="s">
        <v>90</v>
      </c>
      <c r="E14" s="217"/>
      <c r="F14" s="216">
        <f ca="1">F13</f>
        <v>46.630426351777885</v>
      </c>
      <c r="G14" s="215">
        <f ca="1">G13+F14</f>
        <v>98.558909913111464</v>
      </c>
      <c r="H14" s="215">
        <f t="shared" ref="H14:O14" ca="1" si="5">H13+G14</f>
        <v>159.33226084463774</v>
      </c>
      <c r="I14" s="215">
        <f t="shared" ca="1" si="5"/>
        <v>829.86113479825895</v>
      </c>
      <c r="J14" s="215">
        <f t="shared" ca="1" si="5"/>
        <v>1346.6649267358871</v>
      </c>
      <c r="K14" s="215">
        <f t="shared" ca="1" si="5"/>
        <v>1863.4687186735155</v>
      </c>
      <c r="L14" s="215">
        <f t="shared" ca="1" si="5"/>
        <v>2352.4601106111436</v>
      </c>
      <c r="M14" s="215">
        <f t="shared" ca="1" si="5"/>
        <v>2841.4515025487717</v>
      </c>
      <c r="N14" s="215">
        <f t="shared" ca="1" si="5"/>
        <v>3330.4428944863998</v>
      </c>
      <c r="O14" s="215">
        <f t="shared" ca="1" si="5"/>
        <v>3819.434286424028</v>
      </c>
    </row>
    <row r="15" spans="2:15" ht="2.5499999999999998" customHeight="1" thickBot="1" x14ac:dyDescent="0.3">
      <c r="D15" s="197"/>
      <c r="E15" s="223"/>
      <c r="F15" s="213"/>
    </row>
    <row r="16" spans="2:15" ht="14.4" thickTop="1" thickBot="1" x14ac:dyDescent="0.3">
      <c r="D16" s="197"/>
      <c r="E16" s="223"/>
      <c r="F16" s="213"/>
      <c r="L16" s="222">
        <f ca="1">L14/E26</f>
        <v>18.67031833818368</v>
      </c>
      <c r="M16" s="44" t="s">
        <v>89</v>
      </c>
    </row>
    <row r="17" spans="2:15" ht="2.5499999999999998" customHeight="1" thickTop="1" x14ac:dyDescent="0.25">
      <c r="E17" s="214"/>
      <c r="F17" s="213"/>
    </row>
    <row r="18" spans="2:15" s="172" customFormat="1" x14ac:dyDescent="0.25">
      <c r="D18" s="221" t="s">
        <v>88</v>
      </c>
      <c r="E18" s="217"/>
      <c r="F18" s="220">
        <f>E25-F25</f>
        <v>0</v>
      </c>
      <c r="G18" s="215">
        <f t="shared" ref="G18:O18" si="6">F25-G25</f>
        <v>0</v>
      </c>
      <c r="H18" s="215">
        <f t="shared" si="6"/>
        <v>0</v>
      </c>
      <c r="I18" s="215">
        <f t="shared" si="6"/>
        <v>0</v>
      </c>
      <c r="J18" s="215">
        <f t="shared" si="6"/>
        <v>0</v>
      </c>
      <c r="K18" s="215">
        <f t="shared" si="6"/>
        <v>0</v>
      </c>
      <c r="L18" s="215">
        <f t="shared" si="6"/>
        <v>0</v>
      </c>
      <c r="M18" s="215">
        <f t="shared" si="6"/>
        <v>0</v>
      </c>
      <c r="N18" s="215">
        <f t="shared" si="6"/>
        <v>0</v>
      </c>
      <c r="O18" s="215">
        <f t="shared" si="6"/>
        <v>0</v>
      </c>
    </row>
    <row r="19" spans="2:15" x14ac:dyDescent="0.25">
      <c r="D19" s="202" t="s">
        <v>87</v>
      </c>
      <c r="E19" s="219"/>
      <c r="F19" s="200">
        <f t="shared" ref="F19:O19" ca="1" si="7">F13-F18</f>
        <v>46.630426351777885</v>
      </c>
      <c r="G19" s="199">
        <f t="shared" ca="1" si="7"/>
        <v>51.928483561333579</v>
      </c>
      <c r="H19" s="199">
        <f t="shared" ca="1" si="7"/>
        <v>60.773350931526281</v>
      </c>
      <c r="I19" s="199">
        <f t="shared" ca="1" si="7"/>
        <v>670.5288739536212</v>
      </c>
      <c r="J19" s="199">
        <f t="shared" ca="1" si="7"/>
        <v>516.80379193762826</v>
      </c>
      <c r="K19" s="199">
        <f t="shared" ca="1" si="7"/>
        <v>516.80379193762826</v>
      </c>
      <c r="L19" s="199">
        <f t="shared" ca="1" si="7"/>
        <v>488.99139193762824</v>
      </c>
      <c r="M19" s="199">
        <f t="shared" ca="1" si="7"/>
        <v>488.99139193762824</v>
      </c>
      <c r="N19" s="199">
        <f t="shared" ca="1" si="7"/>
        <v>488.99139193762824</v>
      </c>
      <c r="O19" s="199">
        <f t="shared" ca="1" si="7"/>
        <v>488.99139193762824</v>
      </c>
    </row>
    <row r="20" spans="2:15" s="172" customFormat="1" x14ac:dyDescent="0.25">
      <c r="B20" s="218"/>
      <c r="D20" s="177" t="s">
        <v>86</v>
      </c>
      <c r="E20" s="217"/>
      <c r="F20" s="216">
        <f ca="1">F19</f>
        <v>46.630426351777885</v>
      </c>
      <c r="G20" s="215">
        <f ca="1">G19+F20</f>
        <v>98.558909913111464</v>
      </c>
      <c r="H20" s="215">
        <f t="shared" ref="H20:O20" ca="1" si="8">H19+G20</f>
        <v>159.33226084463774</v>
      </c>
      <c r="I20" s="215">
        <f t="shared" ca="1" si="8"/>
        <v>829.86113479825895</v>
      </c>
      <c r="J20" s="215">
        <f t="shared" ca="1" si="8"/>
        <v>1346.6649267358871</v>
      </c>
      <c r="K20" s="215">
        <f t="shared" ca="1" si="8"/>
        <v>1863.4687186735155</v>
      </c>
      <c r="L20" s="215">
        <f t="shared" ca="1" si="8"/>
        <v>2352.4601106111436</v>
      </c>
      <c r="M20" s="215">
        <f t="shared" ca="1" si="8"/>
        <v>2841.4515025487717</v>
      </c>
      <c r="N20" s="215">
        <f t="shared" ca="1" si="8"/>
        <v>3330.4428944863998</v>
      </c>
      <c r="O20" s="215">
        <f t="shared" ca="1" si="8"/>
        <v>3819.434286424028</v>
      </c>
    </row>
    <row r="21" spans="2:15" ht="2.5499999999999998" customHeight="1" x14ac:dyDescent="0.25">
      <c r="E21" s="214"/>
      <c r="F21" s="213"/>
    </row>
    <row r="22" spans="2:15" s="29" customFormat="1" ht="13.8" thickBot="1" x14ac:dyDescent="0.3">
      <c r="B22" s="190" t="s">
        <v>85</v>
      </c>
      <c r="D22" s="32"/>
      <c r="E22" s="212"/>
      <c r="F22" s="211" t="s">
        <v>84</v>
      </c>
      <c r="G22" s="210"/>
      <c r="H22" s="210"/>
      <c r="I22" s="210"/>
      <c r="J22" s="210"/>
      <c r="K22" s="210"/>
      <c r="L22" s="210"/>
      <c r="M22" s="210"/>
      <c r="N22" s="210"/>
      <c r="O22" s="210"/>
    </row>
    <row r="23" spans="2:15" x14ac:dyDescent="0.25">
      <c r="B23" s="205">
        <v>200</v>
      </c>
      <c r="D23" s="209" t="s">
        <v>83</v>
      </c>
      <c r="E23" s="208">
        <f>F23-1</f>
        <v>2017</v>
      </c>
      <c r="F23" s="207">
        <v>2018</v>
      </c>
      <c r="G23" s="206">
        <f>F23+1</f>
        <v>2019</v>
      </c>
      <c r="H23" s="206">
        <f t="shared" ref="H23:O23" si="9">G23+1</f>
        <v>2020</v>
      </c>
      <c r="I23" s="206">
        <f t="shared" si="9"/>
        <v>2021</v>
      </c>
      <c r="J23" s="206">
        <f t="shared" si="9"/>
        <v>2022</v>
      </c>
      <c r="K23" s="206">
        <f t="shared" si="9"/>
        <v>2023</v>
      </c>
      <c r="L23" s="206">
        <f t="shared" si="9"/>
        <v>2024</v>
      </c>
      <c r="M23" s="206">
        <f t="shared" si="9"/>
        <v>2025</v>
      </c>
      <c r="N23" s="206">
        <f t="shared" si="9"/>
        <v>2026</v>
      </c>
      <c r="O23" s="206">
        <f t="shared" si="9"/>
        <v>2027</v>
      </c>
    </row>
    <row r="24" spans="2:15" x14ac:dyDescent="0.25">
      <c r="B24" s="190" t="s">
        <v>82</v>
      </c>
      <c r="D24" s="197" t="s">
        <v>81</v>
      </c>
      <c r="E24" s="196">
        <v>126</v>
      </c>
      <c r="F24" s="204">
        <f t="shared" ref="F24:O24" ca="1" si="10">MIN(IF(F19&gt;0,E24-MIN(E24,F19),E24-F19),$B$23)</f>
        <v>79.369573648222115</v>
      </c>
      <c r="G24" s="203">
        <f t="shared" ca="1" si="10"/>
        <v>27.441090086888536</v>
      </c>
      <c r="H24" s="203">
        <f t="shared" ca="1" si="10"/>
        <v>0</v>
      </c>
      <c r="I24" s="203">
        <f t="shared" ca="1" si="10"/>
        <v>0</v>
      </c>
      <c r="J24" s="203">
        <f t="shared" ca="1" si="10"/>
        <v>0</v>
      </c>
      <c r="K24" s="203">
        <f t="shared" ca="1" si="10"/>
        <v>0</v>
      </c>
      <c r="L24" s="203">
        <f t="shared" ca="1" si="10"/>
        <v>0</v>
      </c>
      <c r="M24" s="203">
        <f t="shared" ca="1" si="10"/>
        <v>0</v>
      </c>
      <c r="N24" s="203">
        <f t="shared" ca="1" si="10"/>
        <v>0</v>
      </c>
      <c r="O24" s="203">
        <f t="shared" ca="1" si="10"/>
        <v>0</v>
      </c>
    </row>
    <row r="25" spans="2:15" x14ac:dyDescent="0.25">
      <c r="B25" s="205">
        <v>0</v>
      </c>
      <c r="D25" s="197" t="s">
        <v>80</v>
      </c>
      <c r="E25" s="196">
        <f>B25</f>
        <v>0</v>
      </c>
      <c r="F25" s="204">
        <f>E25-($E$25*$B$27)</f>
        <v>0</v>
      </c>
      <c r="G25" s="203">
        <f t="shared" ref="G25:O25" si="11">F25-($E$25*$B$27)</f>
        <v>0</v>
      </c>
      <c r="H25" s="203">
        <f t="shared" si="11"/>
        <v>0</v>
      </c>
      <c r="I25" s="203">
        <f t="shared" si="11"/>
        <v>0</v>
      </c>
      <c r="J25" s="203">
        <f t="shared" si="11"/>
        <v>0</v>
      </c>
      <c r="K25" s="203">
        <f t="shared" si="11"/>
        <v>0</v>
      </c>
      <c r="L25" s="203">
        <f t="shared" si="11"/>
        <v>0</v>
      </c>
      <c r="M25" s="203">
        <f t="shared" si="11"/>
        <v>0</v>
      </c>
      <c r="N25" s="203">
        <f t="shared" si="11"/>
        <v>0</v>
      </c>
      <c r="O25" s="203">
        <f t="shared" si="11"/>
        <v>0</v>
      </c>
    </row>
    <row r="26" spans="2:15" x14ac:dyDescent="0.25">
      <c r="B26" s="190" t="s">
        <v>79</v>
      </c>
      <c r="D26" s="202" t="s">
        <v>6</v>
      </c>
      <c r="E26" s="201">
        <f>E25+E24</f>
        <v>126</v>
      </c>
      <c r="F26" s="200">
        <f ca="1">F25+F24</f>
        <v>79.369573648222115</v>
      </c>
      <c r="G26" s="199">
        <f t="shared" ref="G26:O26" ca="1" si="12">G25+G24</f>
        <v>27.441090086888536</v>
      </c>
      <c r="H26" s="199">
        <f t="shared" ca="1" si="12"/>
        <v>0</v>
      </c>
      <c r="I26" s="199">
        <f t="shared" ca="1" si="12"/>
        <v>0</v>
      </c>
      <c r="J26" s="199">
        <f t="shared" ca="1" si="12"/>
        <v>0</v>
      </c>
      <c r="K26" s="199">
        <f t="shared" ca="1" si="12"/>
        <v>0</v>
      </c>
      <c r="L26" s="199">
        <f t="shared" ca="1" si="12"/>
        <v>0</v>
      </c>
      <c r="M26" s="199">
        <f t="shared" ca="1" si="12"/>
        <v>0</v>
      </c>
      <c r="N26" s="199">
        <f t="shared" ca="1" si="12"/>
        <v>0</v>
      </c>
      <c r="O26" s="199">
        <f t="shared" ca="1" si="12"/>
        <v>0</v>
      </c>
    </row>
    <row r="27" spans="2:15" x14ac:dyDescent="0.25">
      <c r="B27" s="198">
        <v>0.1</v>
      </c>
      <c r="D27" s="197"/>
      <c r="E27" s="196"/>
      <c r="F27" s="195"/>
      <c r="G27" s="194"/>
      <c r="H27" s="194"/>
      <c r="I27" s="194"/>
      <c r="J27" s="194"/>
      <c r="K27" s="194"/>
      <c r="L27" s="194"/>
      <c r="M27" s="194"/>
      <c r="N27" s="194"/>
      <c r="O27" s="194"/>
    </row>
    <row r="28" spans="2:15" x14ac:dyDescent="0.25">
      <c r="B28" s="190" t="s">
        <v>77</v>
      </c>
      <c r="D28" s="189" t="s">
        <v>78</v>
      </c>
      <c r="E28" s="188">
        <f>IFERROR(E26/E6,"")</f>
        <v>1.2627844849407455</v>
      </c>
      <c r="F28" s="187">
        <f t="shared" ref="F28:O28" ca="1" si="13">IFERROR(F26/F6,"")</f>
        <v>0.75590070141163923</v>
      </c>
      <c r="G28" s="186">
        <f t="shared" ca="1" si="13"/>
        <v>0.23334260277966437</v>
      </c>
      <c r="H28" s="186">
        <f t="shared" ca="1" si="13"/>
        <v>0</v>
      </c>
      <c r="I28" s="291"/>
      <c r="J28" s="291"/>
      <c r="K28" s="291"/>
      <c r="L28" s="186">
        <f t="shared" ca="1" si="13"/>
        <v>0</v>
      </c>
      <c r="M28" s="186">
        <f t="shared" ca="1" si="13"/>
        <v>0</v>
      </c>
      <c r="N28" s="186">
        <f t="shared" ca="1" si="13"/>
        <v>0</v>
      </c>
      <c r="O28" s="186">
        <f t="shared" ca="1" si="13"/>
        <v>0</v>
      </c>
    </row>
    <row r="29" spans="2:15" x14ac:dyDescent="0.25">
      <c r="B29" s="185">
        <v>3.5</v>
      </c>
      <c r="D29" s="193" t="s">
        <v>77</v>
      </c>
      <c r="E29" s="183">
        <f t="shared" ref="E29:O29" si="14">$B$29</f>
        <v>3.5</v>
      </c>
      <c r="F29" s="182">
        <f t="shared" si="14"/>
        <v>3.5</v>
      </c>
      <c r="G29" s="181">
        <f t="shared" si="14"/>
        <v>3.5</v>
      </c>
      <c r="H29" s="181">
        <f t="shared" si="14"/>
        <v>3.5</v>
      </c>
      <c r="I29" s="181">
        <f t="shared" si="14"/>
        <v>3.5</v>
      </c>
      <c r="J29" s="181">
        <f t="shared" si="14"/>
        <v>3.5</v>
      </c>
      <c r="K29" s="181">
        <f t="shared" si="14"/>
        <v>3.5</v>
      </c>
      <c r="L29" s="181">
        <f t="shared" si="14"/>
        <v>3.5</v>
      </c>
      <c r="M29" s="181">
        <f t="shared" si="14"/>
        <v>3.5</v>
      </c>
      <c r="N29" s="181">
        <f t="shared" si="14"/>
        <v>3.5</v>
      </c>
      <c r="O29" s="181">
        <f t="shared" si="14"/>
        <v>3.5</v>
      </c>
    </row>
    <row r="30" spans="2:15" s="172" customFormat="1" x14ac:dyDescent="0.25">
      <c r="D30" s="177" t="s">
        <v>73</v>
      </c>
      <c r="E30" s="180">
        <f>E6-E26/E29</f>
        <v>63.779496424453129</v>
      </c>
      <c r="F30" s="179">
        <f t="shared" ref="F30:O30" ca="1" si="15">F6-F26/F29</f>
        <v>82.322978957650832</v>
      </c>
      <c r="G30" s="178">
        <f t="shared" ca="1" si="15"/>
        <v>109.7596885466033</v>
      </c>
      <c r="H30" s="178">
        <f t="shared" ca="1" si="15"/>
        <v>129.36000000000001</v>
      </c>
      <c r="I30" s="292"/>
      <c r="J30" s="292"/>
      <c r="K30" s="292"/>
      <c r="L30" s="178">
        <f t="shared" ca="1" si="15"/>
        <v>646.80000000000007</v>
      </c>
      <c r="M30" s="178">
        <f t="shared" ca="1" si="15"/>
        <v>646.80000000000007</v>
      </c>
      <c r="N30" s="178">
        <f t="shared" ca="1" si="15"/>
        <v>646.80000000000007</v>
      </c>
      <c r="O30" s="178">
        <f t="shared" ca="1" si="15"/>
        <v>646.80000000000007</v>
      </c>
    </row>
    <row r="31" spans="2:15" s="172" customFormat="1" x14ac:dyDescent="0.25">
      <c r="D31" s="177" t="s">
        <v>72</v>
      </c>
      <c r="E31" s="176">
        <f>IFERROR(E30/E6,"")</f>
        <v>0.63920443287407269</v>
      </c>
      <c r="F31" s="175">
        <f t="shared" ref="F31:O31" ca="1" si="16">IFERROR(F30/F6,"")</f>
        <v>0.78402837102524603</v>
      </c>
      <c r="G31" s="174">
        <f t="shared" ca="1" si="16"/>
        <v>0.93333068492009585</v>
      </c>
      <c r="H31" s="174">
        <f t="shared" ca="1" si="16"/>
        <v>1</v>
      </c>
      <c r="I31" s="293"/>
      <c r="J31" s="293"/>
      <c r="K31" s="293"/>
      <c r="L31" s="174">
        <f t="shared" ca="1" si="16"/>
        <v>1</v>
      </c>
      <c r="M31" s="174">
        <f t="shared" ca="1" si="16"/>
        <v>1</v>
      </c>
      <c r="N31" s="174">
        <f t="shared" ca="1" si="16"/>
        <v>1</v>
      </c>
      <c r="O31" s="174">
        <f t="shared" ca="1" si="16"/>
        <v>1</v>
      </c>
    </row>
    <row r="32" spans="2:15" s="172" customFormat="1" ht="4.95" customHeight="1" x14ac:dyDescent="0.25">
      <c r="D32" s="177"/>
      <c r="E32" s="176"/>
      <c r="F32" s="192"/>
      <c r="G32" s="191"/>
      <c r="H32" s="191"/>
      <c r="I32" s="191"/>
      <c r="J32" s="191"/>
      <c r="K32" s="191"/>
      <c r="L32" s="191"/>
      <c r="M32" s="191"/>
      <c r="N32" s="191"/>
      <c r="O32" s="191"/>
    </row>
    <row r="33" spans="2:15" x14ac:dyDescent="0.25">
      <c r="B33" s="190" t="s">
        <v>76</v>
      </c>
      <c r="D33" s="189" t="s">
        <v>75</v>
      </c>
      <c r="E33" s="188">
        <f>IFERROR(E6/-E8,"")</f>
        <v>18.443529838161393</v>
      </c>
      <c r="F33" s="187">
        <f ca="1">IFERROR(F6/-F8,"")</f>
        <v>27.792960397896412</v>
      </c>
      <c r="G33" s="186">
        <f t="shared" ref="G33:O33" ca="1" si="17">IFERROR(G6/-G8,"")</f>
        <v>59.98659014954125</v>
      </c>
      <c r="H33" s="186">
        <f t="shared" ca="1" si="17"/>
        <v>129.36000000000001</v>
      </c>
      <c r="I33" s="291"/>
      <c r="J33" s="291"/>
      <c r="K33" s="291"/>
      <c r="L33" s="186">
        <f t="shared" ca="1" si="17"/>
        <v>646.80000000000007</v>
      </c>
      <c r="M33" s="186">
        <f t="shared" ca="1" si="17"/>
        <v>646.80000000000007</v>
      </c>
      <c r="N33" s="186">
        <f t="shared" ca="1" si="17"/>
        <v>646.80000000000007</v>
      </c>
      <c r="O33" s="186">
        <f t="shared" ca="1" si="17"/>
        <v>646.80000000000007</v>
      </c>
    </row>
    <row r="34" spans="2:15" x14ac:dyDescent="0.25">
      <c r="B34" s="185">
        <v>3.5</v>
      </c>
      <c r="D34" s="184" t="s">
        <v>74</v>
      </c>
      <c r="E34" s="183">
        <f t="shared" ref="E34:O34" si="18">$B$34</f>
        <v>3.5</v>
      </c>
      <c r="F34" s="182">
        <f t="shared" si="18"/>
        <v>3.5</v>
      </c>
      <c r="G34" s="181">
        <f t="shared" si="18"/>
        <v>3.5</v>
      </c>
      <c r="H34" s="181">
        <f t="shared" si="18"/>
        <v>3.5</v>
      </c>
      <c r="I34" s="181">
        <f t="shared" si="18"/>
        <v>3.5</v>
      </c>
      <c r="J34" s="181">
        <f t="shared" si="18"/>
        <v>3.5</v>
      </c>
      <c r="K34" s="181">
        <f t="shared" si="18"/>
        <v>3.5</v>
      </c>
      <c r="L34" s="181">
        <f t="shared" si="18"/>
        <v>3.5</v>
      </c>
      <c r="M34" s="181">
        <f t="shared" si="18"/>
        <v>3.5</v>
      </c>
      <c r="N34" s="181">
        <f t="shared" si="18"/>
        <v>3.5</v>
      </c>
      <c r="O34" s="181">
        <f t="shared" si="18"/>
        <v>3.5</v>
      </c>
    </row>
    <row r="35" spans="2:15" s="172" customFormat="1" x14ac:dyDescent="0.25">
      <c r="D35" s="177" t="s">
        <v>73</v>
      </c>
      <c r="E35" s="180">
        <f>E6+E34*E8</f>
        <v>80.844496424453126</v>
      </c>
      <c r="F35" s="179">
        <f t="shared" ref="F35:O35" ca="1" si="19">F6+F34*F8</f>
        <v>91.777227228092784</v>
      </c>
      <c r="G35" s="178">
        <f t="shared" ca="1" si="19"/>
        <v>110.73846646435618</v>
      </c>
      <c r="H35" s="178">
        <f t="shared" ca="1" si="19"/>
        <v>125.86000000000001</v>
      </c>
      <c r="I35" s="292"/>
      <c r="J35" s="292"/>
      <c r="K35" s="292"/>
      <c r="L35" s="178">
        <f t="shared" ca="1" si="19"/>
        <v>643.30000000000007</v>
      </c>
      <c r="M35" s="178">
        <f t="shared" ca="1" si="19"/>
        <v>643.30000000000007</v>
      </c>
      <c r="N35" s="178">
        <f t="shared" ca="1" si="19"/>
        <v>643.30000000000007</v>
      </c>
      <c r="O35" s="178">
        <f t="shared" ca="1" si="19"/>
        <v>643.30000000000007</v>
      </c>
    </row>
    <row r="36" spans="2:15" s="172" customFormat="1" x14ac:dyDescent="0.25">
      <c r="D36" s="177" t="s">
        <v>72</v>
      </c>
      <c r="E36" s="176">
        <f>IFERROR(E35/E6,"")</f>
        <v>0.8102315537908491</v>
      </c>
      <c r="F36" s="175">
        <f t="shared" ref="F36:O36" ca="1" si="20">IFERROR(F35/F6,"")</f>
        <v>0.87406883074374075</v>
      </c>
      <c r="G36" s="174">
        <f t="shared" ca="1" si="20"/>
        <v>0.94165362639758643</v>
      </c>
      <c r="H36" s="174">
        <f t="shared" ca="1" si="20"/>
        <v>0.972943722943723</v>
      </c>
      <c r="I36" s="293"/>
      <c r="J36" s="293"/>
      <c r="K36" s="293"/>
      <c r="L36" s="174">
        <f t="shared" ca="1" si="20"/>
        <v>0.99458874458874458</v>
      </c>
      <c r="M36" s="174">
        <f t="shared" ca="1" si="20"/>
        <v>0.99458874458874458</v>
      </c>
      <c r="N36" s="174">
        <f t="shared" ca="1" si="20"/>
        <v>0.99458874458874458</v>
      </c>
      <c r="O36" s="174">
        <f t="shared" ca="1" si="20"/>
        <v>0.99458874458874458</v>
      </c>
    </row>
    <row r="37" spans="2:15" x14ac:dyDescent="0.25">
      <c r="B37" s="172"/>
      <c r="E37" s="173"/>
    </row>
    <row r="38" spans="2:15" x14ac:dyDescent="0.25">
      <c r="B38" s="172"/>
    </row>
  </sheetData>
  <dataValidations count="1">
    <dataValidation type="list" allowBlank="1" showInputMessage="1" showErrorMessage="1" sqref="B5" xr:uid="{00000000-0002-0000-0400-000000000000}">
      <formula1>"0,1"</formula1>
    </dataValidation>
  </dataValidations>
  <pageMargins left="0.7" right="0.7" top="0.75" bottom="0.75" header="0.3" footer="0.3"/>
  <pageSetup scale="5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 summary</vt:lpstr>
      <vt:lpstr>Transaction overview</vt:lpstr>
      <vt:lpstr>Collateral Analysis</vt:lpstr>
      <vt:lpstr>Base Case</vt:lpstr>
      <vt:lpstr>FCF Model</vt:lpstr>
      <vt:lpstr>'FCF Model'!Print_Area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Andrew X</dc:creator>
  <cp:lastModifiedBy>dell</cp:lastModifiedBy>
  <cp:lastPrinted>2020-04-07T02:45:07Z</cp:lastPrinted>
  <dcterms:created xsi:type="dcterms:W3CDTF">2020-04-07T01:07:29Z</dcterms:created>
  <dcterms:modified xsi:type="dcterms:W3CDTF">2023-06-30T06:43:24Z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tchProPlusUniqueWorkbookId">
    <vt:lpwstr>d72e787f-dabc-4840-9194-ff3f8f504fbd</vt:lpwstr>
  </property>
  <property fmtid="{D5CDD505-2E9C-101B-9397-08002B2CF9AE}" pid="3" name="FormulaData">
    <vt:lpwstr>Formula Contents:
Sheet Name: Collateral Analysis: D5 (...)</vt:lpwstr>
  </property>
</Properties>
</file>