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ina\Documents\Обучение\Курсовая Excel\"/>
    </mc:Choice>
  </mc:AlternateContent>
  <xr:revisionPtr revIDLastSave="0" documentId="13_ncr:1_{273A4644-F77D-4164-87FB-E1C7A6356421}" xr6:coauthVersionLast="47" xr6:coauthVersionMax="47" xr10:uidLastSave="{00000000-0000-0000-0000-000000000000}"/>
  <bookViews>
    <workbookView xWindow="-108" yWindow="-108" windowWidth="23256" windowHeight="12576" tabRatio="771" activeTab="1" xr2:uid="{00000000-000D-0000-FFFF-FFFF00000000}"/>
  </bookViews>
  <sheets>
    <sheet name="ЗАДАНИЕ" sheetId="38" r:id="rId1"/>
    <sheet name="Юнит-экономика" sheetId="21" r:id="rId2"/>
  </sheets>
  <definedNames>
    <definedName name="solver_adj" localSheetId="1" hidden="1">'Юнит-экономика'!$C$30:$C$41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'Юнит-экономика'!$C$43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'Юнит-экономика'!$P$44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hs1" localSheetId="1" hidden="1">200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1" l="1"/>
  <c r="C32" i="21"/>
  <c r="C33" i="21"/>
  <c r="C34" i="21"/>
  <c r="C35" i="21"/>
  <c r="C36" i="21"/>
  <c r="C37" i="21"/>
  <c r="C38" i="21"/>
  <c r="C39" i="21"/>
  <c r="C40" i="21"/>
  <c r="C41" i="21"/>
  <c r="C30" i="21"/>
  <c r="N25" i="21" l="1"/>
  <c r="N26" i="21"/>
  <c r="N27" i="21"/>
  <c r="N28" i="21"/>
  <c r="N29" i="21"/>
  <c r="N24" i="21"/>
  <c r="B16" i="21" l="1"/>
  <c r="B10" i="21"/>
  <c r="D10" i="21" s="1"/>
  <c r="B7" i="21"/>
  <c r="L24" i="21"/>
  <c r="K27" i="21"/>
  <c r="M26" i="21"/>
  <c r="M27" i="21"/>
  <c r="M28" i="21"/>
  <c r="M29" i="21"/>
  <c r="L29" i="21"/>
  <c r="L25" i="21"/>
  <c r="L26" i="21"/>
  <c r="L27" i="21"/>
  <c r="L28" i="21"/>
  <c r="K25" i="21"/>
  <c r="K26" i="21"/>
  <c r="K28" i="21"/>
  <c r="K29" i="21"/>
  <c r="K24" i="21"/>
  <c r="D6" i="21"/>
  <c r="F32" i="21" s="1"/>
  <c r="J25" i="21"/>
  <c r="M25" i="21" s="1"/>
  <c r="J24" i="21"/>
  <c r="B15" i="21" l="1"/>
  <c r="B8" i="21"/>
  <c r="D8" i="21" s="1"/>
  <c r="G37" i="21" s="1"/>
  <c r="I36" i="21"/>
  <c r="K36" i="21" s="1"/>
  <c r="F39" i="21"/>
  <c r="F31" i="21"/>
  <c r="G36" i="21"/>
  <c r="I35" i="21"/>
  <c r="K35" i="21" s="1"/>
  <c r="I30" i="21"/>
  <c r="K30" i="21" s="1"/>
  <c r="I34" i="21"/>
  <c r="K34" i="21" s="1"/>
  <c r="F38" i="21"/>
  <c r="G35" i="21"/>
  <c r="I41" i="21"/>
  <c r="K41" i="21" s="1"/>
  <c r="I33" i="21"/>
  <c r="K33" i="21" s="1"/>
  <c r="F37" i="21"/>
  <c r="G30" i="21"/>
  <c r="G34" i="21"/>
  <c r="I40" i="21"/>
  <c r="K40" i="21" s="1"/>
  <c r="I32" i="21"/>
  <c r="K32" i="21" s="1"/>
  <c r="F36" i="21"/>
  <c r="G41" i="21"/>
  <c r="G33" i="21"/>
  <c r="I39" i="21"/>
  <c r="K39" i="21" s="1"/>
  <c r="I31" i="21"/>
  <c r="K31" i="21" s="1"/>
  <c r="F35" i="21"/>
  <c r="G40" i="21"/>
  <c r="G32" i="21"/>
  <c r="I38" i="21"/>
  <c r="K38" i="21" s="1"/>
  <c r="F30" i="21"/>
  <c r="F34" i="21"/>
  <c r="G39" i="21"/>
  <c r="G31" i="21"/>
  <c r="I37" i="21"/>
  <c r="K37" i="21" s="1"/>
  <c r="F41" i="21"/>
  <c r="F33" i="21"/>
  <c r="G38" i="21"/>
  <c r="F40" i="21"/>
  <c r="O29" i="21"/>
  <c r="O28" i="21"/>
  <c r="O27" i="21"/>
  <c r="O26" i="21"/>
  <c r="O25" i="21"/>
  <c r="D7" i="21"/>
  <c r="M24" i="21"/>
  <c r="O24" i="21" s="1"/>
  <c r="D25" i="21" l="1"/>
  <c r="E25" i="21" s="1"/>
  <c r="B3" i="21" s="1"/>
  <c r="D26" i="21"/>
  <c r="E26" i="21" s="1"/>
  <c r="D27" i="21"/>
  <c r="E27" i="21" s="1"/>
  <c r="D28" i="21"/>
  <c r="E28" i="21" s="1"/>
  <c r="D29" i="21"/>
  <c r="E29" i="21" s="1"/>
  <c r="D24" i="21"/>
  <c r="D3" i="21" l="1"/>
  <c r="B4" i="21"/>
  <c r="B9" i="21" l="1"/>
  <c r="B12" i="21" s="1"/>
  <c r="B19" i="21" s="1"/>
  <c r="B11" i="21"/>
  <c r="B18" i="21" s="1"/>
  <c r="D4" i="21"/>
  <c r="D30" i="21"/>
  <c r="D11" i="21" l="1"/>
  <c r="D9" i="21"/>
  <c r="D12" i="21" s="1"/>
  <c r="B30" i="21"/>
  <c r="E30" i="21"/>
  <c r="D31" i="21" l="1"/>
  <c r="B31" i="21" s="1"/>
  <c r="H30" i="21"/>
  <c r="N30" i="21" s="1"/>
  <c r="E31" i="21" l="1"/>
  <c r="L30" i="21"/>
  <c r="M30" i="21"/>
  <c r="D32" i="21"/>
  <c r="H31" i="21"/>
  <c r="N31" i="21" s="1"/>
  <c r="L31" i="21" l="1"/>
  <c r="M31" i="21"/>
  <c r="O30" i="21"/>
  <c r="E32" i="21"/>
  <c r="B32" i="21"/>
  <c r="O31" i="21" l="1"/>
  <c r="D33" i="21"/>
  <c r="H32" i="21"/>
  <c r="N32" i="21" s="1"/>
  <c r="L32" i="21" l="1"/>
  <c r="M32" i="21"/>
  <c r="B33" i="21"/>
  <c r="E33" i="21"/>
  <c r="O32" i="21" l="1"/>
  <c r="D34" i="21"/>
  <c r="H33" i="21"/>
  <c r="N33" i="21" s="1"/>
  <c r="L33" i="21" l="1"/>
  <c r="M33" i="21"/>
  <c r="E34" i="21"/>
  <c r="B34" i="21"/>
  <c r="O33" i="21" l="1"/>
  <c r="D35" i="21"/>
  <c r="H34" i="21"/>
  <c r="N34" i="21" s="1"/>
  <c r="L34" i="21" l="1"/>
  <c r="M34" i="21"/>
  <c r="E35" i="21"/>
  <c r="B35" i="21"/>
  <c r="O34" i="21" l="1"/>
  <c r="D36" i="21"/>
  <c r="H35" i="21"/>
  <c r="N35" i="21" s="1"/>
  <c r="L35" i="21" l="1"/>
  <c r="M35" i="21"/>
  <c r="B36" i="21"/>
  <c r="E36" i="21"/>
  <c r="O35" i="21" l="1"/>
  <c r="D37" i="21"/>
  <c r="H36" i="21"/>
  <c r="N36" i="21" s="1"/>
  <c r="L36" i="21" l="1"/>
  <c r="M36" i="21"/>
  <c r="E37" i="21"/>
  <c r="B37" i="21"/>
  <c r="O36" i="21" l="1"/>
  <c r="D38" i="21"/>
  <c r="H37" i="21"/>
  <c r="N37" i="21" s="1"/>
  <c r="L37" i="21" l="1"/>
  <c r="M37" i="21"/>
  <c r="B38" i="21"/>
  <c r="E38" i="21"/>
  <c r="O37" i="21" l="1"/>
  <c r="D39" i="21"/>
  <c r="H38" i="21"/>
  <c r="N38" i="21" s="1"/>
  <c r="L38" i="21" l="1"/>
  <c r="M38" i="21"/>
  <c r="B39" i="21"/>
  <c r="E39" i="21"/>
  <c r="O38" i="21" l="1"/>
  <c r="D40" i="21"/>
  <c r="H39" i="21"/>
  <c r="N39" i="21" s="1"/>
  <c r="L39" i="21" l="1"/>
  <c r="M39" i="21"/>
  <c r="B40" i="21"/>
  <c r="E40" i="21"/>
  <c r="O39" i="21" l="1"/>
  <c r="D41" i="21"/>
  <c r="H40" i="21"/>
  <c r="N40" i="21" s="1"/>
  <c r="L40" i="21" l="1"/>
  <c r="M40" i="21"/>
  <c r="B41" i="21"/>
  <c r="D15" i="21" s="1"/>
  <c r="D18" i="21" s="1"/>
  <c r="E41" i="21"/>
  <c r="O40" i="21" l="1"/>
  <c r="H41" i="21"/>
  <c r="D16" i="21" l="1"/>
  <c r="D19" i="21" s="1"/>
  <c r="N41" i="21"/>
  <c r="L41" i="21"/>
  <c r="M41" i="21"/>
  <c r="O41" i="21" l="1"/>
  <c r="P41" i="21" s="1"/>
  <c r="P40" i="21"/>
  <c r="P39" i="21"/>
  <c r="P38" i="21"/>
  <c r="P37" i="21"/>
  <c r="P36" i="21"/>
  <c r="P35" i="21"/>
  <c r="P34" i="21"/>
  <c r="P33" i="21"/>
  <c r="P32" i="21"/>
  <c r="P31" i="21"/>
  <c r="P30" i="21"/>
  <c r="P44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tc={4E8CF70D-F49A-4B38-BC58-57E70B177BEB}</author>
  </authors>
  <commentList>
    <comment ref="B7" authorId="0" shapeId="0" xr:uid="{4E8CF70D-F49A-4B38-BC58-57E70B177B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Считаю после того как маркетинг закончил основные скидки</t>
      </text>
    </comment>
  </commentList>
</comments>
</file>

<file path=xl/sharedStrings.xml><?xml version="1.0" encoding="utf-8"?>
<sst xmlns="http://schemas.openxmlformats.org/spreadsheetml/2006/main" count="37" uniqueCount="34">
  <si>
    <t>Месяц</t>
  </si>
  <si>
    <t>Оплат всего</t>
  </si>
  <si>
    <t>Базовая цена</t>
  </si>
  <si>
    <t>Объём скидок</t>
  </si>
  <si>
    <t>Выручка</t>
  </si>
  <si>
    <t>Затраты на маркетинг</t>
  </si>
  <si>
    <t>Постоянные расходы</t>
  </si>
  <si>
    <t>AS-IS</t>
  </si>
  <si>
    <t>TO-BE</t>
  </si>
  <si>
    <t>Retention</t>
  </si>
  <si>
    <t>LT</t>
  </si>
  <si>
    <t>Price юнита</t>
  </si>
  <si>
    <t>LTR</t>
  </si>
  <si>
    <t>CAC на юнит</t>
  </si>
  <si>
    <t>Fixed Costs на юнит</t>
  </si>
  <si>
    <t>Маржинальность</t>
  </si>
  <si>
    <t>Коэффициент</t>
  </si>
  <si>
    <t>Кол-во новых подписок</t>
  </si>
  <si>
    <t>Кол-во повторных оплат</t>
  </si>
  <si>
    <t>%CAC</t>
  </si>
  <si>
    <t>CAC на 1 подписку</t>
  </si>
  <si>
    <t>Fixed Costs%</t>
  </si>
  <si>
    <t>CAC%</t>
  </si>
  <si>
    <t>% Fixed Cost</t>
  </si>
  <si>
    <t>% Margin</t>
  </si>
  <si>
    <t>Привлечение новых</t>
  </si>
  <si>
    <t>Приближение маржи к 20%</t>
  </si>
  <si>
    <t>Сумма квадратов ошибок</t>
  </si>
  <si>
    <t>Маржинальность %</t>
  </si>
  <si>
    <t>CAC</t>
  </si>
  <si>
    <t>400 новых подписок - минимум для сохранения базы</t>
  </si>
  <si>
    <t>Маржа руб.</t>
  </si>
  <si>
    <r>
      <rPr>
        <b/>
        <sz val="14"/>
        <color theme="1"/>
        <rFont val="Calibri"/>
        <family val="2"/>
        <charset val="204"/>
        <scheme val="minor"/>
      </rPr>
      <t>ВВодные:</t>
    </r>
    <r>
      <rPr>
        <sz val="11"/>
        <color theme="1"/>
        <rFont val="Calibri"/>
        <family val="2"/>
        <scheme val="minor"/>
      </rPr>
      <t xml:space="preserve">
Онлайн-кинотеатр работает по модели ежемесячной подписки. </t>
    </r>
  </si>
  <si>
    <r>
      <rPr>
        <b/>
        <u/>
        <sz val="14"/>
        <color theme="1"/>
        <rFont val="Calibri"/>
        <family val="2"/>
        <charset val="204"/>
        <scheme val="minor"/>
      </rPr>
      <t>Задача:</t>
    </r>
    <r>
      <rPr>
        <sz val="11"/>
        <color theme="1"/>
        <rFont val="Calibri"/>
        <family val="2"/>
        <scheme val="minor"/>
      </rPr>
      <t xml:space="preserve">
1. Насколько это эффективная система с точки зрения финансовой составляющей? 
2. Необходимо посчитать юнит-экономику продукта и предложить сценарий по настройке параметров для выхода на 25-процентную маржинальность.
3. Собрать хорошую наглядную визуализацию, где будет показано, кто, где и в каком объеме смотрит фильмы на нашей платформе. 
4. Собрать калькулятор юнит-экономики нашего продукта, поскольку сейчас очень не хватает такой автоматизированной системы для быстрого принятия решений.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</si>
</sst>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5" formatCode="#,##0.00\ &quot;₽&quot;"/>
    <numFmt numFmtId="166" formatCode="_-* #,##0.00\ [$₽-419]_-;\-* #,##0.00\ [$₽-419]_-;_-* &quot;-&quot;??\ [$₽-419]_-;_-@_-"/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5FBAF"/>
        <bgColor indexed="64"/>
      </patternFill>
    </fill>
    <fill>
      <patternFill patternType="solid">
        <fgColor rgb="FFFCF97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3">
    <xf numFmtId="0" fontId="0" fillId="0" borderId="0" xfId="0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44" fontId="0" fillId="0" borderId="0" xfId="1" applyFont="1"/>
    <xf numFmtId="44" fontId="0" fillId="0" borderId="0" xfId="0" applyNumberFormat="1"/>
    <xf numFmtId="0" fontId="5" fillId="0" borderId="0" xfId="0" applyFont="1"/>
    <xf numFmtId="44" fontId="5" fillId="0" borderId="2" xfId="0" applyNumberFormat="1" applyFont="1" applyBorder="1"/>
    <xf numFmtId="44" fontId="5" fillId="0" borderId="3" xfId="0" applyNumberFormat="1" applyFont="1" applyBorder="1"/>
    <xf numFmtId="0" fontId="5" fillId="0" borderId="2" xfId="0" applyFont="1" applyBorder="1"/>
    <xf numFmtId="0" fontId="5" fillId="0" borderId="3" xfId="0" applyFont="1" applyBorder="1"/>
    <xf numFmtId="9" fontId="5" fillId="0" borderId="5" xfId="0" applyNumberFormat="1" applyFont="1" applyBorder="1"/>
    <xf numFmtId="10" fontId="5" fillId="0" borderId="2" xfId="0" applyNumberFormat="1" applyFont="1" applyBorder="1"/>
    <xf numFmtId="10" fontId="5" fillId="0" borderId="3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6" fillId="0" borderId="1" xfId="0" applyFont="1" applyBorder="1"/>
    <xf numFmtId="0" fontId="6" fillId="0" borderId="4" xfId="0" applyFont="1" applyBorder="1"/>
    <xf numFmtId="17" fontId="3" fillId="3" borderId="0" xfId="0" applyNumberFormat="1" applyFont="1" applyFill="1"/>
    <xf numFmtId="0" fontId="2" fillId="0" borderId="7" xfId="0" applyFont="1" applyBorder="1" applyAlignment="1">
      <alignment horizontal="center"/>
    </xf>
    <xf numFmtId="9" fontId="0" fillId="0" borderId="0" xfId="2" applyFont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166" fontId="5" fillId="0" borderId="2" xfId="0" applyNumberFormat="1" applyFont="1" applyBorder="1"/>
    <xf numFmtId="166" fontId="5" fillId="0" borderId="3" xfId="0" applyNumberFormat="1" applyFont="1" applyBorder="1"/>
    <xf numFmtId="0" fontId="2" fillId="0" borderId="0" xfId="0" applyFont="1" applyAlignment="1">
      <alignment horizontal="center"/>
    </xf>
    <xf numFmtId="44" fontId="0" fillId="0" borderId="0" xfId="1" applyFont="1" applyBorder="1"/>
    <xf numFmtId="17" fontId="3" fillId="3" borderId="11" xfId="0" applyNumberFormat="1" applyFont="1" applyFill="1" applyBorder="1"/>
    <xf numFmtId="1" fontId="0" fillId="0" borderId="11" xfId="0" applyNumberFormat="1" applyBorder="1"/>
    <xf numFmtId="0" fontId="2" fillId="0" borderId="12" xfId="0" applyFont="1" applyBorder="1" applyAlignment="1">
      <alignment horizontal="center"/>
    </xf>
    <xf numFmtId="9" fontId="0" fillId="0" borderId="11" xfId="2" applyFont="1" applyBorder="1"/>
    <xf numFmtId="165" fontId="0" fillId="0" borderId="11" xfId="0" applyNumberFormat="1" applyBorder="1"/>
    <xf numFmtId="10" fontId="0" fillId="0" borderId="11" xfId="0" applyNumberFormat="1" applyBorder="1"/>
    <xf numFmtId="44" fontId="0" fillId="0" borderId="11" xfId="1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5" fillId="0" borderId="2" xfId="2" applyFont="1" applyBorder="1"/>
    <xf numFmtId="168" fontId="0" fillId="0" borderId="0" xfId="0" applyNumberFormat="1"/>
    <xf numFmtId="9" fontId="0" fillId="0" borderId="0" xfId="0" applyNumberFormat="1"/>
    <xf numFmtId="0" fontId="0" fillId="0" borderId="1" xfId="0" applyBorder="1"/>
    <xf numFmtId="44" fontId="0" fillId="0" borderId="11" xfId="0" applyNumberFormat="1" applyBorder="1"/>
    <xf numFmtId="9" fontId="0" fillId="0" borderId="11" xfId="0" applyNumberFormat="1" applyBorder="1"/>
    <xf numFmtId="9" fontId="5" fillId="0" borderId="3" xfId="2" applyFont="1" applyBorder="1"/>
    <xf numFmtId="1" fontId="2" fillId="0" borderId="0" xfId="0" applyNumberFormat="1" applyFont="1" applyAlignment="1">
      <alignment horizontal="center"/>
    </xf>
    <xf numFmtId="1" fontId="5" fillId="0" borderId="2" xfId="2" applyNumberFormat="1" applyFont="1" applyBorder="1"/>
    <xf numFmtId="166" fontId="0" fillId="0" borderId="0" xfId="0" applyNumberFormat="1"/>
    <xf numFmtId="9" fontId="0" fillId="0" borderId="0" xfId="2" applyFont="1" applyFill="1" applyBorder="1"/>
    <xf numFmtId="9" fontId="0" fillId="4" borderId="0" xfId="0" applyNumberFormat="1" applyFill="1"/>
    <xf numFmtId="10" fontId="0" fillId="0" borderId="11" xfId="2" applyNumberFormat="1" applyFont="1" applyBorder="1"/>
    <xf numFmtId="10" fontId="0" fillId="0" borderId="0" xfId="2" applyNumberFormat="1" applyFont="1"/>
    <xf numFmtId="44" fontId="5" fillId="0" borderId="0" xfId="0" applyNumberFormat="1" applyFont="1"/>
    <xf numFmtId="0" fontId="6" fillId="0" borderId="13" xfId="0" applyFont="1" applyBorder="1"/>
    <xf numFmtId="44" fontId="0" fillId="0" borderId="14" xfId="0" applyNumberFormat="1" applyBorder="1"/>
    <xf numFmtId="0" fontId="0" fillId="0" borderId="14" xfId="0" applyBorder="1"/>
    <xf numFmtId="10" fontId="5" fillId="0" borderId="5" xfId="0" applyNumberFormat="1" applyFont="1" applyBorder="1"/>
    <xf numFmtId="44" fontId="0" fillId="0" borderId="0" xfId="2" applyNumberFormat="1" applyFont="1"/>
    <xf numFmtId="10" fontId="5" fillId="5" borderId="2" xfId="0" applyNumberFormat="1" applyFont="1" applyFill="1" applyBorder="1"/>
    <xf numFmtId="9" fontId="5" fillId="5" borderId="2" xfId="2" applyFont="1" applyFill="1" applyBorder="1"/>
    <xf numFmtId="1" fontId="5" fillId="5" borderId="3" xfId="0" applyNumberFormat="1" applyFont="1" applyFill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0" fontId="5" fillId="6" borderId="6" xfId="0" applyNumberFormat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9" defaultPivotStyle="PivotStyleLight16"/>
  <colors>
    <mruColors>
      <color rgb="FFFCF970"/>
      <color rgb="FFA5F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Ольга Арина" id="{0A903979-0287-4B01-8590-28925BAE8DDD}" userId="ed04d8f9a323cf8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2-09T16:15:10.51" personId="{0A903979-0287-4B01-8590-28925BAE8DDD}" id="{4E8CF70D-F49A-4B38-BC58-57E70B177BEB}">
    <text>Считаю после того как маркетинг закончил основные скидки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1C8-16C8-4127-B932-1BEB771C2532}">
  <sheetPr>
    <tabColor rgb="FFFFC000"/>
  </sheetPr>
  <dimension ref="A1:A3"/>
  <sheetViews>
    <sheetView workbookViewId="0">
      <selection activeCell="A11" sqref="A11"/>
    </sheetView>
  </sheetViews>
  <sheetFormatPr defaultRowHeight="14.4" x14ac:dyDescent="0.3"/>
  <cols>
    <col min="1" max="1" width="77.88671875" customWidth="1"/>
  </cols>
  <sheetData>
    <row r="1" spans="1:1" ht="46.8" x14ac:dyDescent="0.3">
      <c r="A1" s="60" t="s">
        <v>32</v>
      </c>
    </row>
    <row r="3" spans="1:1" ht="133.19999999999999" x14ac:dyDescent="0.3">
      <c r="A3" s="6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5E5D-E5F8-1B4E-BAC9-C6F92C287924}">
  <sheetPr>
    <tabColor rgb="FFFFC000"/>
  </sheetPr>
  <dimension ref="A1:P44"/>
  <sheetViews>
    <sheetView tabSelected="1" topLeftCell="A2" workbookViewId="0">
      <selection activeCell="D36" sqref="D36"/>
    </sheetView>
  </sheetViews>
  <sheetFormatPr defaultColWidth="11.5546875" defaultRowHeight="14.4" x14ac:dyDescent="0.3"/>
  <cols>
    <col min="1" max="1" width="23.44140625" customWidth="1"/>
    <col min="3" max="3" width="13.21875" customWidth="1"/>
    <col min="4" max="4" width="12.6640625" customWidth="1"/>
    <col min="8" max="8" width="16.21875" customWidth="1"/>
    <col min="9" max="9" width="22" customWidth="1"/>
    <col min="10" max="10" width="21.44140625" customWidth="1"/>
    <col min="11" max="11" width="17.5546875" bestFit="1" customWidth="1"/>
    <col min="14" max="14" width="14.21875" bestFit="1" customWidth="1"/>
  </cols>
  <sheetData>
    <row r="1" spans="1:14" ht="15" thickBot="1" x14ac:dyDescent="0.35">
      <c r="I1" s="6"/>
      <c r="J1" s="6"/>
      <c r="K1" s="6"/>
      <c r="L1" s="6"/>
      <c r="M1" s="6"/>
      <c r="N1" s="6"/>
    </row>
    <row r="2" spans="1:14" x14ac:dyDescent="0.3">
      <c r="A2" s="21"/>
      <c r="B2" s="22" t="s">
        <v>7</v>
      </c>
      <c r="C2" s="22" t="s">
        <v>16</v>
      </c>
      <c r="D2" s="23" t="s">
        <v>8</v>
      </c>
      <c r="M2" s="6"/>
      <c r="N2" s="6"/>
    </row>
    <row r="3" spans="1:14" x14ac:dyDescent="0.3">
      <c r="A3" s="16" t="s">
        <v>9</v>
      </c>
      <c r="B3" s="12">
        <f>GEOMEAN(E25:E29)</f>
        <v>0.80596520485670597</v>
      </c>
      <c r="C3" s="57">
        <v>0.18</v>
      </c>
      <c r="D3" s="13">
        <f>B3*(1+C3)</f>
        <v>0.95103894173091297</v>
      </c>
      <c r="M3" s="6"/>
      <c r="N3" s="6"/>
    </row>
    <row r="4" spans="1:14" x14ac:dyDescent="0.3">
      <c r="A4" s="16" t="s">
        <v>10</v>
      </c>
      <c r="B4" s="14">
        <f>1/(1-B3)</f>
        <v>5.1537148234753642</v>
      </c>
      <c r="C4" s="7"/>
      <c r="D4" s="15">
        <f>1/(1-D3)</f>
        <v>20.42439512855421</v>
      </c>
      <c r="M4" s="6"/>
      <c r="N4" s="6"/>
    </row>
    <row r="5" spans="1:14" x14ac:dyDescent="0.3">
      <c r="A5" s="16"/>
      <c r="B5" s="14"/>
      <c r="C5" s="7"/>
      <c r="D5" s="15"/>
      <c r="M5" s="6"/>
      <c r="N5" s="6"/>
    </row>
    <row r="6" spans="1:14" x14ac:dyDescent="0.3">
      <c r="A6" s="16" t="s">
        <v>2</v>
      </c>
      <c r="B6" s="24">
        <v>350</v>
      </c>
      <c r="C6" s="58">
        <v>0</v>
      </c>
      <c r="D6" s="25">
        <f>B6*(1+C6)</f>
        <v>350</v>
      </c>
      <c r="M6" s="6"/>
      <c r="N6" s="6"/>
    </row>
    <row r="7" spans="1:14" x14ac:dyDescent="0.3">
      <c r="A7" s="16" t="s">
        <v>11</v>
      </c>
      <c r="B7" s="7">
        <f>SUM(H26:H29)/SUM(B26:B29)</f>
        <v>319.36655691058087</v>
      </c>
      <c r="C7" s="7"/>
      <c r="D7" s="8">
        <f>D6*(1-D8)</f>
        <v>320.2855602032634</v>
      </c>
      <c r="M7" s="6"/>
      <c r="N7" s="6"/>
    </row>
    <row r="8" spans="1:14" x14ac:dyDescent="0.3">
      <c r="A8" s="16" t="s">
        <v>3</v>
      </c>
      <c r="B8" s="12">
        <f>1-B7/B6</f>
        <v>8.752412311262614E-2</v>
      </c>
      <c r="C8" s="58">
        <v>-0.03</v>
      </c>
      <c r="D8" s="13">
        <f>B8*(1+C8)</f>
        <v>8.4898399419247358E-2</v>
      </c>
      <c r="M8" s="6"/>
      <c r="N8" s="6"/>
    </row>
    <row r="9" spans="1:14" x14ac:dyDescent="0.3">
      <c r="A9" s="16" t="s">
        <v>12</v>
      </c>
      <c r="B9" s="7">
        <f>B4*B7</f>
        <v>1645.9241584723491</v>
      </c>
      <c r="C9" s="7"/>
      <c r="D9" s="8">
        <f>D4*D7</f>
        <v>6541.6388355617892</v>
      </c>
      <c r="M9" s="6"/>
      <c r="N9" s="6"/>
    </row>
    <row r="10" spans="1:14" x14ac:dyDescent="0.3">
      <c r="A10" s="52" t="s">
        <v>29</v>
      </c>
      <c r="B10" s="51">
        <f>SUM(I24:I29)/SUM(C24:C29)</f>
        <v>2254.5223148073974</v>
      </c>
      <c r="C10" s="58">
        <v>-0.11</v>
      </c>
      <c r="D10" s="25">
        <f>B10*(1+C10)</f>
        <v>2006.5248601785836</v>
      </c>
      <c r="M10" s="6"/>
      <c r="N10" s="6"/>
    </row>
    <row r="11" spans="1:14" x14ac:dyDescent="0.3">
      <c r="A11" s="52" t="s">
        <v>13</v>
      </c>
      <c r="B11" s="53">
        <f>B10/B4</f>
        <v>437.45577549963838</v>
      </c>
      <c r="C11" s="54"/>
      <c r="D11" s="25">
        <f>D10/D4</f>
        <v>98.24158059757535</v>
      </c>
      <c r="M11" s="6"/>
      <c r="N11" s="6"/>
    </row>
    <row r="12" spans="1:14" x14ac:dyDescent="0.3">
      <c r="A12" s="16" t="s">
        <v>22</v>
      </c>
      <c r="B12" s="37">
        <f>B10/B9</f>
        <v>1.3697607530713405</v>
      </c>
      <c r="C12" s="7"/>
      <c r="D12" s="13">
        <f>D10/D9</f>
        <v>0.30673121990022939</v>
      </c>
      <c r="M12" s="6"/>
      <c r="N12" s="6"/>
    </row>
    <row r="13" spans="1:14" x14ac:dyDescent="0.3">
      <c r="A13" s="16" t="s">
        <v>25</v>
      </c>
      <c r="B13" s="45"/>
      <c r="C13" s="7"/>
      <c r="D13" s="59">
        <v>600</v>
      </c>
      <c r="M13" s="6"/>
      <c r="N13" s="6"/>
    </row>
    <row r="14" spans="1:14" x14ac:dyDescent="0.3">
      <c r="A14" s="40"/>
      <c r="B14" s="7"/>
      <c r="C14" s="7"/>
      <c r="D14" s="8"/>
    </row>
    <row r="15" spans="1:14" x14ac:dyDescent="0.3">
      <c r="A15" s="16" t="s">
        <v>14</v>
      </c>
      <c r="B15" s="7">
        <f>SUM(J24:J29)/SUM(B24:B29)</f>
        <v>177.43090001292856</v>
      </c>
      <c r="C15" s="7"/>
      <c r="D15" s="8">
        <f>SUM(J30:J41)/SUM(B30:B41)</f>
        <v>141.89317327332191</v>
      </c>
      <c r="M15" s="6"/>
      <c r="N15" s="6"/>
    </row>
    <row r="16" spans="1:14" x14ac:dyDescent="0.3">
      <c r="A16" s="16" t="s">
        <v>21</v>
      </c>
      <c r="B16" s="37">
        <f>SUM(J26:J29)/SUM(H26:H29)</f>
        <v>0.43601155622588178</v>
      </c>
      <c r="C16" s="7"/>
      <c r="D16" s="43">
        <f>SUM(J30:J41)/SUM(H30:H41)</f>
        <v>0.44302082548857963</v>
      </c>
      <c r="M16" s="6"/>
      <c r="N16" s="6"/>
    </row>
    <row r="17" spans="1:16" x14ac:dyDescent="0.3">
      <c r="A17" s="16"/>
      <c r="B17" s="9"/>
      <c r="C17" s="9"/>
      <c r="D17" s="10"/>
      <c r="M17" s="6"/>
      <c r="N17" s="6"/>
    </row>
    <row r="18" spans="1:16" x14ac:dyDescent="0.3">
      <c r="A18" s="16" t="s">
        <v>15</v>
      </c>
      <c r="B18" s="7">
        <f>B7-B11-B15</f>
        <v>-295.52011860198604</v>
      </c>
      <c r="C18" s="9"/>
      <c r="D18" s="25">
        <f>D7-D11-D15</f>
        <v>80.15080633236613</v>
      </c>
      <c r="M18" s="6"/>
      <c r="N18" s="6"/>
    </row>
    <row r="19" spans="1:16" ht="15" thickBot="1" x14ac:dyDescent="0.35">
      <c r="A19" s="17" t="s">
        <v>28</v>
      </c>
      <c r="B19" s="55">
        <f>1-B16-B12</f>
        <v>-0.80577230929722221</v>
      </c>
      <c r="C19" s="11"/>
      <c r="D19" s="62">
        <f>1-D16-D12</f>
        <v>0.25024795461119093</v>
      </c>
      <c r="M19" s="6"/>
      <c r="N19" s="6"/>
    </row>
    <row r="20" spans="1:16" x14ac:dyDescent="0.3">
      <c r="I20" s="6"/>
      <c r="J20" s="6"/>
      <c r="K20" s="6"/>
      <c r="L20" s="6"/>
    </row>
    <row r="21" spans="1:16" x14ac:dyDescent="0.3">
      <c r="A21" t="s">
        <v>30</v>
      </c>
    </row>
    <row r="23" spans="1:16" ht="43.2" x14ac:dyDescent="0.3">
      <c r="A23" s="35" t="s">
        <v>0</v>
      </c>
      <c r="B23" s="35" t="s">
        <v>1</v>
      </c>
      <c r="C23" s="35" t="s">
        <v>17</v>
      </c>
      <c r="D23" s="35" t="s">
        <v>18</v>
      </c>
      <c r="E23" s="35" t="s">
        <v>9</v>
      </c>
      <c r="F23" s="35" t="s">
        <v>2</v>
      </c>
      <c r="G23" s="35" t="s">
        <v>3</v>
      </c>
      <c r="H23" s="35" t="s">
        <v>4</v>
      </c>
      <c r="I23" s="35" t="s">
        <v>5</v>
      </c>
      <c r="J23" s="35" t="s">
        <v>6</v>
      </c>
      <c r="K23" s="35" t="s">
        <v>20</v>
      </c>
      <c r="L23" s="35" t="s">
        <v>19</v>
      </c>
      <c r="M23" s="35" t="s">
        <v>23</v>
      </c>
      <c r="N23" s="35" t="s">
        <v>31</v>
      </c>
      <c r="O23" s="35" t="s">
        <v>24</v>
      </c>
      <c r="P23" s="36" t="s">
        <v>26</v>
      </c>
    </row>
    <row r="24" spans="1:16" x14ac:dyDescent="0.3">
      <c r="A24" s="18">
        <v>44256</v>
      </c>
      <c r="B24" s="2">
        <v>201</v>
      </c>
      <c r="C24" s="26">
        <v>201</v>
      </c>
      <c r="D24" s="2">
        <f t="shared" ref="D24:D29" si="0">B24-C24</f>
        <v>0</v>
      </c>
      <c r="E24" s="3"/>
      <c r="F24" s="1">
        <v>350</v>
      </c>
      <c r="G24" s="3">
        <v>0.16209999999999999</v>
      </c>
      <c r="H24" s="27">
        <v>58946.264999999999</v>
      </c>
      <c r="I24" s="27">
        <v>205731</v>
      </c>
      <c r="J24" s="27">
        <f>8*150000</f>
        <v>1200000</v>
      </c>
      <c r="K24" s="5">
        <f t="shared" ref="K24:K41" si="1">I24/C24</f>
        <v>1023.5373134328358</v>
      </c>
      <c r="L24" s="20">
        <f>I24/H24</f>
        <v>3.4901447954336038</v>
      </c>
      <c r="M24" s="20">
        <f>J24/H24</f>
        <v>20.35752392454382</v>
      </c>
      <c r="N24" s="56">
        <f>H24-I24-J24</f>
        <v>-1346784.7349999999</v>
      </c>
      <c r="O24" s="39">
        <f>1-L24-M24</f>
        <v>-22.847668719977424</v>
      </c>
    </row>
    <row r="25" spans="1:16" x14ac:dyDescent="0.3">
      <c r="A25" s="28">
        <v>44287</v>
      </c>
      <c r="B25" s="29">
        <v>5289</v>
      </c>
      <c r="C25" s="30">
        <v>5122</v>
      </c>
      <c r="D25" s="29">
        <f t="shared" si="0"/>
        <v>167</v>
      </c>
      <c r="E25" s="49">
        <f t="shared" ref="E25:E41" si="2">D25/B24</f>
        <v>0.8308457711442786</v>
      </c>
      <c r="F25" s="32">
        <v>350</v>
      </c>
      <c r="G25" s="33">
        <v>0.13120000000000001</v>
      </c>
      <c r="H25" s="34">
        <v>1608279.12</v>
      </c>
      <c r="I25" s="34">
        <v>10219571.900826447</v>
      </c>
      <c r="J25" s="34">
        <f t="shared" ref="J25" si="3">8*150000</f>
        <v>1200000</v>
      </c>
      <c r="K25" s="41">
        <f t="shared" si="1"/>
        <v>1995.2307498684979</v>
      </c>
      <c r="L25" s="31">
        <f t="shared" ref="L25:L28" si="4">I25/H25</f>
        <v>6.3543521604797339</v>
      </c>
      <c r="M25" s="31">
        <f t="shared" ref="M25:M41" si="5">J25/H25</f>
        <v>0.74613914032534345</v>
      </c>
      <c r="N25" s="56">
        <f t="shared" ref="N25:N41" si="6">H25-I25-J25</f>
        <v>-9811292.7808264457</v>
      </c>
      <c r="O25" s="42">
        <f t="shared" ref="O25:O29" si="7">1-L25-M25</f>
        <v>-6.1004913008050776</v>
      </c>
    </row>
    <row r="26" spans="1:16" x14ac:dyDescent="0.3">
      <c r="A26" s="18">
        <v>44317</v>
      </c>
      <c r="B26" s="2">
        <v>8990.1691890653128</v>
      </c>
      <c r="C26" s="26">
        <v>4396</v>
      </c>
      <c r="D26" s="2">
        <f t="shared" si="0"/>
        <v>4594.1691890653128</v>
      </c>
      <c r="E26" s="50">
        <f t="shared" si="2"/>
        <v>0.86862718643700376</v>
      </c>
      <c r="F26" s="1">
        <v>350</v>
      </c>
      <c r="G26" s="3">
        <v>9.06E-2</v>
      </c>
      <c r="H26" s="4">
        <v>2861480.9511875985</v>
      </c>
      <c r="I26" s="4">
        <v>8554785.1239669416</v>
      </c>
      <c r="J26" s="4">
        <v>1300000</v>
      </c>
      <c r="K26" s="5">
        <f t="shared" si="1"/>
        <v>1946.0384722399776</v>
      </c>
      <c r="L26" s="20">
        <f t="shared" si="4"/>
        <v>2.9896355313553475</v>
      </c>
      <c r="M26" s="20">
        <f t="shared" si="5"/>
        <v>0.45431020586052195</v>
      </c>
      <c r="N26" s="56">
        <f t="shared" si="6"/>
        <v>-6993304.1727793431</v>
      </c>
      <c r="O26" s="39">
        <f t="shared" si="7"/>
        <v>-2.4439457372158695</v>
      </c>
    </row>
    <row r="27" spans="1:16" x14ac:dyDescent="0.3">
      <c r="A27" s="18">
        <v>44348</v>
      </c>
      <c r="B27" s="2">
        <v>10322.717485852865</v>
      </c>
      <c r="C27" s="19">
        <v>3255</v>
      </c>
      <c r="D27" s="2">
        <f t="shared" si="0"/>
        <v>7067.7174858528651</v>
      </c>
      <c r="E27" s="50">
        <f t="shared" si="2"/>
        <v>0.7861606758690689</v>
      </c>
      <c r="F27" s="1">
        <v>350</v>
      </c>
      <c r="G27" s="3">
        <v>8.8900000000000007E-2</v>
      </c>
      <c r="H27" s="4">
        <v>3291759.765476191</v>
      </c>
      <c r="I27" s="4">
        <v>8365576.8595041325</v>
      </c>
      <c r="J27" s="4">
        <v>1300000</v>
      </c>
      <c r="K27" s="5">
        <f t="shared" si="1"/>
        <v>2570.0696957001942</v>
      </c>
      <c r="L27" s="20">
        <f t="shared" si="4"/>
        <v>2.5413691932327134</v>
      </c>
      <c r="M27" s="20">
        <f t="shared" si="5"/>
        <v>0.39492553910960754</v>
      </c>
      <c r="N27" s="56">
        <f t="shared" si="6"/>
        <v>-6373817.094027942</v>
      </c>
      <c r="O27" s="39">
        <f t="shared" si="7"/>
        <v>-1.936294732342321</v>
      </c>
    </row>
    <row r="28" spans="1:16" x14ac:dyDescent="0.3">
      <c r="A28" s="18">
        <v>44378</v>
      </c>
      <c r="B28" s="2">
        <v>9998.4940518284257</v>
      </c>
      <c r="C28" s="19">
        <v>1916</v>
      </c>
      <c r="D28" s="2">
        <f t="shared" si="0"/>
        <v>8082.4940518284257</v>
      </c>
      <c r="E28" s="50">
        <f t="shared" si="2"/>
        <v>0.78298123172559619</v>
      </c>
      <c r="F28" s="1">
        <v>350</v>
      </c>
      <c r="G28" s="3">
        <v>8.4000000000000005E-2</v>
      </c>
      <c r="H28" s="4">
        <v>3205517.1930161933</v>
      </c>
      <c r="I28" s="4">
        <v>5982209.9173553716</v>
      </c>
      <c r="J28" s="4">
        <v>1300000</v>
      </c>
      <c r="K28" s="5">
        <f t="shared" si="1"/>
        <v>3122.2389965320313</v>
      </c>
      <c r="L28" s="20">
        <f t="shared" si="4"/>
        <v>1.8662230015139873</v>
      </c>
      <c r="M28" s="20">
        <f t="shared" si="5"/>
        <v>0.40555078064540978</v>
      </c>
      <c r="N28" s="56">
        <f t="shared" si="6"/>
        <v>-4076692.7243391783</v>
      </c>
      <c r="O28" s="39">
        <f t="shared" si="7"/>
        <v>-1.2717737821593971</v>
      </c>
    </row>
    <row r="29" spans="1:16" x14ac:dyDescent="0.3">
      <c r="A29" s="28">
        <v>44409</v>
      </c>
      <c r="B29" s="29">
        <v>8032.1956088647448</v>
      </c>
      <c r="C29" s="30">
        <v>378</v>
      </c>
      <c r="D29" s="29">
        <f t="shared" si="0"/>
        <v>7654.1956088647448</v>
      </c>
      <c r="E29" s="49">
        <f t="shared" si="2"/>
        <v>0.76553484646670578</v>
      </c>
      <c r="F29" s="32">
        <v>350</v>
      </c>
      <c r="G29" s="33">
        <v>8.6699999999999999E-2</v>
      </c>
      <c r="H29" s="34">
        <v>2567531.4873516602</v>
      </c>
      <c r="I29" s="34">
        <v>1094171.9008264462</v>
      </c>
      <c r="J29" s="34">
        <v>1300000</v>
      </c>
      <c r="K29" s="41">
        <f t="shared" si="1"/>
        <v>2894.6346582710216</v>
      </c>
      <c r="L29" s="31">
        <f>I29/H29</f>
        <v>0.42615714986033343</v>
      </c>
      <c r="M29" s="31">
        <f t="shared" si="5"/>
        <v>0.50632290447230899</v>
      </c>
      <c r="N29" s="56">
        <f t="shared" si="6"/>
        <v>173359.5865252139</v>
      </c>
      <c r="O29" s="42">
        <f t="shared" si="7"/>
        <v>6.7519945667357639E-2</v>
      </c>
    </row>
    <row r="30" spans="1:16" x14ac:dyDescent="0.3">
      <c r="A30" s="18">
        <v>44440</v>
      </c>
      <c r="B30" s="2">
        <f t="shared" ref="B30:B41" si="8">D30+C30</f>
        <v>8238.9308116304128</v>
      </c>
      <c r="C30" s="44">
        <f>$D$13</f>
        <v>600</v>
      </c>
      <c r="D30" s="2">
        <f t="shared" ref="D30:D41" si="9">B29*$D$3</f>
        <v>7638.9308116304128</v>
      </c>
      <c r="E30" s="50">
        <f t="shared" si="2"/>
        <v>0.95103894173091297</v>
      </c>
      <c r="F30" s="46">
        <f>$D$6</f>
        <v>350</v>
      </c>
      <c r="G30" s="3">
        <f>$D$8</f>
        <v>8.4898399419247358E-2</v>
      </c>
      <c r="H30" s="46">
        <f t="shared" ref="H30:H41" si="10">B30*F30*(1-G30)</f>
        <v>2638810.5704789744</v>
      </c>
      <c r="I30" s="5">
        <f t="shared" ref="I30:I41" si="11">C30*$D$10</f>
        <v>1203914.9161071503</v>
      </c>
      <c r="J30" s="4">
        <v>1300000</v>
      </c>
      <c r="K30" s="5">
        <f t="shared" si="1"/>
        <v>2006.5248601785838</v>
      </c>
      <c r="L30" s="47">
        <f>I30/H30</f>
        <v>0.45623392962558351</v>
      </c>
      <c r="M30" s="20">
        <f>J30/H30</f>
        <v>0.49264619997487546</v>
      </c>
      <c r="N30" s="56">
        <f t="shared" si="6"/>
        <v>134895.65437182412</v>
      </c>
      <c r="O30" s="39">
        <f>1-L30-M30</f>
        <v>5.1119870399541023E-2</v>
      </c>
      <c r="P30" s="38">
        <f>(O30-$P$42)^2</f>
        <v>3.9553305949895361E-2</v>
      </c>
    </row>
    <row r="31" spans="1:16" x14ac:dyDescent="0.3">
      <c r="A31" s="18">
        <v>44470</v>
      </c>
      <c r="B31" s="2">
        <f t="shared" si="8"/>
        <v>8435.5440400871994</v>
      </c>
      <c r="C31" s="44">
        <f t="shared" ref="C31:C41" si="12">$D$13</f>
        <v>600</v>
      </c>
      <c r="D31" s="2">
        <f t="shared" si="9"/>
        <v>7835.5440400871994</v>
      </c>
      <c r="E31" s="50">
        <f t="shared" si="2"/>
        <v>0.95103894173091297</v>
      </c>
      <c r="F31" s="46">
        <f t="shared" ref="F31:F41" si="13">$D$6</f>
        <v>350</v>
      </c>
      <c r="G31" s="3">
        <f t="shared" ref="G31:G41" si="14">$D$8</f>
        <v>8.4898399419247358E-2</v>
      </c>
      <c r="H31" s="46">
        <f t="shared" si="10"/>
        <v>2701782.9484986286</v>
      </c>
      <c r="I31" s="5">
        <f t="shared" si="11"/>
        <v>1203914.9161071503</v>
      </c>
      <c r="J31" s="4">
        <v>1300000</v>
      </c>
      <c r="K31" s="5">
        <f t="shared" si="1"/>
        <v>2006.5248601785838</v>
      </c>
      <c r="L31" s="47">
        <f t="shared" ref="L31:L41" si="15">I31/H31</f>
        <v>0.44560016072947739</v>
      </c>
      <c r="M31" s="20">
        <f t="shared" si="5"/>
        <v>0.48116374437939419</v>
      </c>
      <c r="N31" s="56">
        <f t="shared" si="6"/>
        <v>197868.03239147831</v>
      </c>
      <c r="O31" s="39">
        <f>1-L31-M31</f>
        <v>7.3236094891128423E-2</v>
      </c>
      <c r="P31" s="38">
        <f t="shared" ref="P31:P41" si="16">(O31-$P$42)^2</f>
        <v>3.1245478149338157E-2</v>
      </c>
    </row>
    <row r="32" spans="1:16" x14ac:dyDescent="0.3">
      <c r="A32" s="18">
        <v>44501</v>
      </c>
      <c r="B32" s="2">
        <f t="shared" si="8"/>
        <v>8622.5308768090399</v>
      </c>
      <c r="C32" s="44">
        <f t="shared" si="12"/>
        <v>600</v>
      </c>
      <c r="D32" s="2">
        <f t="shared" si="9"/>
        <v>8022.5308768090399</v>
      </c>
      <c r="E32" s="50">
        <f t="shared" si="2"/>
        <v>0.95103894173091297</v>
      </c>
      <c r="F32" s="46">
        <f t="shared" si="13"/>
        <v>350</v>
      </c>
      <c r="G32" s="3">
        <f t="shared" si="14"/>
        <v>8.4898399419247358E-2</v>
      </c>
      <c r="H32" s="46">
        <f t="shared" si="10"/>
        <v>2761672.1322487192</v>
      </c>
      <c r="I32" s="5">
        <f t="shared" si="11"/>
        <v>1203914.9161071503</v>
      </c>
      <c r="J32" s="4">
        <v>1300000</v>
      </c>
      <c r="K32" s="5">
        <f t="shared" si="1"/>
        <v>2006.5248601785838</v>
      </c>
      <c r="L32" s="47">
        <f t="shared" si="15"/>
        <v>0.43593694633361507</v>
      </c>
      <c r="M32" s="20">
        <f t="shared" si="5"/>
        <v>0.47072930375028332</v>
      </c>
      <c r="N32" s="56">
        <f t="shared" si="6"/>
        <v>257757.21614156896</v>
      </c>
      <c r="O32" s="39">
        <f t="shared" ref="O32:O41" si="17">1-L32-M32</f>
        <v>9.3333749916101549E-2</v>
      </c>
      <c r="P32" s="38">
        <f t="shared" si="16"/>
        <v>2.4544313915350613E-2</v>
      </c>
    </row>
    <row r="33" spans="1:16" x14ac:dyDescent="0.3">
      <c r="A33" s="18">
        <v>44531</v>
      </c>
      <c r="B33" s="2">
        <f t="shared" si="8"/>
        <v>8800.3626401225902</v>
      </c>
      <c r="C33" s="44">
        <f t="shared" si="12"/>
        <v>600</v>
      </c>
      <c r="D33" s="2">
        <f t="shared" si="9"/>
        <v>8200.3626401225902</v>
      </c>
      <c r="E33" s="50">
        <f t="shared" si="2"/>
        <v>0.95103894173091297</v>
      </c>
      <c r="F33" s="46">
        <f t="shared" si="13"/>
        <v>350</v>
      </c>
      <c r="G33" s="3">
        <f t="shared" si="14"/>
        <v>8.4898399419247358E-2</v>
      </c>
      <c r="H33" s="46">
        <f t="shared" si="10"/>
        <v>2818629.0781835341</v>
      </c>
      <c r="I33" s="5">
        <f t="shared" si="11"/>
        <v>1203914.9161071503</v>
      </c>
      <c r="J33" s="4">
        <v>1300000</v>
      </c>
      <c r="K33" s="5">
        <f t="shared" si="1"/>
        <v>2006.5248601785838</v>
      </c>
      <c r="L33" s="47">
        <f t="shared" si="15"/>
        <v>0.42712782800176508</v>
      </c>
      <c r="M33" s="20">
        <f t="shared" si="5"/>
        <v>0.46121712504214468</v>
      </c>
      <c r="N33" s="56">
        <f t="shared" si="6"/>
        <v>314714.16207638383</v>
      </c>
      <c r="O33" s="39">
        <f t="shared" si="17"/>
        <v>0.11165504695609024</v>
      </c>
      <c r="P33" s="38">
        <f t="shared" si="16"/>
        <v>1.9139326032721594E-2</v>
      </c>
    </row>
    <row r="34" spans="1:16" x14ac:dyDescent="0.3">
      <c r="A34" s="18">
        <v>44562</v>
      </c>
      <c r="B34" s="2">
        <f t="shared" si="8"/>
        <v>8969.4875721104509</v>
      </c>
      <c r="C34" s="44">
        <f t="shared" si="12"/>
        <v>600</v>
      </c>
      <c r="D34" s="2">
        <f t="shared" si="9"/>
        <v>8369.4875721104509</v>
      </c>
      <c r="E34" s="50">
        <f t="shared" si="2"/>
        <v>0.95103894173091286</v>
      </c>
      <c r="F34" s="46">
        <f t="shared" si="13"/>
        <v>350</v>
      </c>
      <c r="G34" s="3">
        <f t="shared" si="14"/>
        <v>8.4898399419247358E-2</v>
      </c>
      <c r="H34" s="46">
        <f t="shared" si="10"/>
        <v>2872797.3517696047</v>
      </c>
      <c r="I34" s="5">
        <f t="shared" si="11"/>
        <v>1203914.9161071503</v>
      </c>
      <c r="J34" s="4">
        <v>1300000</v>
      </c>
      <c r="K34" s="5">
        <f t="shared" si="1"/>
        <v>2006.5248601785838</v>
      </c>
      <c r="L34" s="47">
        <f t="shared" si="15"/>
        <v>0.41907408309380223</v>
      </c>
      <c r="M34" s="20">
        <f t="shared" si="5"/>
        <v>0.45252060650891973</v>
      </c>
      <c r="N34" s="56">
        <f t="shared" si="6"/>
        <v>368882.43566245446</v>
      </c>
      <c r="O34" s="39">
        <f t="shared" si="17"/>
        <v>0.12840531039727804</v>
      </c>
      <c r="P34" s="38">
        <f t="shared" si="16"/>
        <v>1.47852685395823E-2</v>
      </c>
    </row>
    <row r="35" spans="1:16" x14ac:dyDescent="0.3">
      <c r="A35" s="18">
        <v>44593</v>
      </c>
      <c r="B35" s="2">
        <f t="shared" si="8"/>
        <v>9130.3319684484995</v>
      </c>
      <c r="C35" s="44">
        <f t="shared" si="12"/>
        <v>600</v>
      </c>
      <c r="D35" s="2">
        <f t="shared" si="9"/>
        <v>8530.3319684484995</v>
      </c>
      <c r="E35" s="50">
        <f t="shared" si="2"/>
        <v>0.95103894173091297</v>
      </c>
      <c r="F35" s="46">
        <f t="shared" si="13"/>
        <v>350</v>
      </c>
      <c r="G35" s="3">
        <f t="shared" si="14"/>
        <v>8.4898399419247358E-2</v>
      </c>
      <c r="H35" s="46">
        <f t="shared" si="10"/>
        <v>2924313.4893562929</v>
      </c>
      <c r="I35" s="5">
        <f t="shared" si="11"/>
        <v>1203914.9161071503</v>
      </c>
      <c r="J35" s="4">
        <v>1300000</v>
      </c>
      <c r="K35" s="5">
        <f t="shared" si="1"/>
        <v>2006.5248601785838</v>
      </c>
      <c r="L35" s="47">
        <f t="shared" si="15"/>
        <v>0.41169146895128506</v>
      </c>
      <c r="M35" s="20">
        <f t="shared" si="5"/>
        <v>0.44454878204120285</v>
      </c>
      <c r="N35" s="56">
        <f t="shared" si="6"/>
        <v>420398.57324914262</v>
      </c>
      <c r="O35" s="39">
        <f t="shared" si="17"/>
        <v>0.14375974900751209</v>
      </c>
      <c r="P35" s="38">
        <f t="shared" si="16"/>
        <v>1.1286990930946827E-2</v>
      </c>
    </row>
    <row r="36" spans="1:16" x14ac:dyDescent="0.3">
      <c r="A36" s="18">
        <v>44621</v>
      </c>
      <c r="B36" s="2">
        <f t="shared" si="8"/>
        <v>9283.3012529251846</v>
      </c>
      <c r="C36" s="44">
        <f t="shared" si="12"/>
        <v>600</v>
      </c>
      <c r="D36" s="2">
        <f t="shared" si="9"/>
        <v>8683.3012529251846</v>
      </c>
      <c r="E36" s="50">
        <f t="shared" si="2"/>
        <v>0.95103894173091297</v>
      </c>
      <c r="F36" s="46">
        <f t="shared" si="13"/>
        <v>350</v>
      </c>
      <c r="G36" s="3">
        <f t="shared" si="14"/>
        <v>8.4898399419247358E-2</v>
      </c>
      <c r="H36" s="46">
        <f t="shared" si="10"/>
        <v>2973307.3423287999</v>
      </c>
      <c r="I36" s="5">
        <f t="shared" si="11"/>
        <v>1203914.9161071503</v>
      </c>
      <c r="J36" s="4">
        <v>1300000</v>
      </c>
      <c r="K36" s="5">
        <f t="shared" si="1"/>
        <v>2006.5248601785838</v>
      </c>
      <c r="L36" s="47">
        <f t="shared" si="15"/>
        <v>0.40490765921433514</v>
      </c>
      <c r="M36" s="20">
        <f t="shared" si="5"/>
        <v>0.43722355287421916</v>
      </c>
      <c r="N36" s="56">
        <f t="shared" si="6"/>
        <v>469392.42622164963</v>
      </c>
      <c r="O36" s="39">
        <f t="shared" si="17"/>
        <v>0.15786878791144571</v>
      </c>
      <c r="P36" s="38">
        <f t="shared" si="16"/>
        <v>8.4881602409061733E-3</v>
      </c>
    </row>
    <row r="37" spans="1:16" x14ac:dyDescent="0.3">
      <c r="A37" s="18">
        <v>44652</v>
      </c>
      <c r="B37" s="2">
        <f t="shared" si="8"/>
        <v>9428.7809993512255</v>
      </c>
      <c r="C37" s="44">
        <f t="shared" si="12"/>
        <v>600</v>
      </c>
      <c r="D37" s="2">
        <f t="shared" si="9"/>
        <v>8828.7809993512255</v>
      </c>
      <c r="E37" s="50">
        <f t="shared" si="2"/>
        <v>0.95103894173091297</v>
      </c>
      <c r="F37" s="46">
        <f t="shared" si="13"/>
        <v>350</v>
      </c>
      <c r="G37" s="3">
        <f t="shared" si="14"/>
        <v>8.4898399419247358E-2</v>
      </c>
      <c r="H37" s="46">
        <f t="shared" si="10"/>
        <v>3019902.4044110929</v>
      </c>
      <c r="I37" s="5">
        <f t="shared" si="11"/>
        <v>1203914.9161071503</v>
      </c>
      <c r="J37" s="4">
        <v>1300000</v>
      </c>
      <c r="K37" s="5">
        <f t="shared" si="1"/>
        <v>2006.5248601785838</v>
      </c>
      <c r="L37" s="47">
        <f t="shared" si="15"/>
        <v>0.39866020648502515</v>
      </c>
      <c r="M37" s="20">
        <f t="shared" si="5"/>
        <v>0.43047748765030414</v>
      </c>
      <c r="N37" s="56">
        <f t="shared" si="6"/>
        <v>515987.48830394261</v>
      </c>
      <c r="O37" s="39">
        <f t="shared" si="17"/>
        <v>0.17086230586467077</v>
      </c>
      <c r="P37" s="38">
        <f t="shared" si="16"/>
        <v>6.2627746330569225E-3</v>
      </c>
    </row>
    <row r="38" spans="1:16" x14ac:dyDescent="0.3">
      <c r="A38" s="18">
        <v>44682</v>
      </c>
      <c r="B38" s="2">
        <f t="shared" si="8"/>
        <v>9567.1379034355286</v>
      </c>
      <c r="C38" s="44">
        <f t="shared" si="12"/>
        <v>600</v>
      </c>
      <c r="D38" s="2">
        <f t="shared" si="9"/>
        <v>8967.1379034355286</v>
      </c>
      <c r="E38" s="50">
        <f t="shared" si="2"/>
        <v>0.95103894173091286</v>
      </c>
      <c r="F38" s="46">
        <f t="shared" si="13"/>
        <v>350</v>
      </c>
      <c r="G38" s="3">
        <f t="shared" si="14"/>
        <v>8.4898399419247358E-2</v>
      </c>
      <c r="H38" s="46">
        <f t="shared" si="10"/>
        <v>3064216.1229437231</v>
      </c>
      <c r="I38" s="5">
        <f t="shared" si="11"/>
        <v>1203914.9161071503</v>
      </c>
      <c r="J38" s="4">
        <v>1300000</v>
      </c>
      <c r="K38" s="5">
        <f t="shared" si="1"/>
        <v>2006.5248601785838</v>
      </c>
      <c r="L38" s="47">
        <f t="shared" si="15"/>
        <v>0.39289490943301231</v>
      </c>
      <c r="M38" s="20">
        <f t="shared" si="5"/>
        <v>0.42425205920237746</v>
      </c>
      <c r="N38" s="56">
        <f t="shared" si="6"/>
        <v>560301.20683657285</v>
      </c>
      <c r="O38" s="39">
        <f t="shared" si="17"/>
        <v>0.18285303136461023</v>
      </c>
      <c r="P38" s="38">
        <f t="shared" si="16"/>
        <v>4.5087153969220178E-3</v>
      </c>
    </row>
    <row r="39" spans="1:16" x14ac:dyDescent="0.3">
      <c r="A39" s="18">
        <v>44713</v>
      </c>
      <c r="B39" s="2">
        <f t="shared" si="8"/>
        <v>9698.720707077031</v>
      </c>
      <c r="C39" s="44">
        <f t="shared" si="12"/>
        <v>600</v>
      </c>
      <c r="D39" s="2">
        <f t="shared" si="9"/>
        <v>9098.720707077031</v>
      </c>
      <c r="E39" s="50">
        <f t="shared" si="2"/>
        <v>0.95103894173091297</v>
      </c>
      <c r="F39" s="46">
        <f t="shared" si="13"/>
        <v>350</v>
      </c>
      <c r="G39" s="3">
        <f t="shared" si="14"/>
        <v>8.4898399419247358E-2</v>
      </c>
      <c r="H39" s="46">
        <f t="shared" si="10"/>
        <v>3106360.1949211583</v>
      </c>
      <c r="I39" s="5">
        <f t="shared" si="11"/>
        <v>1203914.9161071503</v>
      </c>
      <c r="J39" s="4">
        <v>1300000</v>
      </c>
      <c r="K39" s="5">
        <f t="shared" si="1"/>
        <v>2006.5248601785838</v>
      </c>
      <c r="L39" s="47">
        <f t="shared" si="15"/>
        <v>0.38756449367189583</v>
      </c>
      <c r="M39" s="20">
        <f t="shared" si="5"/>
        <v>0.41849622015034704</v>
      </c>
      <c r="N39" s="56">
        <f t="shared" si="6"/>
        <v>602445.27881400799</v>
      </c>
      <c r="O39" s="39">
        <f t="shared" si="17"/>
        <v>0.19393928617775713</v>
      </c>
      <c r="P39" s="38">
        <f t="shared" si="16"/>
        <v>3.1428036342594128E-3</v>
      </c>
    </row>
    <row r="40" spans="1:16" x14ac:dyDescent="0.3">
      <c r="A40" s="18">
        <v>44743</v>
      </c>
      <c r="B40" s="2">
        <f t="shared" si="8"/>
        <v>9823.8610774022309</v>
      </c>
      <c r="C40" s="44">
        <f t="shared" si="12"/>
        <v>600</v>
      </c>
      <c r="D40" s="2">
        <f t="shared" si="9"/>
        <v>9223.8610774022309</v>
      </c>
      <c r="E40" s="50">
        <f t="shared" si="2"/>
        <v>0.95103894173091286</v>
      </c>
      <c r="F40" s="46">
        <f t="shared" si="13"/>
        <v>350</v>
      </c>
      <c r="G40" s="3">
        <f t="shared" si="14"/>
        <v>8.4898399419247358E-2</v>
      </c>
      <c r="H40" s="46">
        <f t="shared" si="10"/>
        <v>3146440.8485348085</v>
      </c>
      <c r="I40" s="5">
        <f t="shared" si="11"/>
        <v>1203914.9161071503</v>
      </c>
      <c r="J40" s="4">
        <v>1300000</v>
      </c>
      <c r="K40" s="5">
        <f t="shared" si="1"/>
        <v>2006.5248601785838</v>
      </c>
      <c r="L40" s="47">
        <f t="shared" si="15"/>
        <v>0.38262753824460832</v>
      </c>
      <c r="M40" s="20">
        <f t="shared" si="5"/>
        <v>0.41316524370873403</v>
      </c>
      <c r="N40" s="56">
        <f t="shared" si="6"/>
        <v>642525.93242765823</v>
      </c>
      <c r="O40" s="39">
        <f t="shared" si="17"/>
        <v>0.2042072180466577</v>
      </c>
      <c r="P40" s="38">
        <f t="shared" si="16"/>
        <v>2.0969788790263519E-3</v>
      </c>
    </row>
    <row r="41" spans="1:16" x14ac:dyDescent="0.3">
      <c r="A41" s="18">
        <v>44774</v>
      </c>
      <c r="B41" s="2">
        <f t="shared" si="8"/>
        <v>9942.874442764125</v>
      </c>
      <c r="C41" s="44">
        <f t="shared" si="12"/>
        <v>600</v>
      </c>
      <c r="D41" s="2">
        <f t="shared" si="9"/>
        <v>9342.874442764125</v>
      </c>
      <c r="E41" s="50">
        <f t="shared" si="2"/>
        <v>0.95103894173091308</v>
      </c>
      <c r="F41" s="46">
        <f t="shared" si="13"/>
        <v>350</v>
      </c>
      <c r="G41" s="3">
        <f t="shared" si="14"/>
        <v>8.4898399419247358E-2</v>
      </c>
      <c r="H41" s="46">
        <f t="shared" si="10"/>
        <v>3184559.1109314184</v>
      </c>
      <c r="I41" s="5">
        <f t="shared" si="11"/>
        <v>1203914.9161071503</v>
      </c>
      <c r="J41" s="4">
        <v>1300000</v>
      </c>
      <c r="K41" s="5">
        <f t="shared" si="1"/>
        <v>2006.5248601785838</v>
      </c>
      <c r="L41" s="47">
        <f t="shared" si="15"/>
        <v>0.37804759596848236</v>
      </c>
      <c r="M41" s="20">
        <f t="shared" si="5"/>
        <v>0.40821977382601532</v>
      </c>
      <c r="N41" s="56">
        <f t="shared" si="6"/>
        <v>680644.19482426811</v>
      </c>
      <c r="O41" s="39">
        <f t="shared" si="17"/>
        <v>0.21373263020550232</v>
      </c>
      <c r="P41" s="38">
        <f t="shared" si="16"/>
        <v>1.315322111810843E-3</v>
      </c>
    </row>
    <row r="42" spans="1:16" x14ac:dyDescent="0.3">
      <c r="P42" s="48">
        <v>0.25</v>
      </c>
    </row>
    <row r="43" spans="1:16" x14ac:dyDescent="0.3">
      <c r="I43" s="46"/>
      <c r="P43" t="s">
        <v>27</v>
      </c>
    </row>
    <row r="44" spans="1:16" x14ac:dyDescent="0.3">
      <c r="I44" s="46"/>
      <c r="P44" s="20">
        <f>SUM(P30:P41)</f>
        <v>0.16636943841381657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Юнит-экономика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Sysoev</dc:creator>
  <cp:lastModifiedBy>Ольга Арина</cp:lastModifiedBy>
  <dcterms:created xsi:type="dcterms:W3CDTF">2021-09-07T20:22:50Z</dcterms:created>
  <dcterms:modified xsi:type="dcterms:W3CDTF">2023-06-24T15:58:25Z</dcterms:modified>
</cp:coreProperties>
</file>