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onstettner/Desktop/"/>
    </mc:Choice>
  </mc:AlternateContent>
  <xr:revisionPtr revIDLastSave="0" documentId="8_{73A45C5B-DF98-A74D-AA9D-BD9CB5403819}" xr6:coauthVersionLast="47" xr6:coauthVersionMax="47" xr10:uidLastSave="{00000000-0000-0000-0000-000000000000}"/>
  <bookViews>
    <workbookView xWindow="6960" yWindow="500" windowWidth="28040" windowHeight="15800" xr2:uid="{AC147A56-A05B-AF42-879F-D007C706E171}"/>
  </bookViews>
  <sheets>
    <sheet name="Table S1" sheetId="1" r:id="rId1"/>
    <sheet name="Table S2" sheetId="2" r:id="rId2"/>
    <sheet name="Table S3" sheetId="3" r:id="rId3"/>
    <sheet name="Table S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4" l="1"/>
  <c r="I7" i="4"/>
  <c r="J7" i="4" s="1"/>
  <c r="G7" i="4"/>
  <c r="H7" i="4" s="1"/>
  <c r="F7" i="4"/>
  <c r="I6" i="4"/>
  <c r="K6" i="4" s="1"/>
  <c r="G6" i="4"/>
  <c r="H6" i="4" s="1"/>
  <c r="F6" i="4"/>
  <c r="K5" i="4"/>
  <c r="I5" i="4"/>
  <c r="J5" i="4" s="1"/>
  <c r="G5" i="4"/>
  <c r="H5" i="4" s="1"/>
  <c r="F5" i="4"/>
  <c r="I4" i="4"/>
  <c r="K4" i="4" s="1"/>
  <c r="G4" i="4"/>
  <c r="H4" i="4" s="1"/>
  <c r="F4" i="4"/>
  <c r="J4" i="4" l="1"/>
  <c r="J6" i="4"/>
  <c r="M82" i="3"/>
  <c r="U78" i="3"/>
  <c r="U77" i="3"/>
  <c r="M74" i="3"/>
  <c r="O70" i="3"/>
  <c r="P70" i="3" s="1"/>
  <c r="E70" i="3"/>
  <c r="O69" i="3"/>
  <c r="E69" i="3"/>
  <c r="P69" i="3" s="1"/>
  <c r="Q69" i="3" s="1"/>
  <c r="M68" i="3"/>
  <c r="O68" i="3" s="1"/>
  <c r="M67" i="3"/>
  <c r="O67" i="3" s="1"/>
  <c r="M66" i="3"/>
  <c r="O66" i="3" s="1"/>
  <c r="M65" i="3"/>
  <c r="O65" i="3" s="1"/>
  <c r="M64" i="3"/>
  <c r="O64" i="3" s="1"/>
  <c r="M63" i="3"/>
  <c r="O63" i="3" s="1"/>
  <c r="M62" i="3"/>
  <c r="O62" i="3" s="1"/>
  <c r="M61" i="3"/>
  <c r="O61" i="3" s="1"/>
  <c r="M60" i="3"/>
  <c r="O60" i="3" s="1"/>
  <c r="M59" i="3"/>
  <c r="O59" i="3" s="1"/>
  <c r="M58" i="3"/>
  <c r="O58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C52" i="3"/>
  <c r="P51" i="3"/>
  <c r="O51" i="3"/>
  <c r="M51" i="3"/>
  <c r="P50" i="3"/>
  <c r="O50" i="3"/>
  <c r="M50" i="3"/>
  <c r="O49" i="3"/>
  <c r="P49" i="3" s="1"/>
  <c r="P48" i="3"/>
  <c r="R48" i="3" s="1"/>
  <c r="S48" i="3" s="1"/>
  <c r="T48" i="3" s="1"/>
  <c r="U48" i="3" s="1"/>
  <c r="O48" i="3"/>
  <c r="O47" i="3"/>
  <c r="P47" i="3" s="1"/>
  <c r="P46" i="3"/>
  <c r="O46" i="3"/>
  <c r="O45" i="3"/>
  <c r="P45" i="3" s="1"/>
  <c r="P44" i="3"/>
  <c r="R44" i="3" s="1"/>
  <c r="S44" i="3" s="1"/>
  <c r="T44" i="3" s="1"/>
  <c r="U44" i="3" s="1"/>
  <c r="O44" i="3"/>
  <c r="O43" i="3"/>
  <c r="P43" i="3" s="1"/>
  <c r="P42" i="3"/>
  <c r="O42" i="3"/>
  <c r="O41" i="3"/>
  <c r="P41" i="3" s="1"/>
  <c r="P40" i="3"/>
  <c r="R40" i="3" s="1"/>
  <c r="S40" i="3" s="1"/>
  <c r="T40" i="3" s="1"/>
  <c r="U40" i="3" s="1"/>
  <c r="O40" i="3"/>
  <c r="O39" i="3"/>
  <c r="P39" i="3" s="1"/>
  <c r="M39" i="3"/>
  <c r="O38" i="3"/>
  <c r="P38" i="3" s="1"/>
  <c r="Q38" i="3" s="1"/>
  <c r="R42" i="3" s="1"/>
  <c r="S42" i="3" s="1"/>
  <c r="T42" i="3" s="1"/>
  <c r="U42" i="3" s="1"/>
  <c r="C38" i="3"/>
  <c r="O36" i="3"/>
  <c r="P36" i="3" s="1"/>
  <c r="M36" i="3"/>
  <c r="P34" i="3"/>
  <c r="O34" i="3"/>
  <c r="M34" i="3"/>
  <c r="C34" i="3"/>
  <c r="Q33" i="3"/>
  <c r="P33" i="3"/>
  <c r="O33" i="3"/>
  <c r="M33" i="3"/>
  <c r="C33" i="3"/>
  <c r="M32" i="3"/>
  <c r="O32" i="3" s="1"/>
  <c r="P32" i="3" s="1"/>
  <c r="C32" i="3"/>
  <c r="P31" i="3"/>
  <c r="O31" i="3"/>
  <c r="M31" i="3"/>
  <c r="P30" i="3"/>
  <c r="O30" i="3"/>
  <c r="M30" i="3"/>
  <c r="M29" i="3"/>
  <c r="O29" i="3" s="1"/>
  <c r="P29" i="3" s="1"/>
  <c r="M28" i="3"/>
  <c r="O28" i="3" s="1"/>
  <c r="P28" i="3" s="1"/>
  <c r="M27" i="3"/>
  <c r="O27" i="3" s="1"/>
  <c r="P27" i="3" s="1"/>
  <c r="P26" i="3"/>
  <c r="O26" i="3"/>
  <c r="M26" i="3"/>
  <c r="O25" i="3"/>
  <c r="P25" i="3" s="1"/>
  <c r="M25" i="3"/>
  <c r="P24" i="3"/>
  <c r="O24" i="3"/>
  <c r="M24" i="3"/>
  <c r="C24" i="3"/>
  <c r="O23" i="3"/>
  <c r="P23" i="3" s="1"/>
  <c r="M23" i="3"/>
  <c r="M22" i="3"/>
  <c r="O22" i="3" s="1"/>
  <c r="P22" i="3" s="1"/>
  <c r="P21" i="3"/>
  <c r="M21" i="3"/>
  <c r="O21" i="3" s="1"/>
  <c r="O20" i="3"/>
  <c r="P20" i="3" s="1"/>
  <c r="M20" i="3"/>
  <c r="O19" i="3"/>
  <c r="P19" i="3" s="1"/>
  <c r="M19" i="3"/>
  <c r="M18" i="3"/>
  <c r="O18" i="3" s="1"/>
  <c r="P18" i="3" s="1"/>
  <c r="P17" i="3"/>
  <c r="M17" i="3"/>
  <c r="O17" i="3" s="1"/>
  <c r="O16" i="3"/>
  <c r="P16" i="3" s="1"/>
  <c r="M16" i="3"/>
  <c r="O15" i="3"/>
  <c r="P15" i="3" s="1"/>
  <c r="M15" i="3"/>
  <c r="M14" i="3"/>
  <c r="O14" i="3" s="1"/>
  <c r="P14" i="3" s="1"/>
  <c r="P13" i="3"/>
  <c r="M13" i="3"/>
  <c r="O13" i="3" s="1"/>
  <c r="O12" i="3"/>
  <c r="P12" i="3" s="1"/>
  <c r="M12" i="3"/>
  <c r="O11" i="3"/>
  <c r="P11" i="3" s="1"/>
  <c r="M11" i="3"/>
  <c r="P10" i="3"/>
  <c r="M10" i="3"/>
  <c r="O10" i="3" s="1"/>
  <c r="O9" i="3"/>
  <c r="P9" i="3" s="1"/>
  <c r="M9" i="3"/>
  <c r="M8" i="3"/>
  <c r="O8" i="3" s="1"/>
  <c r="P8" i="3" s="1"/>
  <c r="O7" i="3"/>
  <c r="P7" i="3" s="1"/>
  <c r="M7" i="3"/>
  <c r="M6" i="3"/>
  <c r="O6" i="3" s="1"/>
  <c r="P6" i="3" s="1"/>
  <c r="O5" i="3"/>
  <c r="P5" i="3" s="1"/>
  <c r="M5" i="3"/>
  <c r="O4" i="3"/>
  <c r="P4" i="3" s="1"/>
  <c r="M4" i="3"/>
  <c r="Q28" i="3" l="1"/>
  <c r="R31" i="3" s="1"/>
  <c r="S31" i="3" s="1"/>
  <c r="T31" i="3" s="1"/>
  <c r="T71" i="3" s="1"/>
  <c r="U71" i="3" s="1"/>
  <c r="R8" i="3"/>
  <c r="S8" i="3" s="1"/>
  <c r="T8" i="3" s="1"/>
  <c r="U8" i="3" s="1"/>
  <c r="R4" i="3"/>
  <c r="S4" i="3" s="1"/>
  <c r="T4" i="3" s="1"/>
  <c r="Q4" i="3"/>
  <c r="R11" i="3" s="1"/>
  <c r="S11" i="3" s="1"/>
  <c r="T11" i="3" s="1"/>
  <c r="U11" i="3" s="1"/>
  <c r="R7" i="3"/>
  <c r="S7" i="3" s="1"/>
  <c r="T7" i="3" s="1"/>
  <c r="U7" i="3" s="1"/>
  <c r="R16" i="3"/>
  <c r="S16" i="3" s="1"/>
  <c r="T16" i="3" s="1"/>
  <c r="U16" i="3" s="1"/>
  <c r="R5" i="3"/>
  <c r="S5" i="3" s="1"/>
  <c r="T5" i="3" s="1"/>
  <c r="U5" i="3" s="1"/>
  <c r="R10" i="3"/>
  <c r="S10" i="3" s="1"/>
  <c r="T10" i="3" s="1"/>
  <c r="R15" i="3"/>
  <c r="S15" i="3" s="1"/>
  <c r="T15" i="3" s="1"/>
  <c r="U15" i="3" s="1"/>
  <c r="R17" i="3"/>
  <c r="S17" i="3" s="1"/>
  <c r="T17" i="3" s="1"/>
  <c r="U17" i="3" s="1"/>
  <c r="R30" i="3"/>
  <c r="S30" i="3" s="1"/>
  <c r="T30" i="3" s="1"/>
  <c r="U30" i="3" s="1"/>
  <c r="R43" i="3"/>
  <c r="S43" i="3" s="1"/>
  <c r="T43" i="3" s="1"/>
  <c r="U43" i="3" s="1"/>
  <c r="R46" i="3"/>
  <c r="S46" i="3" s="1"/>
  <c r="T46" i="3" s="1"/>
  <c r="U46" i="3" s="1"/>
  <c r="R51" i="3"/>
  <c r="S51" i="3" s="1"/>
  <c r="T51" i="3" s="1"/>
  <c r="T83" i="3" s="1"/>
  <c r="U83" i="3" s="1"/>
  <c r="R70" i="3"/>
  <c r="S70" i="3" s="1"/>
  <c r="T70" i="3" s="1"/>
  <c r="T73" i="3" s="1"/>
  <c r="U73" i="3" s="1"/>
  <c r="Q32" i="3"/>
  <c r="R32" i="3" s="1"/>
  <c r="S32" i="3" s="1"/>
  <c r="T32" i="3" s="1"/>
  <c r="U32" i="3" s="1"/>
  <c r="R41" i="3"/>
  <c r="S41" i="3" s="1"/>
  <c r="T41" i="3" s="1"/>
  <c r="U41" i="3" s="1"/>
  <c r="R49" i="3"/>
  <c r="S49" i="3" s="1"/>
  <c r="T49" i="3" s="1"/>
  <c r="U49" i="3" s="1"/>
  <c r="T68" i="3"/>
  <c r="U68" i="3" s="1"/>
  <c r="T67" i="3"/>
  <c r="U67" i="3" s="1"/>
  <c r="T66" i="3"/>
  <c r="U66" i="3" s="1"/>
  <c r="T65" i="3"/>
  <c r="U65" i="3" s="1"/>
  <c r="T64" i="3"/>
  <c r="U64" i="3" s="1"/>
  <c r="T63" i="3"/>
  <c r="U63" i="3" s="1"/>
  <c r="T62" i="3"/>
  <c r="U62" i="3" s="1"/>
  <c r="T61" i="3"/>
  <c r="U61" i="3" s="1"/>
  <c r="T60" i="3"/>
  <c r="U60" i="3" s="1"/>
  <c r="T59" i="3"/>
  <c r="U59" i="3" s="1"/>
  <c r="T58" i="3"/>
  <c r="U58" i="3" s="1"/>
  <c r="T57" i="3"/>
  <c r="U57" i="3" s="1"/>
  <c r="T56" i="3"/>
  <c r="U56" i="3" s="1"/>
  <c r="T55" i="3"/>
  <c r="U55" i="3" s="1"/>
  <c r="T54" i="3"/>
  <c r="U54" i="3" s="1"/>
  <c r="T53" i="3"/>
  <c r="U53" i="3" s="1"/>
  <c r="T52" i="3"/>
  <c r="U52" i="3" s="1"/>
  <c r="R24" i="3"/>
  <c r="S24" i="3" s="1"/>
  <c r="T24" i="3" s="1"/>
  <c r="Q24" i="3"/>
  <c r="R27" i="3" s="1"/>
  <c r="S27" i="3" s="1"/>
  <c r="T27" i="3" s="1"/>
  <c r="U27" i="3" s="1"/>
  <c r="Q34" i="3"/>
  <c r="R36" i="3" s="1"/>
  <c r="S36" i="3" s="1"/>
  <c r="T36" i="3" s="1"/>
  <c r="R39" i="3"/>
  <c r="S39" i="3" s="1"/>
  <c r="T39" i="3" s="1"/>
  <c r="U39" i="3" s="1"/>
  <c r="R47" i="3"/>
  <c r="S47" i="3" s="1"/>
  <c r="T47" i="3" s="1"/>
  <c r="U47" i="3" s="1"/>
  <c r="R50" i="3"/>
  <c r="S50" i="3" s="1"/>
  <c r="T50" i="3" s="1"/>
  <c r="U50" i="3" s="1"/>
  <c r="R69" i="3"/>
  <c r="S69" i="3" s="1"/>
  <c r="T69" i="3" s="1"/>
  <c r="R33" i="3"/>
  <c r="S33" i="3" s="1"/>
  <c r="T33" i="3" s="1"/>
  <c r="U33" i="3" s="1"/>
  <c r="R38" i="3"/>
  <c r="S38" i="3" s="1"/>
  <c r="T38" i="3" s="1"/>
  <c r="U38" i="3" s="1"/>
  <c r="R45" i="3"/>
  <c r="S45" i="3" s="1"/>
  <c r="T45" i="3" s="1"/>
  <c r="U45" i="3" s="1"/>
  <c r="U37" i="3" l="1"/>
  <c r="U36" i="3"/>
  <c r="U4" i="3"/>
  <c r="R34" i="3"/>
  <c r="S34" i="3" s="1"/>
  <c r="T34" i="3" s="1"/>
  <c r="R25" i="3"/>
  <c r="S25" i="3" s="1"/>
  <c r="T25" i="3" s="1"/>
  <c r="U25" i="3" s="1"/>
  <c r="R6" i="3"/>
  <c r="S6" i="3" s="1"/>
  <c r="T6" i="3" s="1"/>
  <c r="U6" i="3" s="1"/>
  <c r="R20" i="3"/>
  <c r="S20" i="3" s="1"/>
  <c r="T20" i="3" s="1"/>
  <c r="U20" i="3" s="1"/>
  <c r="R26" i="3"/>
  <c r="S26" i="3" s="1"/>
  <c r="T26" i="3" s="1"/>
  <c r="U26" i="3" s="1"/>
  <c r="R29" i="3"/>
  <c r="S29" i="3" s="1"/>
  <c r="T29" i="3" s="1"/>
  <c r="U29" i="3" s="1"/>
  <c r="R13" i="3"/>
  <c r="S13" i="3" s="1"/>
  <c r="T13" i="3" s="1"/>
  <c r="U13" i="3" s="1"/>
  <c r="R22" i="3"/>
  <c r="S22" i="3" s="1"/>
  <c r="T22" i="3" s="1"/>
  <c r="U22" i="3" s="1"/>
  <c r="R19" i="3"/>
  <c r="S19" i="3" s="1"/>
  <c r="T19" i="3" s="1"/>
  <c r="U19" i="3" s="1"/>
  <c r="R23" i="3"/>
  <c r="S23" i="3" s="1"/>
  <c r="T23" i="3" s="1"/>
  <c r="U23" i="3" s="1"/>
  <c r="R18" i="3"/>
  <c r="S18" i="3" s="1"/>
  <c r="T18" i="3" s="1"/>
  <c r="U18" i="3" s="1"/>
  <c r="R21" i="3"/>
  <c r="S21" i="3" s="1"/>
  <c r="T21" i="3" s="1"/>
  <c r="U21" i="3" s="1"/>
  <c r="R14" i="3"/>
  <c r="S14" i="3" s="1"/>
  <c r="T14" i="3" s="1"/>
  <c r="U14" i="3" s="1"/>
  <c r="R9" i="3"/>
  <c r="S9" i="3" s="1"/>
  <c r="T9" i="3" s="1"/>
  <c r="T72" i="3"/>
  <c r="U72" i="3" s="1"/>
  <c r="U24" i="3"/>
  <c r="R12" i="3"/>
  <c r="S12" i="3" s="1"/>
  <c r="T12" i="3" s="1"/>
  <c r="U12" i="3" s="1"/>
  <c r="R28" i="3"/>
  <c r="S28" i="3" s="1"/>
  <c r="T28" i="3" s="1"/>
  <c r="T81" i="3" l="1"/>
  <c r="T74" i="3" s="1"/>
  <c r="U74" i="3" s="1"/>
  <c r="U28" i="3"/>
  <c r="T80" i="3"/>
  <c r="T79" i="3"/>
  <c r="U35" i="3"/>
  <c r="U34" i="3"/>
  <c r="T82" i="3" l="1"/>
  <c r="U82" i="3" s="1"/>
  <c r="F15" i="2" l="1"/>
  <c r="H15" i="2" s="1"/>
  <c r="H14" i="2"/>
  <c r="F14" i="2"/>
  <c r="G14" i="2" s="1"/>
  <c r="H13" i="2"/>
  <c r="G13" i="2"/>
  <c r="F13" i="2"/>
  <c r="F12" i="2"/>
  <c r="H12" i="2" s="1"/>
  <c r="F11" i="2"/>
  <c r="H11" i="2" s="1"/>
  <c r="H10" i="2"/>
  <c r="F10" i="2"/>
  <c r="G10" i="2" s="1"/>
  <c r="H9" i="2"/>
  <c r="G9" i="2"/>
  <c r="F9" i="2"/>
  <c r="F8" i="2"/>
  <c r="H8" i="2" s="1"/>
  <c r="F7" i="2"/>
  <c r="H7" i="2" s="1"/>
  <c r="H6" i="2"/>
  <c r="F6" i="2"/>
  <c r="G6" i="2" s="1"/>
  <c r="H5" i="2"/>
  <c r="G5" i="2"/>
  <c r="F5" i="2"/>
  <c r="F4" i="2"/>
  <c r="H4" i="2" s="1"/>
  <c r="G4" i="2" l="1"/>
  <c r="G8" i="2"/>
  <c r="G12" i="2"/>
  <c r="G7" i="2"/>
  <c r="G11" i="2"/>
  <c r="G15" i="2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<sst xmlns="http://schemas.openxmlformats.org/spreadsheetml/2006/main" count="488" uniqueCount="394">
  <si>
    <t>Table S1: Carbon Sources for Growth Phenotype Screening</t>
  </si>
  <si>
    <t>Carbon Source</t>
  </si>
  <si>
    <t>MW</t>
  </si>
  <si>
    <t>Number of C Atoms</t>
  </si>
  <si>
    <t>Concentration (mM)</t>
  </si>
  <si>
    <t>Chemical Formula</t>
  </si>
  <si>
    <t>L-Lactic Acid</t>
  </si>
  <si>
    <t>C3H6O3</t>
  </si>
  <si>
    <t>Pyruvic Acid</t>
  </si>
  <si>
    <t>C3H4O3</t>
  </si>
  <si>
    <t>L-Proline</t>
  </si>
  <si>
    <t>C5H9NO2</t>
  </si>
  <si>
    <t>D-Alanine</t>
  </si>
  <si>
    <t>C3H7NO2</t>
  </si>
  <si>
    <t>L-Asparagine</t>
  </si>
  <si>
    <t>C4H8N2O3</t>
  </si>
  <si>
    <t>L-Serine</t>
  </si>
  <si>
    <t>C3H7NO3</t>
  </si>
  <si>
    <t>L-Threonine</t>
  </si>
  <si>
    <t>C4H9NO3</t>
  </si>
  <si>
    <t>L-Glutamine</t>
  </si>
  <si>
    <t>C5H10N2O3</t>
  </si>
  <si>
    <t>Glycine</t>
  </si>
  <si>
    <t>C2H5NO2</t>
  </si>
  <si>
    <t>L-Arginine</t>
  </si>
  <si>
    <t>C6H14N4O2</t>
  </si>
  <si>
    <t>Aspartic Acid</t>
  </si>
  <si>
    <t>C4H7NO4</t>
  </si>
  <si>
    <t>L-Cysteine</t>
  </si>
  <si>
    <t>C3H7NO2S</t>
  </si>
  <si>
    <t>L-Lysine</t>
  </si>
  <si>
    <t>C6H14N2O2</t>
  </si>
  <si>
    <t>Glutamic Acid</t>
  </si>
  <si>
    <t>C5H9NO4</t>
  </si>
  <si>
    <t>Sarcosine</t>
  </si>
  <si>
    <t>D-Glucosamine</t>
  </si>
  <si>
    <t>C6H13NO5</t>
  </si>
  <si>
    <t>Fumaric Acid</t>
  </si>
  <si>
    <t>C4H4O4</t>
  </si>
  <si>
    <t>Acetic Acid</t>
  </si>
  <si>
    <t>C2H4O2</t>
  </si>
  <si>
    <t>Histidine</t>
  </si>
  <si>
    <t>C6H9N3O2</t>
  </si>
  <si>
    <t>Propionic Acid</t>
  </si>
  <si>
    <t>74.079 </t>
  </si>
  <si>
    <t>C3H6O2</t>
  </si>
  <si>
    <t>L-Rhamnose</t>
  </si>
  <si>
    <t>C6H12O5</t>
  </si>
  <si>
    <t>Succinic Acid</t>
  </si>
  <si>
    <t>C4H6O4</t>
  </si>
  <si>
    <t>D,L-Malic Acid</t>
  </si>
  <si>
    <t>C4H6O5</t>
  </si>
  <si>
    <t>D-Melibiose</t>
  </si>
  <si>
    <t>C12H22O11</t>
  </si>
  <si>
    <t>Lactose</t>
  </si>
  <si>
    <t>Sucrose</t>
  </si>
  <si>
    <t>Maltose</t>
  </si>
  <si>
    <t>Isoleucine</t>
  </si>
  <si>
    <t>C6H13NO2</t>
  </si>
  <si>
    <t>4-Hydroxybenzoic Acid</t>
  </si>
  <si>
    <t>C7H6O3</t>
  </si>
  <si>
    <t>Citric Acid</t>
  </si>
  <si>
    <t>C6H8O7</t>
  </si>
  <si>
    <t>Arabinose</t>
  </si>
  <si>
    <t>C5H10O5</t>
  </si>
  <si>
    <t>DL-Xylose</t>
  </si>
  <si>
    <t>Leucine</t>
  </si>
  <si>
    <t>Methionine</t>
  </si>
  <si>
    <t>C5H11NO2S</t>
  </si>
  <si>
    <t>Phenylalanine</t>
  </si>
  <si>
    <t>C9H11NO2</t>
  </si>
  <si>
    <t>D-Mannose</t>
  </si>
  <si>
    <t>C6H12O6</t>
  </si>
  <si>
    <t>D-Glucose</t>
  </si>
  <si>
    <t>D-Galactose</t>
  </si>
  <si>
    <t>L-Fucose</t>
  </si>
  <si>
    <t>D-Fructose</t>
  </si>
  <si>
    <t>D-Glucuronic Acid</t>
  </si>
  <si>
    <t>C6H10O7</t>
  </si>
  <si>
    <t>Glycerol</t>
  </si>
  <si>
    <t>C3H8O3</t>
  </si>
  <si>
    <t>m-Inositol</t>
  </si>
  <si>
    <t>Mannitol</t>
  </si>
  <si>
    <t>C6H14O6</t>
  </si>
  <si>
    <t>N-Acetyl-D-Glucosamine</t>
  </si>
  <si>
    <t>C8H15NO6</t>
  </si>
  <si>
    <t>Taurine</t>
  </si>
  <si>
    <t>C2H7NO3S</t>
  </si>
  <si>
    <t>Maleic Acid</t>
  </si>
  <si>
    <t>Xylitol</t>
  </si>
  <si>
    <t>C5H12O5</t>
  </si>
  <si>
    <t>Acetaldehyde</t>
  </si>
  <si>
    <t>C2H4O</t>
  </si>
  <si>
    <t>Sodium Butyrate</t>
  </si>
  <si>
    <t>C4H7NaO2</t>
  </si>
  <si>
    <t>Maltitol</t>
  </si>
  <si>
    <t>C12H24O11</t>
  </si>
  <si>
    <t>Sodium Gluconate</t>
  </si>
  <si>
    <t>C6H11NaO7</t>
  </si>
  <si>
    <t>Urea</t>
  </si>
  <si>
    <t>CH4N2O</t>
  </si>
  <si>
    <t>Sorbitol</t>
  </si>
  <si>
    <t>Oxalacetic Acid</t>
  </si>
  <si>
    <t>C4H4O5</t>
  </si>
  <si>
    <t>Dulcitol</t>
  </si>
  <si>
    <t>Valeric acid</t>
  </si>
  <si>
    <t>C5H10O2</t>
  </si>
  <si>
    <t>L-Lyxose</t>
  </si>
  <si>
    <t>Ethylene Glycol</t>
  </si>
  <si>
    <t>C2H6O2</t>
  </si>
  <si>
    <t>Raffinose</t>
  </si>
  <si>
    <t>C18H32O16 · 5H2O</t>
  </si>
  <si>
    <t>D+Galactosamine</t>
  </si>
  <si>
    <t>Lactulose</t>
  </si>
  <si>
    <t>D+Cellobiose</t>
  </si>
  <si>
    <t>Glyoxylic Acid</t>
  </si>
  <si>
    <t>C2H2O3</t>
  </si>
  <si>
    <t>L-Sorbose</t>
  </si>
  <si>
    <t>Sodium Glycolate</t>
  </si>
  <si>
    <t>C2H4O3</t>
  </si>
  <si>
    <t>Propanol</t>
  </si>
  <si>
    <t>C3H8O</t>
  </si>
  <si>
    <t>Ethanol</t>
  </si>
  <si>
    <t>C2H6O</t>
  </si>
  <si>
    <t>Methanol</t>
  </si>
  <si>
    <t>CH3OH</t>
  </si>
  <si>
    <t>Valine</t>
  </si>
  <si>
    <t>C5H11NO2</t>
  </si>
  <si>
    <t>Norvaline</t>
  </si>
  <si>
    <t>Tyrosine</t>
  </si>
  <si>
    <t>C9H11NO3</t>
  </si>
  <si>
    <t>Cystine</t>
  </si>
  <si>
    <t>C6H12N2O4S2</t>
  </si>
  <si>
    <t>N-Acetyl-D-Galactosamine</t>
  </si>
  <si>
    <t>Sodium Formate</t>
  </si>
  <si>
    <t>HCOONa</t>
  </si>
  <si>
    <t>Beta-Alanine</t>
  </si>
  <si>
    <t>4-Aminobenzoic Acid</t>
  </si>
  <si>
    <t>C7H7NO2</t>
  </si>
  <si>
    <t>Adenine</t>
  </si>
  <si>
    <t>C5H5N5</t>
  </si>
  <si>
    <t>Table S2: Osmolyte Measurements Under Different Growth Conditions</t>
  </si>
  <si>
    <t>GR [/h]</t>
  </si>
  <si>
    <t>OD600</t>
  </si>
  <si>
    <t>Glu [nmol/OD600/mL]</t>
  </si>
  <si>
    <t>Gln [nmol/OD600/mL]</t>
  </si>
  <si>
    <t>DW [mg/OD600]</t>
  </si>
  <si>
    <t>Glu [% DW]</t>
  </si>
  <si>
    <t>Gln [% DW]</t>
  </si>
  <si>
    <t>GlcNAc</t>
  </si>
  <si>
    <t>10 mM</t>
  </si>
  <si>
    <t>20 mM</t>
  </si>
  <si>
    <t>Galactose</t>
  </si>
  <si>
    <t>Glucose</t>
  </si>
  <si>
    <r>
      <t>Table S3:</t>
    </r>
    <r>
      <rPr>
        <b/>
        <i/>
        <sz val="12"/>
        <rFont val="Calibri"/>
        <family val="2"/>
      </rPr>
      <t xml:space="preserve"> Vibrio splendidus</t>
    </r>
    <r>
      <rPr>
        <b/>
        <sz val="12"/>
        <rFont val="Calibri"/>
        <family val="2"/>
      </rPr>
      <t xml:space="preserve"> sp. 1A01 Biomass Reaction</t>
    </r>
  </si>
  <si>
    <t>Molecular Type</t>
  </si>
  <si>
    <t>Macromolecular Percentage</t>
  </si>
  <si>
    <t>Metabolite (BioCyc)</t>
  </si>
  <si>
    <r>
      <t>mol</t>
    </r>
    <r>
      <rPr>
        <vertAlign val="subscript"/>
        <sz val="12"/>
        <color rgb="FF000000"/>
        <rFont val="Calibri"/>
        <family val="2"/>
        <scheme val="minor"/>
      </rPr>
      <t>mono</t>
    </r>
    <r>
      <rPr>
        <sz val="12"/>
        <color rgb="FF000000"/>
        <rFont val="Calibri"/>
        <family val="2"/>
        <scheme val="minor"/>
      </rPr>
      <t>/mol</t>
    </r>
    <r>
      <rPr>
        <vertAlign val="subscript"/>
        <sz val="12"/>
        <color rgb="FF000000"/>
        <rFont val="Calibri"/>
        <family val="2"/>
        <scheme val="minor"/>
      </rPr>
      <t>macro</t>
    </r>
  </si>
  <si>
    <t>Formula</t>
  </si>
  <si>
    <t>C</t>
  </si>
  <si>
    <t>H</t>
  </si>
  <si>
    <t>N</t>
  </si>
  <si>
    <t>O</t>
  </si>
  <si>
    <t>P</t>
  </si>
  <si>
    <t>S</t>
  </si>
  <si>
    <t>MW (g/mol)</t>
  </si>
  <si>
    <t>Molecular Correction</t>
  </si>
  <si>
    <r>
      <t>MW</t>
    </r>
    <r>
      <rPr>
        <vertAlign val="subscript"/>
        <sz val="12"/>
        <color theme="1"/>
        <rFont val="Calibri (Body)"/>
      </rPr>
      <t>corrected</t>
    </r>
    <r>
      <rPr>
        <sz val="12"/>
        <color theme="1"/>
        <rFont val="Calibri"/>
        <family val="2"/>
        <scheme val="minor"/>
      </rPr>
      <t xml:space="preserve"> (g/mol)</t>
    </r>
  </si>
  <si>
    <r>
      <t>g</t>
    </r>
    <r>
      <rPr>
        <vertAlign val="subscript"/>
        <sz val="12"/>
        <color theme="1"/>
        <rFont val="Calibri (Body)"/>
      </rPr>
      <t>mono</t>
    </r>
    <r>
      <rPr>
        <sz val="12"/>
        <color theme="1"/>
        <rFont val="Calibri"/>
        <family val="2"/>
        <scheme val="minor"/>
      </rPr>
      <t>/mol</t>
    </r>
    <r>
      <rPr>
        <vertAlign val="subscript"/>
        <sz val="12"/>
        <color theme="1"/>
        <rFont val="Calibri (Body)"/>
      </rPr>
      <t>macro</t>
    </r>
  </si>
  <si>
    <r>
      <t>g</t>
    </r>
    <r>
      <rPr>
        <vertAlign val="subscript"/>
        <sz val="12"/>
        <color theme="1"/>
        <rFont val="Calibri (Body)"/>
      </rPr>
      <t>macro</t>
    </r>
    <r>
      <rPr>
        <sz val="12"/>
        <color theme="1"/>
        <rFont val="Calibri"/>
        <family val="2"/>
        <scheme val="minor"/>
      </rPr>
      <t>/mol</t>
    </r>
    <r>
      <rPr>
        <vertAlign val="subscript"/>
        <sz val="12"/>
        <color theme="1"/>
        <rFont val="Calibri (Body)"/>
      </rPr>
      <t>macro</t>
    </r>
  </si>
  <si>
    <r>
      <t>g</t>
    </r>
    <r>
      <rPr>
        <vertAlign val="subscript"/>
        <sz val="12"/>
        <color theme="1"/>
        <rFont val="Calibri (Body)"/>
      </rPr>
      <t>mono</t>
    </r>
    <r>
      <rPr>
        <sz val="12"/>
        <color theme="1"/>
        <rFont val="Calibri"/>
        <family val="2"/>
        <scheme val="minor"/>
      </rPr>
      <t>/g</t>
    </r>
    <r>
      <rPr>
        <vertAlign val="subscript"/>
        <sz val="12"/>
        <color theme="1"/>
        <rFont val="Calibri (Body)"/>
      </rPr>
      <t>macro</t>
    </r>
  </si>
  <si>
    <r>
      <t>g</t>
    </r>
    <r>
      <rPr>
        <vertAlign val="subscript"/>
        <sz val="12"/>
        <color theme="1"/>
        <rFont val="Calibri (Body)"/>
      </rPr>
      <t>mono</t>
    </r>
    <r>
      <rPr>
        <sz val="12"/>
        <color theme="1"/>
        <rFont val="Calibri"/>
        <family val="2"/>
        <scheme val="minor"/>
      </rPr>
      <t>/g</t>
    </r>
    <r>
      <rPr>
        <vertAlign val="subscript"/>
        <sz val="12"/>
        <color theme="1"/>
        <rFont val="Calibri (Body)"/>
      </rPr>
      <t>CDW</t>
    </r>
  </si>
  <si>
    <r>
      <t>mmol</t>
    </r>
    <r>
      <rPr>
        <vertAlign val="subscript"/>
        <sz val="12"/>
        <rFont val="Calibri"/>
        <family val="2"/>
      </rPr>
      <t>mono</t>
    </r>
    <r>
      <rPr>
        <sz val="12"/>
        <rFont val="Calibri"/>
        <family val="2"/>
      </rPr>
      <t>/g</t>
    </r>
    <r>
      <rPr>
        <vertAlign val="subscript"/>
        <sz val="12"/>
        <rFont val="Calibri"/>
        <family val="2"/>
      </rPr>
      <t>CDW</t>
    </r>
  </si>
  <si>
    <t>Coefficient in Model</t>
  </si>
  <si>
    <t>Metabolite Name in Model</t>
  </si>
  <si>
    <t>Reactants</t>
  </si>
  <si>
    <t>Protein</t>
  </si>
  <si>
    <t>L-ALPHA-ALANINE</t>
  </si>
  <si>
    <t>H2O</t>
  </si>
  <si>
    <t>L-ALPHA-ALANINE[c]</t>
  </si>
  <si>
    <t>ARG</t>
  </si>
  <si>
    <t>C6H15N4O2</t>
  </si>
  <si>
    <t>ARG[c]</t>
  </si>
  <si>
    <t>ASN</t>
  </si>
  <si>
    <t>ASN[c]</t>
  </si>
  <si>
    <t>L-ASPARTATE</t>
  </si>
  <si>
    <t>C4H6NO4</t>
  </si>
  <si>
    <t>L-ASPARTATE[c]</t>
  </si>
  <si>
    <t>CYS</t>
  </si>
  <si>
    <t>CYS[c]</t>
  </si>
  <si>
    <t>GLN</t>
  </si>
  <si>
    <t>GLT</t>
  </si>
  <si>
    <t>C5H8NO4</t>
  </si>
  <si>
    <t>GLY</t>
  </si>
  <si>
    <t>GLY[c]</t>
  </si>
  <si>
    <t>HIS</t>
  </si>
  <si>
    <t>HIS[c]</t>
  </si>
  <si>
    <t>ILE</t>
  </si>
  <si>
    <t>ILE[c]</t>
  </si>
  <si>
    <t>LEU</t>
  </si>
  <si>
    <t>LEU[c]</t>
  </si>
  <si>
    <t>LYS</t>
  </si>
  <si>
    <t>C6H15N2O2</t>
  </si>
  <si>
    <t>LYS[c]</t>
  </si>
  <si>
    <t>MET</t>
  </si>
  <si>
    <t>MET[c]</t>
  </si>
  <si>
    <t>PHE</t>
  </si>
  <si>
    <t>PHE[c]</t>
  </si>
  <si>
    <t>PRO</t>
  </si>
  <si>
    <t>PRO[c]</t>
  </si>
  <si>
    <t>SER</t>
  </si>
  <si>
    <t>SER[c]</t>
  </si>
  <si>
    <t>THR</t>
  </si>
  <si>
    <t>THR[c]</t>
  </si>
  <si>
    <t>TRP</t>
  </si>
  <si>
    <t>C11H12N2O2</t>
  </si>
  <si>
    <t>TRP[c]</t>
  </si>
  <si>
    <t>TYR</t>
  </si>
  <si>
    <t>TYR[c]</t>
  </si>
  <si>
    <t>VAL</t>
  </si>
  <si>
    <t>VAL[c]</t>
  </si>
  <si>
    <t>DNA</t>
  </si>
  <si>
    <t>DATP</t>
  </si>
  <si>
    <t>C10H12N5O12P3</t>
  </si>
  <si>
    <t>Ppi</t>
  </si>
  <si>
    <t>DATP[c]</t>
  </si>
  <si>
    <t xml:space="preserve"> </t>
  </si>
  <si>
    <t>DCTP</t>
  </si>
  <si>
    <t>C9H12N3O13P3</t>
  </si>
  <si>
    <t>DCTP[c]</t>
  </si>
  <si>
    <t>DGTP</t>
  </si>
  <si>
    <t>C10H12N5O13P3</t>
  </si>
  <si>
    <t>DGTP[c]</t>
  </si>
  <si>
    <t>TTP</t>
  </si>
  <si>
    <t>C10H13N2O14P3</t>
  </si>
  <si>
    <t>TTP[c]</t>
  </si>
  <si>
    <t>RNA</t>
  </si>
  <si>
    <t>CTP</t>
  </si>
  <si>
    <t>C9H12N3O14P3</t>
  </si>
  <si>
    <t>CTP[c]</t>
  </si>
  <si>
    <t>GTP</t>
  </si>
  <si>
    <t>C10H12N5O14P3</t>
  </si>
  <si>
    <t>GTP[c]</t>
  </si>
  <si>
    <t>UTP</t>
  </si>
  <si>
    <t>C9H11N2O15P3</t>
  </si>
  <si>
    <t>UTP[c]</t>
  </si>
  <si>
    <t>ATP</t>
  </si>
  <si>
    <t>Murein</t>
  </si>
  <si>
    <t>CPD0-2278</t>
  </si>
  <si>
    <t>C77H117N15O40</t>
  </si>
  <si>
    <t>CPD0-2278[p]</t>
  </si>
  <si>
    <t>LPS</t>
  </si>
  <si>
    <t>KDO2-LIPID-IVA</t>
  </si>
  <si>
    <t>C84H148N2O37P2</t>
  </si>
  <si>
    <t>KDO2-LIPID-IVA[p]</t>
  </si>
  <si>
    <t>Lipids</t>
  </si>
  <si>
    <t>CPD-12819</t>
  </si>
  <si>
    <t>C37H74N1O8P1</t>
  </si>
  <si>
    <t>CPD-12819[c]</t>
  </si>
  <si>
    <t>CPD-12819[p]</t>
  </si>
  <si>
    <t>CPD-17086</t>
  </si>
  <si>
    <t>C37H70N1O8P1</t>
  </si>
  <si>
    <t>CPD-17086[c]</t>
  </si>
  <si>
    <t>CPD-17086[p]</t>
  </si>
  <si>
    <t>Inorganic ions</t>
  </si>
  <si>
    <t>K+</t>
  </si>
  <si>
    <t>K</t>
  </si>
  <si>
    <t>K+[c]</t>
  </si>
  <si>
    <t>AMMONIUM</t>
  </si>
  <si>
    <t>H4N</t>
  </si>
  <si>
    <t>AMMONIUM[c]</t>
  </si>
  <si>
    <t>MG+2</t>
  </si>
  <si>
    <t>Mg</t>
  </si>
  <si>
    <t>MG+2[c]</t>
  </si>
  <si>
    <t>CA+2</t>
  </si>
  <si>
    <t>Ca</t>
  </si>
  <si>
    <t>CA+2[c]</t>
  </si>
  <si>
    <t>FE+2</t>
  </si>
  <si>
    <t>Fe</t>
  </si>
  <si>
    <t>FE+2[c]</t>
  </si>
  <si>
    <t>FE+3</t>
  </si>
  <si>
    <t>FE+3[c]</t>
  </si>
  <si>
    <t>CU+2</t>
  </si>
  <si>
    <t>Cu</t>
  </si>
  <si>
    <t>CU+2[c]</t>
  </si>
  <si>
    <t>MN+2</t>
  </si>
  <si>
    <t>Mn</t>
  </si>
  <si>
    <t>MN+2[c]</t>
  </si>
  <si>
    <t>CPD-3</t>
  </si>
  <si>
    <t>MoO4</t>
  </si>
  <si>
    <t>CPD-3[c]</t>
  </si>
  <si>
    <t>CO+2</t>
  </si>
  <si>
    <t>Co</t>
  </si>
  <si>
    <t>CO+2[c]</t>
  </si>
  <si>
    <t>ZN+2</t>
  </si>
  <si>
    <t>Zn</t>
  </si>
  <si>
    <t>ZN+2[c]</t>
  </si>
  <si>
    <t>CL-</t>
  </si>
  <si>
    <t>Cl</t>
  </si>
  <si>
    <t>CL-[c]</t>
  </si>
  <si>
    <t>SULFATE</t>
  </si>
  <si>
    <t>O4S</t>
  </si>
  <si>
    <t>SULFATE[c]</t>
  </si>
  <si>
    <t>Pi</t>
  </si>
  <si>
    <t>HO4P</t>
  </si>
  <si>
    <t>Soluble pools</t>
  </si>
  <si>
    <t>CO-A</t>
  </si>
  <si>
    <t>C21H32N7O16P3S</t>
  </si>
  <si>
    <t>CO-A[c]</t>
  </si>
  <si>
    <t>NAD</t>
  </si>
  <si>
    <t>C21H26N7O14P2</t>
  </si>
  <si>
    <t>NAD[c]</t>
  </si>
  <si>
    <t>NADP</t>
  </si>
  <si>
    <t>C21H25N7O17P3</t>
  </si>
  <si>
    <t>NADP[c]</t>
  </si>
  <si>
    <t>FAD</t>
  </si>
  <si>
    <t>C27H31N9O15P2</t>
  </si>
  <si>
    <t>FAD[c]</t>
  </si>
  <si>
    <t>THF-GLU-N</t>
  </si>
  <si>
    <t>C19H21N7O6</t>
  </si>
  <si>
    <t>THF-GLU-N[c]</t>
  </si>
  <si>
    <t>METHYLENE-THF-GLU-N</t>
  </si>
  <si>
    <t>C20H21N7O6</t>
  </si>
  <si>
    <t>METHYLENE-THF-GLU-N[c]</t>
  </si>
  <si>
    <t>5-METHYL-THF-GLU-N</t>
  </si>
  <si>
    <t>C20H24N7O6</t>
  </si>
  <si>
    <t>5-METHYL-THF-GLU-N[c]</t>
  </si>
  <si>
    <t>10-FORMYL-DIHYDROFOLATE-GLU-N</t>
  </si>
  <si>
    <t>C20H21N7O7</t>
  </si>
  <si>
    <t>10-FORMYL-DIHYDROFOLATE-GLU-N[c]</t>
  </si>
  <si>
    <t>THIAMINE-PYROPHOSPHATE</t>
  </si>
  <si>
    <t>C12H16N4O7P2S</t>
  </si>
  <si>
    <t>THIAMINE-PYROPHOSPHATE[c]</t>
  </si>
  <si>
    <t>CPD-9956</t>
  </si>
  <si>
    <t>C49H76O4</t>
  </si>
  <si>
    <t>CPD-9956[c]</t>
  </si>
  <si>
    <t>PYRIDOXAL_PHOSPHATE</t>
  </si>
  <si>
    <t>C8H8NO6P</t>
  </si>
  <si>
    <t>PYRIDOXAL_PHOSPHATE[c]</t>
  </si>
  <si>
    <t>PROTOHEME</t>
  </si>
  <si>
    <t>C34H30FeN4O4</t>
  </si>
  <si>
    <t>PROTOHEME[c]</t>
  </si>
  <si>
    <t>ENTEROBACTIN</t>
  </si>
  <si>
    <t>C30H27N3O15</t>
  </si>
  <si>
    <t>ENTEROBACTIN[c]</t>
  </si>
  <si>
    <t>UNDECAPRENYL-DIPHOSPHATE</t>
  </si>
  <si>
    <t>C55H89O7P2</t>
  </si>
  <si>
    <t>UNDECAPRENYL-DIPHOSPHATE[c]</t>
  </si>
  <si>
    <t>CHORISMATE</t>
  </si>
  <si>
    <t>C10H8O6</t>
  </si>
  <si>
    <t>CHORISMATE[c]</t>
  </si>
  <si>
    <t>S-ADENOSYLMETHIONINE</t>
  </si>
  <si>
    <t>C15H23N6O5S</t>
  </si>
  <si>
    <t>S-ADENOSYLMETHIONINE[c]</t>
  </si>
  <si>
    <t>RIBOFLAVIN</t>
  </si>
  <si>
    <t>C17H20N4O6</t>
  </si>
  <si>
    <t>RIBOFLAVIN[c]</t>
  </si>
  <si>
    <t>Osmolytes</t>
  </si>
  <si>
    <t>RNA + GAM</t>
  </si>
  <si>
    <t>ATP[c]</t>
  </si>
  <si>
    <t>Protein + osmolytes</t>
  </si>
  <si>
    <t>GLN[c]</t>
  </si>
  <si>
    <t>GLT[c]</t>
  </si>
  <si>
    <t>GAM - protein polymerization</t>
  </si>
  <si>
    <t>WATER</t>
  </si>
  <si>
    <t>WATER[c]</t>
  </si>
  <si>
    <t>Products</t>
  </si>
  <si>
    <t>GAM</t>
  </si>
  <si>
    <t>ADP[c]</t>
  </si>
  <si>
    <t>PROTON[c]</t>
  </si>
  <si>
    <t>Sum of dNTPs</t>
  </si>
  <si>
    <t>Sum of NTPs</t>
  </si>
  <si>
    <t>Sum of amino acids</t>
  </si>
  <si>
    <t>NTPs + dNTPs</t>
  </si>
  <si>
    <t>PPI</t>
  </si>
  <si>
    <t>HO7P2</t>
  </si>
  <si>
    <t>PPI[c]</t>
  </si>
  <si>
    <t>GAM - inorganic ions</t>
  </si>
  <si>
    <t>Pi[c]</t>
  </si>
  <si>
    <r>
      <t xml:space="preserve">Adapted from Sup. Info. 3 in Feist, A. M. </t>
    </r>
    <r>
      <rPr>
        <i/>
        <sz val="12"/>
        <color rgb="FF000000"/>
        <rFont val="Calibri"/>
        <family val="2"/>
      </rPr>
      <t>et al.</t>
    </r>
    <r>
      <rPr>
        <sz val="12"/>
        <color rgb="FF000000"/>
        <rFont val="Calibri"/>
        <family val="2"/>
      </rPr>
      <t xml:space="preserve"> A genome-scale metabolic reconstruction for Escherichia coli K-12 MG1655 that accounts for 1260 ORFs and thermodynamic information. Mol. Syst. Biol. (2007)</t>
    </r>
  </si>
  <si>
    <t>Table S4: Calculation of Uptake and Secretion Fluxes</t>
  </si>
  <si>
    <t>Carbon source</t>
  </si>
  <si>
    <t>Number of carbon atoms</t>
  </si>
  <si>
    <r>
      <t>Growth rate (hr</t>
    </r>
    <r>
      <rPr>
        <b/>
        <vertAlign val="superscript"/>
        <sz val="10"/>
        <color indexed="8"/>
        <rFont val="Helvetica Neue"/>
        <family val="2"/>
      </rPr>
      <t>-1</t>
    </r>
    <r>
      <rPr>
        <b/>
        <sz val="10"/>
        <color indexed="8"/>
        <rFont val="Helvetica Neue"/>
        <family val="2"/>
      </rPr>
      <t>)</t>
    </r>
  </si>
  <si>
    <t>1/Yield (mM substrate/OD)</t>
  </si>
  <si>
    <t>Acetate excretion yield (mM/OD)</t>
  </si>
  <si>
    <t>Carbon yield (mM C/OD)</t>
  </si>
  <si>
    <t>Carbon utilization rate (mM C/OD/h)</t>
  </si>
  <si>
    <t>Carbon utilization rate (mmol C/gCDW/h)</t>
  </si>
  <si>
    <t>OD-to-CDW conversion (mgCDW/OD*mL)</t>
  </si>
  <si>
    <t>Acetate excretion rate (mmol/gCDW/h)</t>
  </si>
  <si>
    <t>Carbon uptake rate (mmol/gCDW/h)</t>
  </si>
  <si>
    <t>Pyruvate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</si>
</sst>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"/>
    <numFmt numFmtId="167" formatCode="0.000E+00"/>
    <numFmt numFmtId="168" formatCode="0.0000"/>
  </numFmts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b/>
      <i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vertAlign val="subscript"/>
      <sz val="12"/>
      <color theme="1"/>
      <name val="Calibri (Body)"/>
    </font>
    <font>
      <vertAlign val="subscript"/>
      <sz val="12"/>
      <name val="Calibri"/>
      <family val="2"/>
    </font>
    <font>
      <b/>
      <sz val="12"/>
      <name val="Arial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0"/>
      <color rgb="FF222222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vertAlign val="superscript"/>
      <sz val="10"/>
      <color indexed="8"/>
      <name val="Helvetica Neue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top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 wrapText="1"/>
    </xf>
    <xf numFmtId="9" fontId="3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/>
    <xf numFmtId="1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65" fontId="10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166" fontId="9" fillId="0" borderId="9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6" fontId="9" fillId="0" borderId="1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0" xfId="0" applyFill="1"/>
    <xf numFmtId="0" fontId="11" fillId="0" borderId="0" xfId="0" applyFont="1"/>
    <xf numFmtId="165" fontId="0" fillId="0" borderId="0" xfId="0" applyNumberFormat="1"/>
    <xf numFmtId="167" fontId="0" fillId="0" borderId="0" xfId="0" applyNumberFormat="1"/>
    <xf numFmtId="0" fontId="10" fillId="3" borderId="0" xfId="0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0" fontId="10" fillId="3" borderId="0" xfId="0" applyNumberFormat="1" applyFont="1" applyFill="1" applyAlignment="1">
      <alignment horizontal="center"/>
    </xf>
    <xf numFmtId="168" fontId="9" fillId="3" borderId="0" xfId="0" applyNumberFormat="1" applyFont="1" applyFill="1" applyAlignment="1">
      <alignment horizontal="center"/>
    </xf>
    <xf numFmtId="166" fontId="9" fillId="3" borderId="10" xfId="0" applyNumberFormat="1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0" fillId="3" borderId="0" xfId="0" applyFill="1"/>
    <xf numFmtId="168" fontId="9" fillId="2" borderId="0" xfId="0" applyNumberFormat="1" applyFont="1" applyFill="1" applyAlignment="1">
      <alignment horizontal="center"/>
    </xf>
    <xf numFmtId="0" fontId="10" fillId="2" borderId="0" xfId="0" quotePrefix="1" applyFont="1" applyFill="1" applyAlignment="1">
      <alignment horizontal="center"/>
    </xf>
    <xf numFmtId="0" fontId="10" fillId="2" borderId="10" xfId="0" quotePrefix="1" applyFont="1" applyFill="1" applyBorder="1" applyAlignment="1">
      <alignment horizontal="center"/>
    </xf>
    <xf numFmtId="165" fontId="9" fillId="3" borderId="0" xfId="0" applyNumberFormat="1" applyFont="1" applyFill="1" applyAlignment="1">
      <alignment horizontal="center"/>
    </xf>
    <xf numFmtId="168" fontId="10" fillId="3" borderId="0" xfId="0" applyNumberFormat="1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10" xfId="0" quotePrefix="1" applyFont="1" applyFill="1" applyBorder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6" fontId="9" fillId="3" borderId="0" xfId="0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10" fillId="2" borderId="0" xfId="0" applyFont="1" applyFill="1"/>
    <xf numFmtId="10" fontId="9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0" fontId="9" fillId="0" borderId="0" xfId="0" applyNumberFormat="1" applyFont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166" fontId="9" fillId="3" borderId="0" xfId="0" quotePrefix="1" applyNumberFormat="1" applyFont="1" applyFill="1" applyAlignment="1">
      <alignment horizontal="center"/>
    </xf>
    <xf numFmtId="166" fontId="9" fillId="3" borderId="10" xfId="0" quotePrefix="1" applyNumberFormat="1" applyFont="1" applyFill="1" applyBorder="1" applyAlignment="1">
      <alignment horizontal="center"/>
    </xf>
    <xf numFmtId="168" fontId="9" fillId="2" borderId="0" xfId="0" quotePrefix="1" applyNumberFormat="1" applyFont="1" applyFill="1" applyAlignment="1">
      <alignment horizontal="center"/>
    </xf>
    <xf numFmtId="168" fontId="9" fillId="2" borderId="10" xfId="0" applyNumberFormat="1" applyFont="1" applyFill="1" applyBorder="1" applyAlignment="1">
      <alignment horizontal="center"/>
    </xf>
    <xf numFmtId="168" fontId="9" fillId="2" borderId="10" xfId="0" quotePrefix="1" applyNumberFormat="1" applyFont="1" applyFill="1" applyBorder="1" applyAlignment="1">
      <alignment horizontal="center"/>
    </xf>
    <xf numFmtId="168" fontId="9" fillId="3" borderId="10" xfId="0" applyNumberFormat="1" applyFont="1" applyFill="1" applyBorder="1" applyAlignment="1">
      <alignment horizontal="center"/>
    </xf>
    <xf numFmtId="165" fontId="9" fillId="2" borderId="10" xfId="0" applyNumberFormat="1" applyFont="1" applyFill="1" applyBorder="1" applyAlignment="1">
      <alignment horizontal="center"/>
    </xf>
    <xf numFmtId="166" fontId="9" fillId="3" borderId="11" xfId="0" applyNumberFormat="1" applyFont="1" applyFill="1" applyBorder="1" applyAlignment="1">
      <alignment horizontal="center"/>
    </xf>
    <xf numFmtId="166" fontId="9" fillId="3" borderId="11" xfId="0" quotePrefix="1" applyNumberFormat="1" applyFont="1" applyFill="1" applyBorder="1" applyAlignment="1">
      <alignment horizontal="center"/>
    </xf>
    <xf numFmtId="0" fontId="17" fillId="0" borderId="0" xfId="0" applyFont="1"/>
    <xf numFmtId="0" fontId="19" fillId="0" borderId="0" xfId="0" applyFont="1"/>
    <xf numFmtId="165" fontId="9" fillId="0" borderId="0" xfId="0" applyNumberFormat="1" applyFont="1" applyAlignment="1">
      <alignment horizontal="right"/>
    </xf>
    <xf numFmtId="166" fontId="9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20" fillId="0" borderId="0" xfId="0" applyFont="1"/>
    <xf numFmtId="0" fontId="10" fillId="0" borderId="0" xfId="0" applyFont="1" applyAlignment="1">
      <alignment horizontal="right"/>
    </xf>
    <xf numFmtId="0" fontId="21" fillId="0" borderId="0" xfId="0" applyFont="1"/>
    <xf numFmtId="49" fontId="22" fillId="4" borderId="12" xfId="0" applyNumberFormat="1" applyFont="1" applyFill="1" applyBorder="1" applyAlignment="1">
      <alignment vertical="top" wrapText="1"/>
    </xf>
    <xf numFmtId="0" fontId="22" fillId="4" borderId="12" xfId="0" applyFont="1" applyFill="1" applyBorder="1" applyAlignment="1">
      <alignment vertical="top" wrapText="1"/>
    </xf>
    <xf numFmtId="49" fontId="21" fillId="0" borderId="12" xfId="0" applyNumberFormat="1" applyFont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0" fontId="24" fillId="0" borderId="12" xfId="0" applyFont="1" applyBorder="1" applyAlignment="1">
      <alignment vertical="top" wrapText="1"/>
    </xf>
    <xf numFmtId="2" fontId="21" fillId="0" borderId="12" xfId="0" applyNumberFormat="1" applyFont="1" applyBorder="1" applyAlignment="1">
      <alignment vertical="top" wrapText="1"/>
    </xf>
    <xf numFmtId="2" fontId="24" fillId="0" borderId="1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99A7-8BDD-124A-9C37-A0F33B06A537}">
  <dimension ref="A1:K82"/>
  <sheetViews>
    <sheetView tabSelected="1" workbookViewId="0"/>
  </sheetViews>
  <sheetFormatPr baseColWidth="10" defaultColWidth="25" defaultRowHeight="16" x14ac:dyDescent="0.2"/>
  <cols>
    <col min="1" max="1" width="23.5" style="9" customWidth="1"/>
    <col min="2" max="2" width="9.1640625" style="20" customWidth="1"/>
    <col min="3" max="3" width="18.83203125" style="9" customWidth="1"/>
    <col min="4" max="4" width="17.5" style="18" customWidth="1"/>
    <col min="5" max="5" width="17.83203125" style="19" customWidth="1"/>
    <col min="6" max="6" width="12.6640625" style="9" customWidth="1"/>
    <col min="9" max="9" width="29.33203125" style="9" customWidth="1"/>
    <col min="10" max="10" width="21.33203125" style="9" customWidth="1"/>
    <col min="11" max="11" width="8.1640625" style="9" customWidth="1"/>
    <col min="12" max="12" width="25.83203125" style="9" customWidth="1"/>
    <col min="13" max="16384" width="25" style="9"/>
  </cols>
  <sheetData>
    <row r="1" spans="1:11" s="1" customFormat="1" x14ac:dyDescent="0.2">
      <c r="A1" s="1" t="s">
        <v>0</v>
      </c>
      <c r="B1" s="2"/>
      <c r="D1" s="3"/>
      <c r="E1" s="4"/>
    </row>
    <row r="3" spans="1:11" x14ac:dyDescent="0.2">
      <c r="A3" s="5" t="s">
        <v>1</v>
      </c>
      <c r="B3" s="6" t="s">
        <v>2</v>
      </c>
      <c r="C3" s="6" t="s">
        <v>3</v>
      </c>
      <c r="D3" s="7" t="s">
        <v>4</v>
      </c>
      <c r="E3" s="6" t="s">
        <v>5</v>
      </c>
      <c r="F3" s="6"/>
      <c r="I3" s="8"/>
      <c r="J3" s="8"/>
      <c r="K3" s="8"/>
    </row>
    <row r="4" spans="1:11" x14ac:dyDescent="0.2">
      <c r="A4" s="10" t="s">
        <v>6</v>
      </c>
      <c r="B4" s="8">
        <v>90.078000000000003</v>
      </c>
      <c r="C4" s="8">
        <v>3</v>
      </c>
      <c r="D4" s="11">
        <f>40/C4</f>
        <v>13.333333333333334</v>
      </c>
      <c r="E4" s="8" t="s">
        <v>7</v>
      </c>
      <c r="F4" s="8"/>
      <c r="I4" s="8"/>
      <c r="J4" s="8"/>
      <c r="K4" s="8"/>
    </row>
    <row r="5" spans="1:11" x14ac:dyDescent="0.2">
      <c r="A5" s="10" t="s">
        <v>8</v>
      </c>
      <c r="B5" s="8">
        <v>88.06</v>
      </c>
      <c r="C5" s="8">
        <v>3</v>
      </c>
      <c r="D5" s="11">
        <f t="shared" ref="D5:D29" si="0">40/C5</f>
        <v>13.333333333333334</v>
      </c>
      <c r="E5" s="8" t="s">
        <v>9</v>
      </c>
      <c r="F5" s="8"/>
      <c r="I5" s="8"/>
      <c r="J5" s="8"/>
      <c r="K5" s="8"/>
    </row>
    <row r="6" spans="1:11" x14ac:dyDescent="0.2">
      <c r="A6" s="10" t="s">
        <v>10</v>
      </c>
      <c r="B6" s="8">
        <v>115.13200000000001</v>
      </c>
      <c r="C6" s="8">
        <v>5</v>
      </c>
      <c r="D6" s="11">
        <f t="shared" si="0"/>
        <v>8</v>
      </c>
      <c r="E6" s="8" t="s">
        <v>11</v>
      </c>
      <c r="F6" s="8"/>
      <c r="I6" s="8"/>
      <c r="J6" s="8"/>
      <c r="K6" s="8"/>
    </row>
    <row r="7" spans="1:11" x14ac:dyDescent="0.2">
      <c r="A7" s="10" t="s">
        <v>12</v>
      </c>
      <c r="B7" s="8">
        <v>89.093999999999994</v>
      </c>
      <c r="C7" s="8">
        <v>3</v>
      </c>
      <c r="D7" s="11">
        <f t="shared" si="0"/>
        <v>13.333333333333334</v>
      </c>
      <c r="E7" s="8" t="s">
        <v>13</v>
      </c>
      <c r="F7" s="8"/>
      <c r="I7" s="8"/>
      <c r="J7" s="8"/>
      <c r="K7" s="8"/>
    </row>
    <row r="8" spans="1:11" x14ac:dyDescent="0.2">
      <c r="A8" s="10" t="s">
        <v>14</v>
      </c>
      <c r="B8" s="8">
        <v>132.119</v>
      </c>
      <c r="C8" s="8">
        <v>4</v>
      </c>
      <c r="D8" s="11">
        <f t="shared" si="0"/>
        <v>10</v>
      </c>
      <c r="E8" s="8" t="s">
        <v>15</v>
      </c>
      <c r="F8" s="8"/>
      <c r="I8" s="8"/>
      <c r="J8" s="8"/>
      <c r="K8" s="8"/>
    </row>
    <row r="9" spans="1:11" x14ac:dyDescent="0.2">
      <c r="A9" s="10" t="s">
        <v>16</v>
      </c>
      <c r="B9" s="8">
        <v>105.093</v>
      </c>
      <c r="C9" s="8">
        <v>3</v>
      </c>
      <c r="D9" s="11">
        <f t="shared" si="0"/>
        <v>13.333333333333334</v>
      </c>
      <c r="E9" s="8" t="s">
        <v>17</v>
      </c>
      <c r="F9" s="8"/>
      <c r="I9" s="8"/>
      <c r="J9" s="8"/>
      <c r="K9" s="8"/>
    </row>
    <row r="10" spans="1:11" x14ac:dyDescent="0.2">
      <c r="A10" s="10" t="s">
        <v>18</v>
      </c>
      <c r="B10" s="8">
        <v>119.12</v>
      </c>
      <c r="C10" s="8">
        <v>4</v>
      </c>
      <c r="D10" s="11">
        <f t="shared" si="0"/>
        <v>10</v>
      </c>
      <c r="E10" s="8" t="s">
        <v>19</v>
      </c>
      <c r="F10" s="8"/>
      <c r="I10" s="8"/>
      <c r="J10" s="8"/>
      <c r="K10" s="8"/>
    </row>
    <row r="11" spans="1:11" x14ac:dyDescent="0.2">
      <c r="A11" s="10" t="s">
        <v>20</v>
      </c>
      <c r="B11" s="8">
        <v>146.14599999999999</v>
      </c>
      <c r="C11" s="8">
        <v>5</v>
      </c>
      <c r="D11" s="11">
        <f t="shared" si="0"/>
        <v>8</v>
      </c>
      <c r="E11" s="8" t="s">
        <v>21</v>
      </c>
      <c r="F11" s="8"/>
      <c r="I11" s="8"/>
      <c r="J11" s="8"/>
      <c r="K11" s="8"/>
    </row>
    <row r="12" spans="1:11" x14ac:dyDescent="0.2">
      <c r="A12" s="10" t="s">
        <v>22</v>
      </c>
      <c r="B12" s="8">
        <v>75.066999999999993</v>
      </c>
      <c r="C12" s="8">
        <v>2</v>
      </c>
      <c r="D12" s="11">
        <f t="shared" si="0"/>
        <v>20</v>
      </c>
      <c r="E12" s="8" t="s">
        <v>23</v>
      </c>
      <c r="F12" s="8"/>
      <c r="I12" s="8"/>
      <c r="J12" s="8"/>
      <c r="K12" s="8"/>
    </row>
    <row r="13" spans="1:11" x14ac:dyDescent="0.2">
      <c r="A13" s="10" t="s">
        <v>24</v>
      </c>
      <c r="B13" s="8">
        <v>174.20400000000001</v>
      </c>
      <c r="C13" s="8">
        <v>6</v>
      </c>
      <c r="D13" s="11">
        <f t="shared" si="0"/>
        <v>6.666666666666667</v>
      </c>
      <c r="E13" s="8" t="s">
        <v>25</v>
      </c>
      <c r="F13" s="8"/>
      <c r="I13" s="8"/>
      <c r="J13" s="8"/>
      <c r="K13" s="8"/>
    </row>
    <row r="14" spans="1:11" x14ac:dyDescent="0.2">
      <c r="A14" s="10" t="s">
        <v>26</v>
      </c>
      <c r="B14" s="8">
        <v>133</v>
      </c>
      <c r="C14" s="8">
        <v>4</v>
      </c>
      <c r="D14" s="11">
        <f t="shared" si="0"/>
        <v>10</v>
      </c>
      <c r="E14" s="8" t="s">
        <v>27</v>
      </c>
      <c r="F14" s="8"/>
      <c r="I14" s="8"/>
      <c r="J14" s="8"/>
      <c r="K14" s="8"/>
    </row>
    <row r="15" spans="1:11" x14ac:dyDescent="0.2">
      <c r="A15" s="10" t="s">
        <v>28</v>
      </c>
      <c r="B15" s="8">
        <v>121.15</v>
      </c>
      <c r="C15" s="8">
        <v>3</v>
      </c>
      <c r="D15" s="11">
        <f t="shared" si="0"/>
        <v>13.333333333333334</v>
      </c>
      <c r="E15" s="8" t="s">
        <v>29</v>
      </c>
      <c r="F15" s="8"/>
      <c r="I15" s="8"/>
      <c r="J15" s="8"/>
      <c r="K15" s="8"/>
    </row>
    <row r="16" spans="1:11" x14ac:dyDescent="0.2">
      <c r="A16" s="10" t="s">
        <v>30</v>
      </c>
      <c r="B16" s="8">
        <v>146.19</v>
      </c>
      <c r="C16" s="8">
        <v>6</v>
      </c>
      <c r="D16" s="11">
        <f t="shared" si="0"/>
        <v>6.666666666666667</v>
      </c>
      <c r="E16" s="8" t="s">
        <v>31</v>
      </c>
      <c r="F16" s="8"/>
      <c r="I16" s="8"/>
      <c r="J16" s="8"/>
      <c r="K16" s="8"/>
    </row>
    <row r="17" spans="1:11" x14ac:dyDescent="0.2">
      <c r="A17" s="10" t="s">
        <v>32</v>
      </c>
      <c r="B17" s="8">
        <v>147.1</v>
      </c>
      <c r="C17" s="8">
        <v>5</v>
      </c>
      <c r="D17" s="11">
        <f t="shared" si="0"/>
        <v>8</v>
      </c>
      <c r="E17" s="8" t="s">
        <v>33</v>
      </c>
      <c r="F17" s="8"/>
      <c r="I17" s="8"/>
      <c r="J17" s="8"/>
      <c r="K17" s="8"/>
    </row>
    <row r="18" spans="1:11" x14ac:dyDescent="0.2">
      <c r="A18" s="10" t="s">
        <v>34</v>
      </c>
      <c r="B18" s="8">
        <v>89.093999999999994</v>
      </c>
      <c r="C18" s="8">
        <v>3</v>
      </c>
      <c r="D18" s="11">
        <f t="shared" si="0"/>
        <v>13.333333333333334</v>
      </c>
      <c r="E18" s="8" t="s">
        <v>13</v>
      </c>
      <c r="F18" s="8"/>
      <c r="I18" s="8"/>
      <c r="J18" s="8"/>
      <c r="K18" s="8"/>
    </row>
    <row r="19" spans="1:11" x14ac:dyDescent="0.2">
      <c r="A19" s="10" t="s">
        <v>35</v>
      </c>
      <c r="B19" s="8">
        <v>179.172</v>
      </c>
      <c r="C19" s="8">
        <v>6</v>
      </c>
      <c r="D19" s="11">
        <f t="shared" si="0"/>
        <v>6.666666666666667</v>
      </c>
      <c r="E19" s="8" t="s">
        <v>36</v>
      </c>
      <c r="F19" s="8"/>
      <c r="I19" s="8"/>
      <c r="J19" s="8"/>
      <c r="K19" s="8"/>
    </row>
    <row r="20" spans="1:11" x14ac:dyDescent="0.2">
      <c r="A20" s="10" t="s">
        <v>37</v>
      </c>
      <c r="B20" s="8">
        <v>116.072</v>
      </c>
      <c r="C20" s="8">
        <v>4</v>
      </c>
      <c r="D20" s="11">
        <f t="shared" si="0"/>
        <v>10</v>
      </c>
      <c r="E20" s="8" t="s">
        <v>38</v>
      </c>
      <c r="F20" s="8"/>
      <c r="I20" s="8"/>
      <c r="J20" s="8"/>
      <c r="K20" s="8"/>
    </row>
    <row r="21" spans="1:11" x14ac:dyDescent="0.2">
      <c r="A21" s="10" t="s">
        <v>39</v>
      </c>
      <c r="B21" s="8">
        <v>60.052</v>
      </c>
      <c r="C21" s="8">
        <v>2</v>
      </c>
      <c r="D21" s="11">
        <f t="shared" si="0"/>
        <v>20</v>
      </c>
      <c r="E21" s="8" t="s">
        <v>40</v>
      </c>
      <c r="F21" s="8"/>
      <c r="I21" s="8"/>
      <c r="J21" s="8"/>
      <c r="K21" s="8"/>
    </row>
    <row r="22" spans="1:11" x14ac:dyDescent="0.2">
      <c r="A22" s="10" t="s">
        <v>41</v>
      </c>
      <c r="B22" s="8">
        <v>155</v>
      </c>
      <c r="C22" s="8">
        <v>6</v>
      </c>
      <c r="D22" s="11">
        <f t="shared" si="0"/>
        <v>6.666666666666667</v>
      </c>
      <c r="E22" s="8" t="s">
        <v>42</v>
      </c>
      <c r="F22" s="8"/>
      <c r="I22" s="8"/>
      <c r="J22" s="8"/>
      <c r="K22" s="8"/>
    </row>
    <row r="23" spans="1:11" x14ac:dyDescent="0.2">
      <c r="A23" s="10" t="s">
        <v>43</v>
      </c>
      <c r="B23" s="8" t="s">
        <v>44</v>
      </c>
      <c r="C23" s="12">
        <v>3</v>
      </c>
      <c r="D23" s="11">
        <f t="shared" si="0"/>
        <v>13.333333333333334</v>
      </c>
      <c r="E23" s="12" t="s">
        <v>45</v>
      </c>
      <c r="F23" s="8"/>
      <c r="I23" s="8"/>
      <c r="J23" s="8"/>
      <c r="K23" s="8"/>
    </row>
    <row r="24" spans="1:11" x14ac:dyDescent="0.2">
      <c r="A24" s="10" t="s">
        <v>46</v>
      </c>
      <c r="B24" s="8">
        <v>164.15700000000001</v>
      </c>
      <c r="C24" s="8">
        <v>6</v>
      </c>
      <c r="D24" s="11">
        <f t="shared" si="0"/>
        <v>6.666666666666667</v>
      </c>
      <c r="E24" s="8" t="s">
        <v>47</v>
      </c>
      <c r="F24" s="8"/>
      <c r="I24" s="8"/>
      <c r="J24" s="8"/>
      <c r="K24" s="8"/>
    </row>
    <row r="25" spans="1:11" x14ac:dyDescent="0.2">
      <c r="A25" s="10" t="s">
        <v>48</v>
      </c>
      <c r="B25" s="8">
        <v>118.08799999999999</v>
      </c>
      <c r="C25" s="8">
        <v>4</v>
      </c>
      <c r="D25" s="11">
        <f t="shared" si="0"/>
        <v>10</v>
      </c>
      <c r="E25" s="8" t="s">
        <v>49</v>
      </c>
      <c r="F25" s="8"/>
      <c r="I25" s="8"/>
      <c r="J25" s="8"/>
      <c r="K25" s="8"/>
    </row>
    <row r="26" spans="1:11" x14ac:dyDescent="0.2">
      <c r="A26" s="10" t="s">
        <v>50</v>
      </c>
      <c r="B26" s="8">
        <v>134.08699999999999</v>
      </c>
      <c r="C26" s="8">
        <v>4</v>
      </c>
      <c r="D26" s="11">
        <f t="shared" si="0"/>
        <v>10</v>
      </c>
      <c r="E26" s="8" t="s">
        <v>51</v>
      </c>
      <c r="F26" s="8"/>
      <c r="I26" s="8"/>
      <c r="J26" s="8"/>
      <c r="K26" s="8"/>
    </row>
    <row r="27" spans="1:11" x14ac:dyDescent="0.2">
      <c r="A27" s="10" t="s">
        <v>52</v>
      </c>
      <c r="B27" s="8">
        <v>342.29700000000003</v>
      </c>
      <c r="C27" s="8">
        <v>12</v>
      </c>
      <c r="D27" s="11">
        <f t="shared" si="0"/>
        <v>3.3333333333333335</v>
      </c>
      <c r="E27" s="8" t="s">
        <v>53</v>
      </c>
      <c r="F27" s="8"/>
      <c r="I27" s="8"/>
      <c r="J27" s="8"/>
      <c r="K27" s="8"/>
    </row>
    <row r="28" spans="1:11" x14ac:dyDescent="0.2">
      <c r="A28" s="10" t="s">
        <v>54</v>
      </c>
      <c r="B28" s="8">
        <v>342.29700000000003</v>
      </c>
      <c r="C28" s="8">
        <v>12</v>
      </c>
      <c r="D28" s="11">
        <f t="shared" si="0"/>
        <v>3.3333333333333335</v>
      </c>
      <c r="E28" s="8" t="s">
        <v>53</v>
      </c>
      <c r="F28" s="8"/>
      <c r="I28" s="8"/>
      <c r="J28" s="8"/>
      <c r="K28" s="8"/>
    </row>
    <row r="29" spans="1:11" x14ac:dyDescent="0.2">
      <c r="A29" s="10" t="s">
        <v>55</v>
      </c>
      <c r="B29" s="8">
        <v>342.3</v>
      </c>
      <c r="C29" s="8">
        <v>12</v>
      </c>
      <c r="D29" s="11">
        <f t="shared" si="0"/>
        <v>3.3333333333333335</v>
      </c>
      <c r="E29" s="8" t="s">
        <v>53</v>
      </c>
      <c r="F29" s="8"/>
      <c r="I29" s="8"/>
      <c r="J29" s="8"/>
      <c r="K29" s="8"/>
    </row>
    <row r="30" spans="1:11" x14ac:dyDescent="0.2">
      <c r="A30" s="10" t="s">
        <v>56</v>
      </c>
      <c r="B30" s="8">
        <v>342.29700000000003</v>
      </c>
      <c r="C30" s="8">
        <v>12</v>
      </c>
      <c r="D30" s="11">
        <f>40/C30</f>
        <v>3.3333333333333335</v>
      </c>
      <c r="E30" s="8" t="s">
        <v>53</v>
      </c>
      <c r="F30" s="8"/>
      <c r="I30" s="8"/>
      <c r="J30" s="8"/>
      <c r="K30" s="8"/>
    </row>
    <row r="31" spans="1:11" x14ac:dyDescent="0.2">
      <c r="A31" s="10" t="s">
        <v>57</v>
      </c>
      <c r="B31" s="8">
        <v>131.19999999999999</v>
      </c>
      <c r="C31" s="12">
        <v>6</v>
      </c>
      <c r="D31" s="11">
        <f>40/C31</f>
        <v>6.666666666666667</v>
      </c>
      <c r="E31" s="13" t="s">
        <v>58</v>
      </c>
      <c r="F31" s="8"/>
      <c r="I31" s="8"/>
      <c r="J31" s="8"/>
      <c r="K31" s="8"/>
    </row>
    <row r="32" spans="1:11" x14ac:dyDescent="0.2">
      <c r="A32" s="10" t="s">
        <v>59</v>
      </c>
      <c r="B32" s="8">
        <v>138.12100000000001</v>
      </c>
      <c r="C32" s="8">
        <v>7</v>
      </c>
      <c r="D32" s="11">
        <f t="shared" ref="D32:D77" si="1">40/C32</f>
        <v>5.7142857142857144</v>
      </c>
      <c r="E32" s="8" t="s">
        <v>60</v>
      </c>
      <c r="F32" s="8"/>
      <c r="I32" s="8"/>
      <c r="J32" s="8"/>
      <c r="K32" s="8"/>
    </row>
    <row r="33" spans="1:11" x14ac:dyDescent="0.2">
      <c r="A33" s="10" t="s">
        <v>61</v>
      </c>
      <c r="B33" s="8">
        <v>192.12299999999999</v>
      </c>
      <c r="C33" s="8">
        <v>6</v>
      </c>
      <c r="D33" s="11">
        <f t="shared" si="1"/>
        <v>6.666666666666667</v>
      </c>
      <c r="E33" s="8" t="s">
        <v>62</v>
      </c>
      <c r="F33" s="8"/>
      <c r="I33" s="8"/>
      <c r="J33" s="8"/>
      <c r="K33" s="8"/>
    </row>
    <row r="34" spans="1:11" x14ac:dyDescent="0.2">
      <c r="A34" s="10" t="s">
        <v>63</v>
      </c>
      <c r="B34" s="8">
        <v>150.13</v>
      </c>
      <c r="C34" s="8">
        <v>5</v>
      </c>
      <c r="D34" s="11">
        <f t="shared" si="1"/>
        <v>8</v>
      </c>
      <c r="E34" s="8" t="s">
        <v>64</v>
      </c>
      <c r="F34" s="8"/>
      <c r="I34" s="8"/>
      <c r="J34" s="8"/>
      <c r="K34" s="8"/>
    </row>
    <row r="35" spans="1:11" x14ac:dyDescent="0.2">
      <c r="A35" s="10" t="s">
        <v>65</v>
      </c>
      <c r="B35" s="12">
        <v>150.13</v>
      </c>
      <c r="C35" s="12">
        <v>5</v>
      </c>
      <c r="D35" s="11">
        <f t="shared" si="1"/>
        <v>8</v>
      </c>
      <c r="E35" s="12" t="s">
        <v>64</v>
      </c>
      <c r="F35" s="8"/>
      <c r="I35" s="8"/>
      <c r="J35" s="8"/>
      <c r="K35" s="8"/>
    </row>
    <row r="36" spans="1:11" x14ac:dyDescent="0.2">
      <c r="A36" s="10" t="s">
        <v>66</v>
      </c>
      <c r="B36" s="8">
        <v>131.19999999999999</v>
      </c>
      <c r="C36" s="8">
        <v>6</v>
      </c>
      <c r="D36" s="11">
        <f t="shared" si="1"/>
        <v>6.666666666666667</v>
      </c>
      <c r="E36" s="13" t="s">
        <v>58</v>
      </c>
      <c r="F36" s="8"/>
      <c r="I36" s="8"/>
      <c r="J36" s="8"/>
      <c r="K36" s="8"/>
    </row>
    <row r="37" spans="1:11" x14ac:dyDescent="0.2">
      <c r="A37" s="10" t="s">
        <v>67</v>
      </c>
      <c r="B37" s="8">
        <v>149</v>
      </c>
      <c r="C37" s="8">
        <v>5</v>
      </c>
      <c r="D37" s="11">
        <f t="shared" si="1"/>
        <v>8</v>
      </c>
      <c r="E37" s="13" t="s">
        <v>68</v>
      </c>
      <c r="F37" s="8"/>
      <c r="I37" s="8"/>
      <c r="J37" s="8"/>
      <c r="K37" s="8"/>
    </row>
    <row r="38" spans="1:11" x14ac:dyDescent="0.2">
      <c r="A38" s="10" t="s">
        <v>69</v>
      </c>
      <c r="B38" s="8">
        <v>165.2</v>
      </c>
      <c r="C38" s="8">
        <v>9</v>
      </c>
      <c r="D38" s="11">
        <f t="shared" si="1"/>
        <v>4.4444444444444446</v>
      </c>
      <c r="E38" s="13" t="s">
        <v>70</v>
      </c>
      <c r="F38" s="8"/>
      <c r="I38" s="8"/>
      <c r="J38" s="8"/>
      <c r="K38" s="8"/>
    </row>
    <row r="39" spans="1:11" x14ac:dyDescent="0.2">
      <c r="A39" s="10" t="s">
        <v>71</v>
      </c>
      <c r="B39" s="8">
        <v>180.15600000000001</v>
      </c>
      <c r="C39" s="8">
        <v>6</v>
      </c>
      <c r="D39" s="11">
        <f t="shared" si="1"/>
        <v>6.666666666666667</v>
      </c>
      <c r="E39" s="8" t="s">
        <v>72</v>
      </c>
      <c r="F39" s="8"/>
      <c r="I39" s="8"/>
      <c r="J39" s="8"/>
      <c r="K39" s="8"/>
    </row>
    <row r="40" spans="1:11" x14ac:dyDescent="0.2">
      <c r="A40" s="10" t="s">
        <v>73</v>
      </c>
      <c r="B40" s="8">
        <v>180.15600000000001</v>
      </c>
      <c r="C40" s="8">
        <v>6</v>
      </c>
      <c r="D40" s="11">
        <f t="shared" si="1"/>
        <v>6.666666666666667</v>
      </c>
      <c r="E40" s="8" t="s">
        <v>72</v>
      </c>
      <c r="F40" s="8"/>
      <c r="I40" s="8"/>
      <c r="J40" s="8"/>
      <c r="K40" s="8"/>
    </row>
    <row r="41" spans="1:11" x14ac:dyDescent="0.2">
      <c r="A41" s="10" t="s">
        <v>74</v>
      </c>
      <c r="B41" s="8">
        <v>180.15600000000001</v>
      </c>
      <c r="C41" s="8">
        <v>6</v>
      </c>
      <c r="D41" s="11">
        <f t="shared" si="1"/>
        <v>6.666666666666667</v>
      </c>
      <c r="E41" s="8" t="s">
        <v>72</v>
      </c>
      <c r="F41" s="8"/>
      <c r="I41" s="8"/>
      <c r="J41" s="8"/>
      <c r="K41" s="8"/>
    </row>
    <row r="42" spans="1:11" x14ac:dyDescent="0.2">
      <c r="A42" s="10" t="s">
        <v>75</v>
      </c>
      <c r="B42" s="12">
        <v>164.16</v>
      </c>
      <c r="C42" s="8">
        <v>6</v>
      </c>
      <c r="D42" s="11">
        <f t="shared" si="1"/>
        <v>6.666666666666667</v>
      </c>
      <c r="E42" s="8" t="s">
        <v>47</v>
      </c>
      <c r="F42" s="8"/>
      <c r="I42" s="8"/>
      <c r="J42" s="8"/>
      <c r="K42" s="8"/>
    </row>
    <row r="43" spans="1:11" x14ac:dyDescent="0.2">
      <c r="A43" s="10" t="s">
        <v>76</v>
      </c>
      <c r="B43" s="8">
        <v>180.15600000000001</v>
      </c>
      <c r="C43" s="12">
        <v>6</v>
      </c>
      <c r="D43" s="11">
        <f t="shared" si="1"/>
        <v>6.666666666666667</v>
      </c>
      <c r="E43" s="12" t="s">
        <v>72</v>
      </c>
      <c r="F43" s="8"/>
      <c r="I43" s="8"/>
      <c r="J43" s="8"/>
      <c r="K43" s="8"/>
    </row>
    <row r="44" spans="1:11" x14ac:dyDescent="0.2">
      <c r="A44" s="10" t="s">
        <v>77</v>
      </c>
      <c r="B44" s="8">
        <v>194.13900000000001</v>
      </c>
      <c r="C44" s="8">
        <v>6</v>
      </c>
      <c r="D44" s="11">
        <f t="shared" si="1"/>
        <v>6.666666666666667</v>
      </c>
      <c r="E44" s="8" t="s">
        <v>78</v>
      </c>
      <c r="F44" s="8"/>
      <c r="I44" s="8"/>
      <c r="J44" s="8"/>
      <c r="K44" s="8"/>
    </row>
    <row r="45" spans="1:11" x14ac:dyDescent="0.2">
      <c r="A45" s="10" t="s">
        <v>79</v>
      </c>
      <c r="B45" s="8">
        <v>92.093999999999994</v>
      </c>
      <c r="C45" s="8">
        <v>3</v>
      </c>
      <c r="D45" s="11">
        <f t="shared" si="1"/>
        <v>13.333333333333334</v>
      </c>
      <c r="E45" s="8" t="s">
        <v>80</v>
      </c>
      <c r="F45" s="8"/>
      <c r="I45" s="8"/>
      <c r="J45" s="8"/>
      <c r="K45" s="8"/>
    </row>
    <row r="46" spans="1:11" x14ac:dyDescent="0.2">
      <c r="A46" s="10" t="s">
        <v>81</v>
      </c>
      <c r="B46" s="8">
        <v>180.16</v>
      </c>
      <c r="C46" s="8">
        <v>6</v>
      </c>
      <c r="D46" s="11">
        <f t="shared" si="1"/>
        <v>6.666666666666667</v>
      </c>
      <c r="E46" s="8" t="s">
        <v>72</v>
      </c>
      <c r="F46" s="8"/>
      <c r="I46" s="8"/>
      <c r="J46" s="8"/>
      <c r="K46" s="8"/>
    </row>
    <row r="47" spans="1:11" x14ac:dyDescent="0.2">
      <c r="A47" s="10" t="s">
        <v>82</v>
      </c>
      <c r="B47" s="8">
        <v>182.172</v>
      </c>
      <c r="C47" s="8">
        <v>6</v>
      </c>
      <c r="D47" s="11">
        <f t="shared" si="1"/>
        <v>6.666666666666667</v>
      </c>
      <c r="E47" s="8" t="s">
        <v>83</v>
      </c>
      <c r="F47" s="8"/>
      <c r="I47" s="8"/>
      <c r="J47" s="8"/>
      <c r="K47" s="8"/>
    </row>
    <row r="48" spans="1:11" x14ac:dyDescent="0.2">
      <c r="A48" s="10" t="s">
        <v>84</v>
      </c>
      <c r="B48" s="8">
        <v>221.21</v>
      </c>
      <c r="C48" s="8">
        <v>8</v>
      </c>
      <c r="D48" s="11">
        <f t="shared" si="1"/>
        <v>5</v>
      </c>
      <c r="E48" s="8" t="s">
        <v>85</v>
      </c>
      <c r="F48" s="8"/>
      <c r="I48" s="8"/>
      <c r="J48" s="8"/>
      <c r="K48" s="8"/>
    </row>
    <row r="49" spans="1:11" x14ac:dyDescent="0.2">
      <c r="A49" s="10" t="s">
        <v>86</v>
      </c>
      <c r="B49" s="8">
        <v>125.14</v>
      </c>
      <c r="C49" s="8">
        <v>2</v>
      </c>
      <c r="D49" s="11">
        <f t="shared" si="1"/>
        <v>20</v>
      </c>
      <c r="E49" s="8" t="s">
        <v>87</v>
      </c>
      <c r="F49" s="8"/>
      <c r="I49" s="8"/>
      <c r="J49" s="8"/>
      <c r="K49" s="8"/>
    </row>
    <row r="50" spans="1:11" x14ac:dyDescent="0.2">
      <c r="A50" s="10" t="s">
        <v>88</v>
      </c>
      <c r="B50" s="8">
        <v>116.1</v>
      </c>
      <c r="C50" s="8">
        <v>4</v>
      </c>
      <c r="D50" s="11">
        <f t="shared" si="1"/>
        <v>10</v>
      </c>
      <c r="E50" s="8" t="s">
        <v>38</v>
      </c>
      <c r="F50" s="8"/>
      <c r="I50" s="8"/>
      <c r="J50" s="8"/>
      <c r="K50" s="8"/>
    </row>
    <row r="51" spans="1:11" x14ac:dyDescent="0.2">
      <c r="A51" s="10" t="s">
        <v>89</v>
      </c>
      <c r="B51" s="8">
        <v>152.15</v>
      </c>
      <c r="C51" s="8">
        <v>5</v>
      </c>
      <c r="D51" s="11">
        <f t="shared" si="1"/>
        <v>8</v>
      </c>
      <c r="E51" s="13" t="s">
        <v>90</v>
      </c>
      <c r="F51" s="8"/>
      <c r="I51" s="8"/>
      <c r="J51" s="8"/>
      <c r="K51" s="8"/>
    </row>
    <row r="52" spans="1:11" x14ac:dyDescent="0.2">
      <c r="A52" s="10" t="s">
        <v>91</v>
      </c>
      <c r="B52" s="8">
        <v>44.05</v>
      </c>
      <c r="C52" s="8">
        <v>2</v>
      </c>
      <c r="D52" s="11">
        <f t="shared" si="1"/>
        <v>20</v>
      </c>
      <c r="E52" s="13" t="s">
        <v>92</v>
      </c>
      <c r="F52" s="8"/>
      <c r="I52" s="8"/>
      <c r="J52" s="8"/>
      <c r="K52" s="8"/>
    </row>
    <row r="53" spans="1:11" x14ac:dyDescent="0.2">
      <c r="A53" s="10" t="s">
        <v>93</v>
      </c>
      <c r="B53" s="8">
        <v>110</v>
      </c>
      <c r="C53" s="8">
        <v>4</v>
      </c>
      <c r="D53" s="11">
        <f t="shared" si="1"/>
        <v>10</v>
      </c>
      <c r="E53" s="13" t="s">
        <v>94</v>
      </c>
      <c r="F53" s="8"/>
      <c r="I53" s="8"/>
      <c r="J53" s="8"/>
      <c r="K53" s="8"/>
    </row>
    <row r="54" spans="1:11" x14ac:dyDescent="0.2">
      <c r="A54" s="10" t="s">
        <v>95</v>
      </c>
      <c r="B54" s="8">
        <v>344.3</v>
      </c>
      <c r="C54" s="8">
        <v>12</v>
      </c>
      <c r="D54" s="11">
        <f t="shared" si="1"/>
        <v>3.3333333333333335</v>
      </c>
      <c r="E54" s="13" t="s">
        <v>96</v>
      </c>
      <c r="F54" s="8"/>
      <c r="I54" s="8"/>
      <c r="J54" s="8"/>
      <c r="K54" s="8"/>
    </row>
    <row r="55" spans="1:11" ht="12" customHeight="1" x14ac:dyDescent="0.2">
      <c r="A55" s="10" t="s">
        <v>97</v>
      </c>
      <c r="B55" s="8">
        <v>218</v>
      </c>
      <c r="C55" s="8">
        <v>6</v>
      </c>
      <c r="D55" s="11">
        <f t="shared" si="1"/>
        <v>6.666666666666667</v>
      </c>
      <c r="E55" s="14" t="s">
        <v>98</v>
      </c>
      <c r="F55" s="8"/>
      <c r="I55" s="8"/>
      <c r="J55" s="8"/>
      <c r="K55" s="8"/>
    </row>
    <row r="56" spans="1:11" x14ac:dyDescent="0.2">
      <c r="A56" s="10" t="s">
        <v>99</v>
      </c>
      <c r="B56" s="8">
        <v>60</v>
      </c>
      <c r="C56" s="8">
        <v>1</v>
      </c>
      <c r="D56" s="11">
        <f t="shared" si="1"/>
        <v>40</v>
      </c>
      <c r="E56" s="13" t="s">
        <v>100</v>
      </c>
      <c r="F56" s="8"/>
      <c r="I56" s="8"/>
      <c r="J56" s="8"/>
      <c r="K56" s="8"/>
    </row>
    <row r="57" spans="1:11" x14ac:dyDescent="0.2">
      <c r="A57" s="10" t="s">
        <v>101</v>
      </c>
      <c r="B57" s="8">
        <v>182</v>
      </c>
      <c r="C57" s="8">
        <v>6</v>
      </c>
      <c r="D57" s="11">
        <f t="shared" si="1"/>
        <v>6.666666666666667</v>
      </c>
      <c r="E57" s="14" t="s">
        <v>83</v>
      </c>
      <c r="F57" s="8"/>
      <c r="I57" s="8"/>
      <c r="J57" s="8"/>
      <c r="K57" s="8"/>
    </row>
    <row r="58" spans="1:11" x14ac:dyDescent="0.2">
      <c r="A58" s="10" t="s">
        <v>102</v>
      </c>
      <c r="B58" s="8">
        <v>132</v>
      </c>
      <c r="C58" s="8">
        <v>4</v>
      </c>
      <c r="D58" s="11">
        <f t="shared" si="1"/>
        <v>10</v>
      </c>
      <c r="E58" s="13" t="s">
        <v>103</v>
      </c>
      <c r="F58" s="8"/>
      <c r="I58" s="8"/>
      <c r="J58" s="8"/>
      <c r="K58" s="8"/>
    </row>
    <row r="59" spans="1:11" x14ac:dyDescent="0.2">
      <c r="A59" s="10" t="s">
        <v>104</v>
      </c>
      <c r="B59" s="8">
        <v>182.172</v>
      </c>
      <c r="C59" s="8">
        <v>6</v>
      </c>
      <c r="D59" s="11">
        <f t="shared" si="1"/>
        <v>6.666666666666667</v>
      </c>
      <c r="E59" s="13" t="s">
        <v>83</v>
      </c>
      <c r="F59" s="8"/>
      <c r="I59" s="8"/>
      <c r="J59" s="8"/>
      <c r="K59" s="8"/>
    </row>
    <row r="60" spans="1:11" x14ac:dyDescent="0.2">
      <c r="A60" s="10" t="s">
        <v>105</v>
      </c>
      <c r="B60" s="8">
        <v>102</v>
      </c>
      <c r="C60" s="8">
        <v>5</v>
      </c>
      <c r="D60" s="11">
        <f t="shared" si="1"/>
        <v>8</v>
      </c>
      <c r="E60" s="14" t="s">
        <v>106</v>
      </c>
      <c r="F60" s="8"/>
      <c r="I60" s="8"/>
      <c r="J60" s="8"/>
      <c r="K60" s="8"/>
    </row>
    <row r="61" spans="1:11" x14ac:dyDescent="0.2">
      <c r="A61" s="10" t="s">
        <v>107</v>
      </c>
      <c r="B61" s="8">
        <v>150</v>
      </c>
      <c r="C61" s="8">
        <v>5</v>
      </c>
      <c r="D61" s="11">
        <f t="shared" si="1"/>
        <v>8</v>
      </c>
      <c r="E61" s="14" t="s">
        <v>64</v>
      </c>
      <c r="F61" s="8"/>
      <c r="I61" s="8"/>
      <c r="J61" s="8"/>
      <c r="K61" s="8"/>
    </row>
    <row r="62" spans="1:11" x14ac:dyDescent="0.2">
      <c r="A62" s="10" t="s">
        <v>108</v>
      </c>
      <c r="B62" s="8">
        <v>62</v>
      </c>
      <c r="C62" s="8">
        <v>2</v>
      </c>
      <c r="D62" s="11">
        <f t="shared" si="1"/>
        <v>20</v>
      </c>
      <c r="E62" s="13" t="s">
        <v>109</v>
      </c>
      <c r="F62" s="8"/>
      <c r="I62" s="8"/>
      <c r="J62" s="8"/>
      <c r="K62" s="8"/>
    </row>
    <row r="63" spans="1:11" x14ac:dyDescent="0.2">
      <c r="A63" s="10" t="s">
        <v>110</v>
      </c>
      <c r="B63" s="8">
        <v>594</v>
      </c>
      <c r="C63" s="8">
        <v>18</v>
      </c>
      <c r="D63" s="11">
        <f t="shared" si="1"/>
        <v>2.2222222222222223</v>
      </c>
      <c r="E63" s="8" t="s">
        <v>111</v>
      </c>
      <c r="F63" s="8"/>
      <c r="I63" s="8"/>
      <c r="J63" s="8"/>
      <c r="K63" s="8"/>
    </row>
    <row r="64" spans="1:11" x14ac:dyDescent="0.2">
      <c r="A64" s="10" t="s">
        <v>112</v>
      </c>
      <c r="B64" s="8">
        <v>179.17</v>
      </c>
      <c r="C64" s="8">
        <v>6</v>
      </c>
      <c r="D64" s="11">
        <f t="shared" si="1"/>
        <v>6.666666666666667</v>
      </c>
      <c r="E64" s="13" t="s">
        <v>36</v>
      </c>
      <c r="F64" s="8"/>
      <c r="I64" s="8"/>
      <c r="J64" s="8"/>
      <c r="K64" s="8"/>
    </row>
    <row r="65" spans="1:11" ht="14.25" customHeight="1" x14ac:dyDescent="0.2">
      <c r="A65" s="10" t="s">
        <v>113</v>
      </c>
      <c r="B65" s="8">
        <v>342</v>
      </c>
      <c r="C65" s="8">
        <v>12</v>
      </c>
      <c r="D65" s="11">
        <f t="shared" si="1"/>
        <v>3.3333333333333335</v>
      </c>
      <c r="E65" s="14" t="s">
        <v>53</v>
      </c>
      <c r="F65" s="8"/>
      <c r="I65" s="8"/>
      <c r="J65" s="8"/>
      <c r="K65" s="8"/>
    </row>
    <row r="66" spans="1:11" x14ac:dyDescent="0.2">
      <c r="A66" s="10" t="s">
        <v>114</v>
      </c>
      <c r="B66" s="8">
        <v>342</v>
      </c>
      <c r="C66" s="8">
        <v>12</v>
      </c>
      <c r="D66" s="11">
        <f t="shared" si="1"/>
        <v>3.3333333333333335</v>
      </c>
      <c r="E66" s="13" t="s">
        <v>53</v>
      </c>
      <c r="F66" s="8"/>
      <c r="I66" s="8"/>
      <c r="J66" s="8"/>
      <c r="K66" s="8"/>
    </row>
    <row r="67" spans="1:11" x14ac:dyDescent="0.2">
      <c r="A67" s="10" t="s">
        <v>115</v>
      </c>
      <c r="B67" s="8">
        <v>74</v>
      </c>
      <c r="C67" s="8">
        <v>2</v>
      </c>
      <c r="D67" s="11">
        <f t="shared" si="1"/>
        <v>20</v>
      </c>
      <c r="E67" s="14" t="s">
        <v>116</v>
      </c>
      <c r="F67" s="8"/>
      <c r="I67" s="8"/>
      <c r="J67" s="8"/>
      <c r="K67" s="8"/>
    </row>
    <row r="68" spans="1:11" x14ac:dyDescent="0.2">
      <c r="A68" s="10" t="s">
        <v>117</v>
      </c>
      <c r="B68" s="8">
        <v>180</v>
      </c>
      <c r="C68" s="8">
        <v>6</v>
      </c>
      <c r="D68" s="11">
        <f t="shared" si="1"/>
        <v>6.666666666666667</v>
      </c>
      <c r="E68" s="13" t="s">
        <v>72</v>
      </c>
      <c r="F68" s="8"/>
      <c r="I68" s="8"/>
      <c r="J68" s="8"/>
      <c r="K68" s="8"/>
    </row>
    <row r="69" spans="1:11" x14ac:dyDescent="0.2">
      <c r="A69" s="10" t="s">
        <v>118</v>
      </c>
      <c r="B69" s="14">
        <v>76.05</v>
      </c>
      <c r="C69" s="8">
        <v>2</v>
      </c>
      <c r="D69" s="11">
        <f t="shared" si="1"/>
        <v>20</v>
      </c>
      <c r="E69" s="13" t="s">
        <v>119</v>
      </c>
      <c r="F69" s="8"/>
      <c r="I69" s="8"/>
      <c r="J69" s="8"/>
      <c r="K69" s="8"/>
    </row>
    <row r="70" spans="1:11" x14ac:dyDescent="0.2">
      <c r="A70" s="10" t="s">
        <v>120</v>
      </c>
      <c r="B70" s="8">
        <v>60</v>
      </c>
      <c r="C70" s="8">
        <v>3</v>
      </c>
      <c r="D70" s="11">
        <f t="shared" si="1"/>
        <v>13.333333333333334</v>
      </c>
      <c r="E70" s="8" t="s">
        <v>121</v>
      </c>
      <c r="F70" s="15"/>
      <c r="I70" s="8"/>
      <c r="J70" s="8"/>
      <c r="K70" s="8"/>
    </row>
    <row r="71" spans="1:11" x14ac:dyDescent="0.2">
      <c r="A71" s="10" t="s">
        <v>122</v>
      </c>
      <c r="B71" s="8">
        <v>46</v>
      </c>
      <c r="C71" s="8">
        <v>2</v>
      </c>
      <c r="D71" s="11">
        <f t="shared" si="1"/>
        <v>20</v>
      </c>
      <c r="E71" s="8" t="s">
        <v>123</v>
      </c>
      <c r="F71" s="15"/>
      <c r="I71" s="8"/>
      <c r="J71" s="8"/>
      <c r="K71" s="8"/>
    </row>
    <row r="72" spans="1:11" x14ac:dyDescent="0.2">
      <c r="A72" s="10" t="s">
        <v>124</v>
      </c>
      <c r="B72" s="8">
        <v>32</v>
      </c>
      <c r="C72" s="8">
        <v>1</v>
      </c>
      <c r="D72" s="11">
        <f t="shared" si="1"/>
        <v>40</v>
      </c>
      <c r="E72" s="8" t="s">
        <v>125</v>
      </c>
      <c r="F72" s="15"/>
      <c r="I72" s="8"/>
      <c r="J72" s="8"/>
      <c r="K72" s="8"/>
    </row>
    <row r="73" spans="1:11" x14ac:dyDescent="0.2">
      <c r="A73" s="10" t="s">
        <v>126</v>
      </c>
      <c r="B73" s="8">
        <v>117.148</v>
      </c>
      <c r="C73" s="8">
        <v>5</v>
      </c>
      <c r="D73" s="11">
        <f t="shared" si="1"/>
        <v>8</v>
      </c>
      <c r="E73" s="8" t="s">
        <v>127</v>
      </c>
      <c r="F73" s="8"/>
      <c r="I73" s="8"/>
      <c r="J73" s="8"/>
      <c r="K73" s="8"/>
    </row>
    <row r="74" spans="1:11" x14ac:dyDescent="0.2">
      <c r="A74" s="10" t="s">
        <v>128</v>
      </c>
      <c r="B74" s="8">
        <v>117.148</v>
      </c>
      <c r="C74" s="8">
        <v>5</v>
      </c>
      <c r="D74" s="11">
        <f t="shared" si="1"/>
        <v>8</v>
      </c>
      <c r="E74" s="8" t="s">
        <v>127</v>
      </c>
      <c r="F74" s="8"/>
      <c r="I74" s="8"/>
      <c r="J74" s="8"/>
      <c r="K74" s="8"/>
    </row>
    <row r="75" spans="1:11" x14ac:dyDescent="0.2">
      <c r="A75" s="10" t="s">
        <v>129</v>
      </c>
      <c r="B75" s="8">
        <v>181.191</v>
      </c>
      <c r="C75" s="8">
        <v>9</v>
      </c>
      <c r="D75" s="11">
        <f t="shared" si="1"/>
        <v>4.4444444444444446</v>
      </c>
      <c r="E75" s="12" t="s">
        <v>130</v>
      </c>
      <c r="F75" s="8"/>
      <c r="I75" s="8"/>
      <c r="J75" s="8"/>
      <c r="K75" s="8"/>
    </row>
    <row r="76" spans="1:11" x14ac:dyDescent="0.2">
      <c r="A76" s="10" t="s">
        <v>131</v>
      </c>
      <c r="B76" s="8">
        <v>249.29</v>
      </c>
      <c r="C76" s="8">
        <v>6</v>
      </c>
      <c r="D76" s="11">
        <f t="shared" si="1"/>
        <v>6.666666666666667</v>
      </c>
      <c r="E76" s="8" t="s">
        <v>132</v>
      </c>
      <c r="F76" s="8"/>
      <c r="J76" s="8"/>
      <c r="K76" s="8"/>
    </row>
    <row r="77" spans="1:11" x14ac:dyDescent="0.2">
      <c r="A77" s="10" t="s">
        <v>133</v>
      </c>
      <c r="B77" s="12">
        <v>221.21</v>
      </c>
      <c r="C77" s="8">
        <v>8</v>
      </c>
      <c r="D77" s="11">
        <f t="shared" si="1"/>
        <v>5</v>
      </c>
      <c r="E77" s="8" t="s">
        <v>85</v>
      </c>
      <c r="F77" s="8"/>
      <c r="I77" s="8"/>
      <c r="J77" s="8"/>
      <c r="K77" s="8"/>
    </row>
    <row r="78" spans="1:11" x14ac:dyDescent="0.2">
      <c r="A78" s="10" t="s">
        <v>134</v>
      </c>
      <c r="B78" s="8">
        <v>68.007000000000005</v>
      </c>
      <c r="C78" s="8">
        <v>1</v>
      </c>
      <c r="D78" s="11">
        <f>40/C78</f>
        <v>40</v>
      </c>
      <c r="E78" s="8" t="s">
        <v>135</v>
      </c>
      <c r="F78" s="8"/>
      <c r="I78" s="8"/>
      <c r="J78" s="8"/>
      <c r="K78" s="8"/>
    </row>
    <row r="79" spans="1:11" x14ac:dyDescent="0.2">
      <c r="A79" s="10" t="s">
        <v>136</v>
      </c>
      <c r="B79" s="16">
        <v>89.09</v>
      </c>
      <c r="C79" s="16">
        <v>3</v>
      </c>
      <c r="D79" s="11">
        <f>40/C79</f>
        <v>13.333333333333334</v>
      </c>
      <c r="E79" s="8" t="s">
        <v>13</v>
      </c>
    </row>
    <row r="80" spans="1:11" x14ac:dyDescent="0.2">
      <c r="A80" s="10" t="s">
        <v>137</v>
      </c>
      <c r="B80" s="16">
        <v>137.13800000000001</v>
      </c>
      <c r="C80" s="16">
        <v>7</v>
      </c>
      <c r="D80" s="11">
        <f>40/C80</f>
        <v>5.7142857142857144</v>
      </c>
      <c r="E80" s="8" t="s">
        <v>138</v>
      </c>
    </row>
    <row r="81" spans="1:6" x14ac:dyDescent="0.2">
      <c r="A81" s="10" t="s">
        <v>139</v>
      </c>
      <c r="B81" s="17">
        <v>135.13</v>
      </c>
      <c r="C81" s="16">
        <v>5</v>
      </c>
      <c r="D81" s="11">
        <f>40/C81</f>
        <v>8</v>
      </c>
      <c r="E81" s="8" t="s">
        <v>140</v>
      </c>
      <c r="F81" s="8"/>
    </row>
    <row r="82" spans="1:6" x14ac:dyDescent="0.2">
      <c r="A82" s="8"/>
      <c r="B8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2AD2F-F879-2943-B5C2-BF94285F87FC}">
  <dimension ref="A1:H21"/>
  <sheetViews>
    <sheetView workbookViewId="0"/>
  </sheetViews>
  <sheetFormatPr baseColWidth="10" defaultRowHeight="16" x14ac:dyDescent="0.2"/>
  <cols>
    <col min="4" max="4" width="20.6640625" customWidth="1"/>
    <col min="5" max="5" width="20.33203125" customWidth="1"/>
    <col min="6" max="6" width="17" customWidth="1"/>
    <col min="8" max="8" width="11" customWidth="1"/>
  </cols>
  <sheetData>
    <row r="1" spans="1:8" s="1" customFormat="1" x14ac:dyDescent="0.2">
      <c r="A1" s="1" t="s">
        <v>141</v>
      </c>
    </row>
    <row r="3" spans="1:8" x14ac:dyDescent="0.2">
      <c r="B3" s="21" t="s">
        <v>142</v>
      </c>
      <c r="C3" s="22" t="s">
        <v>143</v>
      </c>
      <c r="D3" s="21" t="s">
        <v>144</v>
      </c>
      <c r="E3" s="21" t="s">
        <v>145</v>
      </c>
      <c r="F3" s="21" t="s">
        <v>146</v>
      </c>
      <c r="G3" s="21" t="s">
        <v>147</v>
      </c>
      <c r="H3" s="21" t="s">
        <v>148</v>
      </c>
    </row>
    <row r="4" spans="1:8" x14ac:dyDescent="0.2">
      <c r="A4" s="23" t="s">
        <v>149</v>
      </c>
      <c r="B4" s="24">
        <v>0.86238000000000004</v>
      </c>
      <c r="C4" s="24">
        <v>0.246</v>
      </c>
      <c r="D4" s="25">
        <v>169.10807529208424</v>
      </c>
      <c r="E4" s="25">
        <v>24.959851880424768</v>
      </c>
      <c r="F4" s="26">
        <f t="shared" ref="F4:F15" si="0">0.632-0.135*B4</f>
        <v>0.51557869999999995</v>
      </c>
      <c r="G4" s="27">
        <f>D4*147.13*0.000001/F4*100</f>
        <v>4.825814394140866</v>
      </c>
      <c r="H4" s="28">
        <f>E4*146.14*0.000001/F4*100</f>
        <v>0.70748321329125408</v>
      </c>
    </row>
    <row r="5" spans="1:8" x14ac:dyDescent="0.2">
      <c r="A5" s="29" t="s">
        <v>150</v>
      </c>
      <c r="B5" s="22">
        <v>0.86238000000000004</v>
      </c>
      <c r="C5" s="22">
        <v>0.374</v>
      </c>
      <c r="D5" s="30">
        <v>172.12795433815262</v>
      </c>
      <c r="E5" s="30">
        <v>25.730284785703372</v>
      </c>
      <c r="F5" s="31">
        <f t="shared" si="0"/>
        <v>0.51557869999999995</v>
      </c>
      <c r="G5" s="32">
        <f t="shared" ref="G5:G15" si="1">D5*147.13*0.000001/F5*100</f>
        <v>4.911992276207763</v>
      </c>
      <c r="H5" s="33">
        <f t="shared" ref="H5:H15" si="2">E5*146.14*0.000001/F5*100</f>
        <v>0.72932101705960528</v>
      </c>
    </row>
    <row r="6" spans="1:8" x14ac:dyDescent="0.2">
      <c r="A6" s="34"/>
      <c r="B6" s="35">
        <v>0.86238000000000004</v>
      </c>
      <c r="C6" s="35">
        <v>0.48499999999999999</v>
      </c>
      <c r="D6" s="36">
        <v>165.16429103406995</v>
      </c>
      <c r="E6" s="36">
        <v>25.952422304149309</v>
      </c>
      <c r="F6" s="37">
        <f t="shared" si="0"/>
        <v>0.51557869999999995</v>
      </c>
      <c r="G6" s="38">
        <f t="shared" si="1"/>
        <v>4.7132711533356044</v>
      </c>
      <c r="H6" s="39">
        <f t="shared" si="2"/>
        <v>0.73561747130523036</v>
      </c>
    </row>
    <row r="7" spans="1:8" x14ac:dyDescent="0.2">
      <c r="A7" s="23" t="s">
        <v>79</v>
      </c>
      <c r="B7" s="24">
        <v>0.40307999999999999</v>
      </c>
      <c r="C7" s="24">
        <v>0.26400000000000001</v>
      </c>
      <c r="D7" s="25">
        <v>221.63914930415538</v>
      </c>
      <c r="E7" s="25">
        <v>8.8578592700707866</v>
      </c>
      <c r="F7" s="26">
        <f t="shared" si="0"/>
        <v>0.57758419999999999</v>
      </c>
      <c r="G7" s="27">
        <f t="shared" si="1"/>
        <v>5.6458899043845694</v>
      </c>
      <c r="H7" s="28">
        <f t="shared" si="2"/>
        <v>0.2241210119196724</v>
      </c>
    </row>
    <row r="8" spans="1:8" x14ac:dyDescent="0.2">
      <c r="A8" s="29" t="s">
        <v>151</v>
      </c>
      <c r="B8" s="22">
        <v>0.40307999999999999</v>
      </c>
      <c r="C8" s="22">
        <v>0.374</v>
      </c>
      <c r="D8" s="30">
        <v>228.87120258173343</v>
      </c>
      <c r="E8" s="30">
        <v>7.7787176271326359</v>
      </c>
      <c r="F8" s="31">
        <f t="shared" si="0"/>
        <v>0.57758419999999999</v>
      </c>
      <c r="G8" s="32">
        <f t="shared" si="1"/>
        <v>5.8301144726345431</v>
      </c>
      <c r="H8" s="33">
        <f t="shared" si="2"/>
        <v>0.196816636263451</v>
      </c>
    </row>
    <row r="9" spans="1:8" x14ac:dyDescent="0.2">
      <c r="A9" s="34"/>
      <c r="B9" s="35">
        <v>0.40307999999999999</v>
      </c>
      <c r="C9" s="35">
        <v>0.49299999999999999</v>
      </c>
      <c r="D9" s="36">
        <v>236.04471770869591</v>
      </c>
      <c r="E9" s="36">
        <v>6.882691496802078</v>
      </c>
      <c r="F9" s="37">
        <f t="shared" si="0"/>
        <v>0.57758419999999999</v>
      </c>
      <c r="G9" s="38">
        <f t="shared" si="1"/>
        <v>6.0128478785396871</v>
      </c>
      <c r="H9" s="39">
        <f t="shared" si="2"/>
        <v>0.17414543807511626</v>
      </c>
    </row>
    <row r="10" spans="1:8" x14ac:dyDescent="0.2">
      <c r="A10" s="23" t="s">
        <v>152</v>
      </c>
      <c r="B10" s="24">
        <v>0.29039999999999999</v>
      </c>
      <c r="C10" s="24">
        <v>0.309</v>
      </c>
      <c r="D10" s="25">
        <v>193.6341775766038</v>
      </c>
      <c r="E10" s="25">
        <v>2.5460735405193322</v>
      </c>
      <c r="F10" s="26">
        <f t="shared" si="0"/>
        <v>0.59279599999999999</v>
      </c>
      <c r="G10" s="27">
        <f t="shared" si="1"/>
        <v>4.8059360297380067</v>
      </c>
      <c r="H10" s="28">
        <f t="shared" si="2"/>
        <v>6.2767492900001887E-2</v>
      </c>
    </row>
    <row r="11" spans="1:8" x14ac:dyDescent="0.2">
      <c r="A11" s="29" t="s">
        <v>150</v>
      </c>
      <c r="B11" s="22">
        <v>0.29039999999999999</v>
      </c>
      <c r="C11" s="22">
        <v>0.39400000000000002</v>
      </c>
      <c r="D11" s="30">
        <v>204.79504258627438</v>
      </c>
      <c r="E11" s="30">
        <v>1.6080548770846201</v>
      </c>
      <c r="F11" s="31">
        <f t="shared" si="0"/>
        <v>0.59279599999999999</v>
      </c>
      <c r="G11" s="32">
        <f t="shared" si="1"/>
        <v>5.0829449955327881</v>
      </c>
      <c r="H11" s="33">
        <f t="shared" si="2"/>
        <v>3.9642834927554563E-2</v>
      </c>
    </row>
    <row r="12" spans="1:8" x14ac:dyDescent="0.2">
      <c r="A12" s="34"/>
      <c r="B12" s="35">
        <v>0.29039999999999999</v>
      </c>
      <c r="C12" s="35">
        <v>0.499</v>
      </c>
      <c r="D12" s="36">
        <v>215.07959412330445</v>
      </c>
      <c r="E12" s="36">
        <v>0.28151900121312651</v>
      </c>
      <c r="F12" s="37">
        <f t="shared" si="0"/>
        <v>0.59279599999999999</v>
      </c>
      <c r="G12" s="38">
        <f t="shared" si="1"/>
        <v>5.3382041517422154</v>
      </c>
      <c r="H12" s="39">
        <f t="shared" si="2"/>
        <v>6.9401930575250679E-3</v>
      </c>
    </row>
    <row r="13" spans="1:8" x14ac:dyDescent="0.2">
      <c r="A13" s="23" t="s">
        <v>153</v>
      </c>
      <c r="B13" s="24">
        <v>0.83418000000000003</v>
      </c>
      <c r="C13" s="24">
        <v>0.26500000000000001</v>
      </c>
      <c r="D13" s="25">
        <v>175.30330227167804</v>
      </c>
      <c r="E13" s="25">
        <v>22.573195380504401</v>
      </c>
      <c r="F13" s="26">
        <f t="shared" si="0"/>
        <v>0.51938569999999995</v>
      </c>
      <c r="G13" s="27">
        <f t="shared" si="1"/>
        <v>4.9659385815265971</v>
      </c>
      <c r="H13" s="28">
        <f t="shared" si="2"/>
        <v>0.63514393501917998</v>
      </c>
    </row>
    <row r="14" spans="1:8" x14ac:dyDescent="0.2">
      <c r="A14" s="29" t="s">
        <v>150</v>
      </c>
      <c r="B14" s="22">
        <v>0.83418000000000003</v>
      </c>
      <c r="C14" s="22">
        <v>0.378</v>
      </c>
      <c r="D14" s="30">
        <v>171.74891186934036</v>
      </c>
      <c r="E14" s="30">
        <v>22.444866021090597</v>
      </c>
      <c r="F14" s="31">
        <f t="shared" si="0"/>
        <v>0.51938569999999995</v>
      </c>
      <c r="G14" s="32">
        <f t="shared" si="1"/>
        <v>4.8652508922244193</v>
      </c>
      <c r="H14" s="33">
        <f t="shared" si="2"/>
        <v>0.6315331208237307</v>
      </c>
    </row>
    <row r="15" spans="1:8" x14ac:dyDescent="0.2">
      <c r="A15" s="34"/>
      <c r="B15" s="35">
        <v>0.83418000000000003</v>
      </c>
      <c r="C15" s="35">
        <v>0.495</v>
      </c>
      <c r="D15" s="36">
        <v>184.71512339696801</v>
      </c>
      <c r="E15" s="36">
        <v>20.94889025809951</v>
      </c>
      <c r="F15" s="37">
        <f t="shared" si="0"/>
        <v>0.51938569999999995</v>
      </c>
      <c r="G15" s="38">
        <f t="shared" si="1"/>
        <v>5.2325537852497481</v>
      </c>
      <c r="H15" s="39">
        <f t="shared" si="2"/>
        <v>0.58944072243780721</v>
      </c>
    </row>
    <row r="16" spans="1:8" x14ac:dyDescent="0.2">
      <c r="B16" s="40"/>
      <c r="G16" s="41"/>
      <c r="H16" s="40"/>
    </row>
    <row r="17" spans="2:8" x14ac:dyDescent="0.2">
      <c r="B17" s="40"/>
      <c r="G17" s="41"/>
      <c r="H17" s="41"/>
    </row>
    <row r="18" spans="2:8" x14ac:dyDescent="0.2">
      <c r="B18" s="40"/>
      <c r="G18" s="41"/>
      <c r="H18" s="40"/>
    </row>
    <row r="19" spans="2:8" x14ac:dyDescent="0.2">
      <c r="G19" s="41"/>
    </row>
    <row r="20" spans="2:8" x14ac:dyDescent="0.2">
      <c r="G20" s="41"/>
    </row>
    <row r="21" spans="2:8" x14ac:dyDescent="0.2">
      <c r="G21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8614-AF9F-6847-A04F-064DEE4331DB}">
  <dimension ref="A1:RX100"/>
  <sheetViews>
    <sheetView workbookViewId="0"/>
  </sheetViews>
  <sheetFormatPr baseColWidth="10" defaultColWidth="9.1640625" defaultRowHeight="16" x14ac:dyDescent="0.2"/>
  <cols>
    <col min="1" max="1" width="26.6640625" customWidth="1"/>
    <col min="2" max="2" width="15.6640625" customWidth="1"/>
    <col min="3" max="3" width="17.1640625" customWidth="1"/>
    <col min="4" max="4" width="32.83203125" customWidth="1"/>
    <col min="5" max="5" width="16.33203125" customWidth="1"/>
    <col min="6" max="6" width="18" customWidth="1"/>
    <col min="7" max="8" width="8.1640625" customWidth="1"/>
    <col min="9" max="9" width="7.6640625" customWidth="1"/>
    <col min="10" max="10" width="6.83203125" customWidth="1"/>
    <col min="11" max="11" width="7.83203125" customWidth="1"/>
    <col min="12" max="12" width="8.1640625" customWidth="1"/>
    <col min="13" max="13" width="16" customWidth="1"/>
    <col min="14" max="14" width="20.5" style="21" customWidth="1"/>
    <col min="15" max="15" width="18.6640625" style="21" customWidth="1"/>
    <col min="16" max="16" width="15.5" customWidth="1"/>
    <col min="17" max="17" width="15.5" style="21" customWidth="1"/>
    <col min="18" max="18" width="17.5" style="21" customWidth="1"/>
    <col min="19" max="19" width="17" style="67" customWidth="1"/>
    <col min="20" max="20" width="16.6640625" style="106" customWidth="1"/>
    <col min="21" max="21" width="20.6640625" style="107" customWidth="1"/>
    <col min="22" max="22" width="34" style="107" customWidth="1"/>
    <col min="24" max="24" width="10" bestFit="1" customWidth="1"/>
    <col min="244" max="244" width="17.1640625" customWidth="1"/>
    <col min="245" max="245" width="11.5" customWidth="1"/>
    <col min="246" max="246" width="8.5" bestFit="1" customWidth="1"/>
    <col min="247" max="248" width="10.33203125" bestFit="1" customWidth="1"/>
    <col min="249" max="249" width="14.33203125" customWidth="1"/>
    <col min="250" max="250" width="10.6640625" customWidth="1"/>
    <col min="251" max="251" width="14.5" customWidth="1"/>
    <col min="252" max="252" width="19.5" bestFit="1" customWidth="1"/>
    <col min="253" max="253" width="21.83203125" bestFit="1" customWidth="1"/>
    <col min="254" max="254" width="23" customWidth="1"/>
    <col min="255" max="260" width="8.83203125" customWidth="1"/>
    <col min="261" max="261" width="14" customWidth="1"/>
    <col min="262" max="262" width="18.6640625" customWidth="1"/>
    <col min="263" max="263" width="9.6640625" customWidth="1"/>
    <col min="264" max="264" width="13.33203125" customWidth="1"/>
    <col min="265" max="265" width="10.6640625" customWidth="1"/>
    <col min="266" max="267" width="13.1640625" customWidth="1"/>
    <col min="268" max="268" width="10.6640625" customWidth="1"/>
    <col min="269" max="270" width="8.83203125" customWidth="1"/>
    <col min="271" max="271" width="12.5" bestFit="1" customWidth="1"/>
    <col min="272" max="276" width="8.83203125" customWidth="1"/>
    <col min="277" max="278" width="0" hidden="1" customWidth="1"/>
    <col min="280" max="280" width="10" bestFit="1" customWidth="1"/>
    <col min="500" max="500" width="17.1640625" customWidth="1"/>
    <col min="501" max="501" width="11.5" customWidth="1"/>
    <col min="502" max="502" width="8.5" bestFit="1" customWidth="1"/>
    <col min="503" max="504" width="10.33203125" bestFit="1" customWidth="1"/>
    <col min="505" max="505" width="14.33203125" customWidth="1"/>
    <col min="506" max="506" width="10.6640625" customWidth="1"/>
    <col min="507" max="507" width="14.5" customWidth="1"/>
    <col min="508" max="508" width="19.5" bestFit="1" customWidth="1"/>
    <col min="509" max="509" width="21.83203125" bestFit="1" customWidth="1"/>
    <col min="510" max="510" width="23" customWidth="1"/>
    <col min="511" max="516" width="8.83203125" customWidth="1"/>
    <col min="517" max="517" width="14" customWidth="1"/>
    <col min="518" max="518" width="18.6640625" customWidth="1"/>
    <col min="519" max="519" width="9.6640625" customWidth="1"/>
    <col min="520" max="520" width="13.33203125" customWidth="1"/>
    <col min="521" max="521" width="10.6640625" customWidth="1"/>
    <col min="522" max="523" width="13.1640625" customWidth="1"/>
    <col min="524" max="524" width="10.6640625" customWidth="1"/>
    <col min="525" max="526" width="8.83203125" customWidth="1"/>
    <col min="527" max="527" width="12.5" bestFit="1" customWidth="1"/>
    <col min="528" max="532" width="8.83203125" customWidth="1"/>
    <col min="533" max="534" width="0" hidden="1" customWidth="1"/>
    <col min="536" max="536" width="10" bestFit="1" customWidth="1"/>
    <col min="756" max="756" width="17.1640625" customWidth="1"/>
    <col min="757" max="757" width="11.5" customWidth="1"/>
    <col min="758" max="758" width="8.5" bestFit="1" customWidth="1"/>
    <col min="759" max="760" width="10.33203125" bestFit="1" customWidth="1"/>
    <col min="761" max="761" width="14.33203125" customWidth="1"/>
    <col min="762" max="762" width="10.6640625" customWidth="1"/>
    <col min="763" max="763" width="14.5" customWidth="1"/>
    <col min="764" max="764" width="19.5" bestFit="1" customWidth="1"/>
    <col min="765" max="765" width="21.83203125" bestFit="1" customWidth="1"/>
    <col min="766" max="766" width="23" customWidth="1"/>
    <col min="767" max="772" width="8.83203125" customWidth="1"/>
    <col min="773" max="773" width="14" customWidth="1"/>
    <col min="774" max="774" width="18.6640625" customWidth="1"/>
    <col min="775" max="775" width="9.6640625" customWidth="1"/>
    <col min="776" max="776" width="13.33203125" customWidth="1"/>
    <col min="777" max="777" width="10.6640625" customWidth="1"/>
    <col min="778" max="779" width="13.1640625" customWidth="1"/>
    <col min="780" max="780" width="10.6640625" customWidth="1"/>
    <col min="781" max="782" width="8.83203125" customWidth="1"/>
    <col min="783" max="783" width="12.5" bestFit="1" customWidth="1"/>
    <col min="784" max="788" width="8.83203125" customWidth="1"/>
    <col min="789" max="790" width="0" hidden="1" customWidth="1"/>
    <col min="792" max="792" width="10" bestFit="1" customWidth="1"/>
    <col min="1012" max="1012" width="17.1640625" customWidth="1"/>
    <col min="1013" max="1013" width="11.5" customWidth="1"/>
    <col min="1014" max="1014" width="8.5" bestFit="1" customWidth="1"/>
    <col min="1015" max="1016" width="10.33203125" bestFit="1" customWidth="1"/>
    <col min="1017" max="1017" width="14.33203125" customWidth="1"/>
    <col min="1018" max="1018" width="10.6640625" customWidth="1"/>
    <col min="1019" max="1019" width="14.5" customWidth="1"/>
    <col min="1020" max="1020" width="19.5" bestFit="1" customWidth="1"/>
    <col min="1021" max="1021" width="21.83203125" bestFit="1" customWidth="1"/>
    <col min="1022" max="1022" width="23" customWidth="1"/>
    <col min="1023" max="1028" width="8.83203125" customWidth="1"/>
    <col min="1029" max="1029" width="14" customWidth="1"/>
    <col min="1030" max="1030" width="18.6640625" customWidth="1"/>
    <col min="1031" max="1031" width="9.6640625" customWidth="1"/>
    <col min="1032" max="1032" width="13.33203125" customWidth="1"/>
    <col min="1033" max="1033" width="10.6640625" customWidth="1"/>
    <col min="1034" max="1035" width="13.1640625" customWidth="1"/>
    <col min="1036" max="1036" width="10.6640625" customWidth="1"/>
    <col min="1037" max="1038" width="8.83203125" customWidth="1"/>
    <col min="1039" max="1039" width="12.5" bestFit="1" customWidth="1"/>
    <col min="1040" max="1044" width="8.83203125" customWidth="1"/>
    <col min="1045" max="1046" width="0" hidden="1" customWidth="1"/>
    <col min="1048" max="1048" width="10" bestFit="1" customWidth="1"/>
    <col min="1268" max="1268" width="17.1640625" customWidth="1"/>
    <col min="1269" max="1269" width="11.5" customWidth="1"/>
    <col min="1270" max="1270" width="8.5" bestFit="1" customWidth="1"/>
    <col min="1271" max="1272" width="10.33203125" bestFit="1" customWidth="1"/>
    <col min="1273" max="1273" width="14.33203125" customWidth="1"/>
    <col min="1274" max="1274" width="10.6640625" customWidth="1"/>
    <col min="1275" max="1275" width="14.5" customWidth="1"/>
    <col min="1276" max="1276" width="19.5" bestFit="1" customWidth="1"/>
    <col min="1277" max="1277" width="21.83203125" bestFit="1" customWidth="1"/>
    <col min="1278" max="1278" width="23" customWidth="1"/>
    <col min="1279" max="1284" width="8.83203125" customWidth="1"/>
    <col min="1285" max="1285" width="14" customWidth="1"/>
    <col min="1286" max="1286" width="18.6640625" customWidth="1"/>
    <col min="1287" max="1287" width="9.6640625" customWidth="1"/>
    <col min="1288" max="1288" width="13.33203125" customWidth="1"/>
    <col min="1289" max="1289" width="10.6640625" customWidth="1"/>
    <col min="1290" max="1291" width="13.1640625" customWidth="1"/>
    <col min="1292" max="1292" width="10.6640625" customWidth="1"/>
    <col min="1293" max="1294" width="8.83203125" customWidth="1"/>
    <col min="1295" max="1295" width="12.5" bestFit="1" customWidth="1"/>
    <col min="1296" max="1300" width="8.83203125" customWidth="1"/>
    <col min="1301" max="1302" width="0" hidden="1" customWidth="1"/>
    <col min="1304" max="1304" width="10" bestFit="1" customWidth="1"/>
    <col min="1524" max="1524" width="17.1640625" customWidth="1"/>
    <col min="1525" max="1525" width="11.5" customWidth="1"/>
    <col min="1526" max="1526" width="8.5" bestFit="1" customWidth="1"/>
    <col min="1527" max="1528" width="10.33203125" bestFit="1" customWidth="1"/>
    <col min="1529" max="1529" width="14.33203125" customWidth="1"/>
    <col min="1530" max="1530" width="10.6640625" customWidth="1"/>
    <col min="1531" max="1531" width="14.5" customWidth="1"/>
    <col min="1532" max="1532" width="19.5" bestFit="1" customWidth="1"/>
    <col min="1533" max="1533" width="21.83203125" bestFit="1" customWidth="1"/>
    <col min="1534" max="1534" width="23" customWidth="1"/>
    <col min="1535" max="1540" width="8.83203125" customWidth="1"/>
    <col min="1541" max="1541" width="14" customWidth="1"/>
    <col min="1542" max="1542" width="18.6640625" customWidth="1"/>
    <col min="1543" max="1543" width="9.6640625" customWidth="1"/>
    <col min="1544" max="1544" width="13.33203125" customWidth="1"/>
    <col min="1545" max="1545" width="10.6640625" customWidth="1"/>
    <col min="1546" max="1547" width="13.1640625" customWidth="1"/>
    <col min="1548" max="1548" width="10.6640625" customWidth="1"/>
    <col min="1549" max="1550" width="8.83203125" customWidth="1"/>
    <col min="1551" max="1551" width="12.5" bestFit="1" customWidth="1"/>
    <col min="1552" max="1556" width="8.83203125" customWidth="1"/>
    <col min="1557" max="1558" width="0" hidden="1" customWidth="1"/>
    <col min="1560" max="1560" width="10" bestFit="1" customWidth="1"/>
    <col min="1780" max="1780" width="17.1640625" customWidth="1"/>
    <col min="1781" max="1781" width="11.5" customWidth="1"/>
    <col min="1782" max="1782" width="8.5" bestFit="1" customWidth="1"/>
    <col min="1783" max="1784" width="10.33203125" bestFit="1" customWidth="1"/>
    <col min="1785" max="1785" width="14.33203125" customWidth="1"/>
    <col min="1786" max="1786" width="10.6640625" customWidth="1"/>
    <col min="1787" max="1787" width="14.5" customWidth="1"/>
    <col min="1788" max="1788" width="19.5" bestFit="1" customWidth="1"/>
    <col min="1789" max="1789" width="21.83203125" bestFit="1" customWidth="1"/>
    <col min="1790" max="1790" width="23" customWidth="1"/>
    <col min="1791" max="1796" width="8.83203125" customWidth="1"/>
    <col min="1797" max="1797" width="14" customWidth="1"/>
    <col min="1798" max="1798" width="18.6640625" customWidth="1"/>
    <col min="1799" max="1799" width="9.6640625" customWidth="1"/>
    <col min="1800" max="1800" width="13.33203125" customWidth="1"/>
    <col min="1801" max="1801" width="10.6640625" customWidth="1"/>
    <col min="1802" max="1803" width="13.1640625" customWidth="1"/>
    <col min="1804" max="1804" width="10.6640625" customWidth="1"/>
    <col min="1805" max="1806" width="8.83203125" customWidth="1"/>
    <col min="1807" max="1807" width="12.5" bestFit="1" customWidth="1"/>
    <col min="1808" max="1812" width="8.83203125" customWidth="1"/>
    <col min="1813" max="1814" width="0" hidden="1" customWidth="1"/>
    <col min="1816" max="1816" width="10" bestFit="1" customWidth="1"/>
    <col min="2036" max="2036" width="17.1640625" customWidth="1"/>
    <col min="2037" max="2037" width="11.5" customWidth="1"/>
    <col min="2038" max="2038" width="8.5" bestFit="1" customWidth="1"/>
    <col min="2039" max="2040" width="10.33203125" bestFit="1" customWidth="1"/>
    <col min="2041" max="2041" width="14.33203125" customWidth="1"/>
    <col min="2042" max="2042" width="10.6640625" customWidth="1"/>
    <col min="2043" max="2043" width="14.5" customWidth="1"/>
    <col min="2044" max="2044" width="19.5" bestFit="1" customWidth="1"/>
    <col min="2045" max="2045" width="21.83203125" bestFit="1" customWidth="1"/>
    <col min="2046" max="2046" width="23" customWidth="1"/>
    <col min="2047" max="2052" width="8.83203125" customWidth="1"/>
    <col min="2053" max="2053" width="14" customWidth="1"/>
    <col min="2054" max="2054" width="18.6640625" customWidth="1"/>
    <col min="2055" max="2055" width="9.6640625" customWidth="1"/>
    <col min="2056" max="2056" width="13.33203125" customWidth="1"/>
    <col min="2057" max="2057" width="10.6640625" customWidth="1"/>
    <col min="2058" max="2059" width="13.1640625" customWidth="1"/>
    <col min="2060" max="2060" width="10.6640625" customWidth="1"/>
    <col min="2061" max="2062" width="8.83203125" customWidth="1"/>
    <col min="2063" max="2063" width="12.5" bestFit="1" customWidth="1"/>
    <col min="2064" max="2068" width="8.83203125" customWidth="1"/>
    <col min="2069" max="2070" width="0" hidden="1" customWidth="1"/>
    <col min="2072" max="2072" width="10" bestFit="1" customWidth="1"/>
    <col min="2292" max="2292" width="17.1640625" customWidth="1"/>
    <col min="2293" max="2293" width="11.5" customWidth="1"/>
    <col min="2294" max="2294" width="8.5" bestFit="1" customWidth="1"/>
    <col min="2295" max="2296" width="10.33203125" bestFit="1" customWidth="1"/>
    <col min="2297" max="2297" width="14.33203125" customWidth="1"/>
    <col min="2298" max="2298" width="10.6640625" customWidth="1"/>
    <col min="2299" max="2299" width="14.5" customWidth="1"/>
    <col min="2300" max="2300" width="19.5" bestFit="1" customWidth="1"/>
    <col min="2301" max="2301" width="21.83203125" bestFit="1" customWidth="1"/>
    <col min="2302" max="2302" width="23" customWidth="1"/>
    <col min="2303" max="2308" width="8.83203125" customWidth="1"/>
    <col min="2309" max="2309" width="14" customWidth="1"/>
    <col min="2310" max="2310" width="18.6640625" customWidth="1"/>
    <col min="2311" max="2311" width="9.6640625" customWidth="1"/>
    <col min="2312" max="2312" width="13.33203125" customWidth="1"/>
    <col min="2313" max="2313" width="10.6640625" customWidth="1"/>
    <col min="2314" max="2315" width="13.1640625" customWidth="1"/>
    <col min="2316" max="2316" width="10.6640625" customWidth="1"/>
    <col min="2317" max="2318" width="8.83203125" customWidth="1"/>
    <col min="2319" max="2319" width="12.5" bestFit="1" customWidth="1"/>
    <col min="2320" max="2324" width="8.83203125" customWidth="1"/>
    <col min="2325" max="2326" width="0" hidden="1" customWidth="1"/>
    <col min="2328" max="2328" width="10" bestFit="1" customWidth="1"/>
    <col min="2548" max="2548" width="17.1640625" customWidth="1"/>
    <col min="2549" max="2549" width="11.5" customWidth="1"/>
    <col min="2550" max="2550" width="8.5" bestFit="1" customWidth="1"/>
    <col min="2551" max="2552" width="10.33203125" bestFit="1" customWidth="1"/>
    <col min="2553" max="2553" width="14.33203125" customWidth="1"/>
    <col min="2554" max="2554" width="10.6640625" customWidth="1"/>
    <col min="2555" max="2555" width="14.5" customWidth="1"/>
    <col min="2556" max="2556" width="19.5" bestFit="1" customWidth="1"/>
    <col min="2557" max="2557" width="21.83203125" bestFit="1" customWidth="1"/>
    <col min="2558" max="2558" width="23" customWidth="1"/>
    <col min="2559" max="2564" width="8.83203125" customWidth="1"/>
    <col min="2565" max="2565" width="14" customWidth="1"/>
    <col min="2566" max="2566" width="18.6640625" customWidth="1"/>
    <col min="2567" max="2567" width="9.6640625" customWidth="1"/>
    <col min="2568" max="2568" width="13.33203125" customWidth="1"/>
    <col min="2569" max="2569" width="10.6640625" customWidth="1"/>
    <col min="2570" max="2571" width="13.1640625" customWidth="1"/>
    <col min="2572" max="2572" width="10.6640625" customWidth="1"/>
    <col min="2573" max="2574" width="8.83203125" customWidth="1"/>
    <col min="2575" max="2575" width="12.5" bestFit="1" customWidth="1"/>
    <col min="2576" max="2580" width="8.83203125" customWidth="1"/>
    <col min="2581" max="2582" width="0" hidden="1" customWidth="1"/>
    <col min="2584" max="2584" width="10" bestFit="1" customWidth="1"/>
    <col min="2804" max="2804" width="17.1640625" customWidth="1"/>
    <col min="2805" max="2805" width="11.5" customWidth="1"/>
    <col min="2806" max="2806" width="8.5" bestFit="1" customWidth="1"/>
    <col min="2807" max="2808" width="10.33203125" bestFit="1" customWidth="1"/>
    <col min="2809" max="2809" width="14.33203125" customWidth="1"/>
    <col min="2810" max="2810" width="10.6640625" customWidth="1"/>
    <col min="2811" max="2811" width="14.5" customWidth="1"/>
    <col min="2812" max="2812" width="19.5" bestFit="1" customWidth="1"/>
    <col min="2813" max="2813" width="21.83203125" bestFit="1" customWidth="1"/>
    <col min="2814" max="2814" width="23" customWidth="1"/>
    <col min="2815" max="2820" width="8.83203125" customWidth="1"/>
    <col min="2821" max="2821" width="14" customWidth="1"/>
    <col min="2822" max="2822" width="18.6640625" customWidth="1"/>
    <col min="2823" max="2823" width="9.6640625" customWidth="1"/>
    <col min="2824" max="2824" width="13.33203125" customWidth="1"/>
    <col min="2825" max="2825" width="10.6640625" customWidth="1"/>
    <col min="2826" max="2827" width="13.1640625" customWidth="1"/>
    <col min="2828" max="2828" width="10.6640625" customWidth="1"/>
    <col min="2829" max="2830" width="8.83203125" customWidth="1"/>
    <col min="2831" max="2831" width="12.5" bestFit="1" customWidth="1"/>
    <col min="2832" max="2836" width="8.83203125" customWidth="1"/>
    <col min="2837" max="2838" width="0" hidden="1" customWidth="1"/>
    <col min="2840" max="2840" width="10" bestFit="1" customWidth="1"/>
    <col min="3060" max="3060" width="17.1640625" customWidth="1"/>
    <col min="3061" max="3061" width="11.5" customWidth="1"/>
    <col min="3062" max="3062" width="8.5" bestFit="1" customWidth="1"/>
    <col min="3063" max="3064" width="10.33203125" bestFit="1" customWidth="1"/>
    <col min="3065" max="3065" width="14.33203125" customWidth="1"/>
    <col min="3066" max="3066" width="10.6640625" customWidth="1"/>
    <col min="3067" max="3067" width="14.5" customWidth="1"/>
    <col min="3068" max="3068" width="19.5" bestFit="1" customWidth="1"/>
    <col min="3069" max="3069" width="21.83203125" bestFit="1" customWidth="1"/>
    <col min="3070" max="3070" width="23" customWidth="1"/>
    <col min="3071" max="3076" width="8.83203125" customWidth="1"/>
    <col min="3077" max="3077" width="14" customWidth="1"/>
    <col min="3078" max="3078" width="18.6640625" customWidth="1"/>
    <col min="3079" max="3079" width="9.6640625" customWidth="1"/>
    <col min="3080" max="3080" width="13.33203125" customWidth="1"/>
    <col min="3081" max="3081" width="10.6640625" customWidth="1"/>
    <col min="3082" max="3083" width="13.1640625" customWidth="1"/>
    <col min="3084" max="3084" width="10.6640625" customWidth="1"/>
    <col min="3085" max="3086" width="8.83203125" customWidth="1"/>
    <col min="3087" max="3087" width="12.5" bestFit="1" customWidth="1"/>
    <col min="3088" max="3092" width="8.83203125" customWidth="1"/>
    <col min="3093" max="3094" width="0" hidden="1" customWidth="1"/>
    <col min="3096" max="3096" width="10" bestFit="1" customWidth="1"/>
    <col min="3316" max="3316" width="17.1640625" customWidth="1"/>
    <col min="3317" max="3317" width="11.5" customWidth="1"/>
    <col min="3318" max="3318" width="8.5" bestFit="1" customWidth="1"/>
    <col min="3319" max="3320" width="10.33203125" bestFit="1" customWidth="1"/>
    <col min="3321" max="3321" width="14.33203125" customWidth="1"/>
    <col min="3322" max="3322" width="10.6640625" customWidth="1"/>
    <col min="3323" max="3323" width="14.5" customWidth="1"/>
    <col min="3324" max="3324" width="19.5" bestFit="1" customWidth="1"/>
    <col min="3325" max="3325" width="21.83203125" bestFit="1" customWidth="1"/>
    <col min="3326" max="3326" width="23" customWidth="1"/>
    <col min="3327" max="3332" width="8.83203125" customWidth="1"/>
    <col min="3333" max="3333" width="14" customWidth="1"/>
    <col min="3334" max="3334" width="18.6640625" customWidth="1"/>
    <col min="3335" max="3335" width="9.6640625" customWidth="1"/>
    <col min="3336" max="3336" width="13.33203125" customWidth="1"/>
    <col min="3337" max="3337" width="10.6640625" customWidth="1"/>
    <col min="3338" max="3339" width="13.1640625" customWidth="1"/>
    <col min="3340" max="3340" width="10.6640625" customWidth="1"/>
    <col min="3341" max="3342" width="8.83203125" customWidth="1"/>
    <col min="3343" max="3343" width="12.5" bestFit="1" customWidth="1"/>
    <col min="3344" max="3348" width="8.83203125" customWidth="1"/>
    <col min="3349" max="3350" width="0" hidden="1" customWidth="1"/>
    <col min="3352" max="3352" width="10" bestFit="1" customWidth="1"/>
    <col min="3572" max="3572" width="17.1640625" customWidth="1"/>
    <col min="3573" max="3573" width="11.5" customWidth="1"/>
    <col min="3574" max="3574" width="8.5" bestFit="1" customWidth="1"/>
    <col min="3575" max="3576" width="10.33203125" bestFit="1" customWidth="1"/>
    <col min="3577" max="3577" width="14.33203125" customWidth="1"/>
    <col min="3578" max="3578" width="10.6640625" customWidth="1"/>
    <col min="3579" max="3579" width="14.5" customWidth="1"/>
    <col min="3580" max="3580" width="19.5" bestFit="1" customWidth="1"/>
    <col min="3581" max="3581" width="21.83203125" bestFit="1" customWidth="1"/>
    <col min="3582" max="3582" width="23" customWidth="1"/>
    <col min="3583" max="3588" width="8.83203125" customWidth="1"/>
    <col min="3589" max="3589" width="14" customWidth="1"/>
    <col min="3590" max="3590" width="18.6640625" customWidth="1"/>
    <col min="3591" max="3591" width="9.6640625" customWidth="1"/>
    <col min="3592" max="3592" width="13.33203125" customWidth="1"/>
    <col min="3593" max="3593" width="10.6640625" customWidth="1"/>
    <col min="3594" max="3595" width="13.1640625" customWidth="1"/>
    <col min="3596" max="3596" width="10.6640625" customWidth="1"/>
    <col min="3597" max="3598" width="8.83203125" customWidth="1"/>
    <col min="3599" max="3599" width="12.5" bestFit="1" customWidth="1"/>
    <col min="3600" max="3604" width="8.83203125" customWidth="1"/>
    <col min="3605" max="3606" width="0" hidden="1" customWidth="1"/>
    <col min="3608" max="3608" width="10" bestFit="1" customWidth="1"/>
    <col min="3828" max="3828" width="17.1640625" customWidth="1"/>
    <col min="3829" max="3829" width="11.5" customWidth="1"/>
    <col min="3830" max="3830" width="8.5" bestFit="1" customWidth="1"/>
    <col min="3831" max="3832" width="10.33203125" bestFit="1" customWidth="1"/>
    <col min="3833" max="3833" width="14.33203125" customWidth="1"/>
    <col min="3834" max="3834" width="10.6640625" customWidth="1"/>
    <col min="3835" max="3835" width="14.5" customWidth="1"/>
    <col min="3836" max="3836" width="19.5" bestFit="1" customWidth="1"/>
    <col min="3837" max="3837" width="21.83203125" bestFit="1" customWidth="1"/>
    <col min="3838" max="3838" width="23" customWidth="1"/>
    <col min="3839" max="3844" width="8.83203125" customWidth="1"/>
    <col min="3845" max="3845" width="14" customWidth="1"/>
    <col min="3846" max="3846" width="18.6640625" customWidth="1"/>
    <col min="3847" max="3847" width="9.6640625" customWidth="1"/>
    <col min="3848" max="3848" width="13.33203125" customWidth="1"/>
    <col min="3849" max="3849" width="10.6640625" customWidth="1"/>
    <col min="3850" max="3851" width="13.1640625" customWidth="1"/>
    <col min="3852" max="3852" width="10.6640625" customWidth="1"/>
    <col min="3853" max="3854" width="8.83203125" customWidth="1"/>
    <col min="3855" max="3855" width="12.5" bestFit="1" customWidth="1"/>
    <col min="3856" max="3860" width="8.83203125" customWidth="1"/>
    <col min="3861" max="3862" width="0" hidden="1" customWidth="1"/>
    <col min="3864" max="3864" width="10" bestFit="1" customWidth="1"/>
    <col min="4084" max="4084" width="17.1640625" customWidth="1"/>
    <col min="4085" max="4085" width="11.5" customWidth="1"/>
    <col min="4086" max="4086" width="8.5" bestFit="1" customWidth="1"/>
    <col min="4087" max="4088" width="10.33203125" bestFit="1" customWidth="1"/>
    <col min="4089" max="4089" width="14.33203125" customWidth="1"/>
    <col min="4090" max="4090" width="10.6640625" customWidth="1"/>
    <col min="4091" max="4091" width="14.5" customWidth="1"/>
    <col min="4092" max="4092" width="19.5" bestFit="1" customWidth="1"/>
    <col min="4093" max="4093" width="21.83203125" bestFit="1" customWidth="1"/>
    <col min="4094" max="4094" width="23" customWidth="1"/>
    <col min="4095" max="4100" width="8.83203125" customWidth="1"/>
    <col min="4101" max="4101" width="14" customWidth="1"/>
    <col min="4102" max="4102" width="18.6640625" customWidth="1"/>
    <col min="4103" max="4103" width="9.6640625" customWidth="1"/>
    <col min="4104" max="4104" width="13.33203125" customWidth="1"/>
    <col min="4105" max="4105" width="10.6640625" customWidth="1"/>
    <col min="4106" max="4107" width="13.1640625" customWidth="1"/>
    <col min="4108" max="4108" width="10.6640625" customWidth="1"/>
    <col min="4109" max="4110" width="8.83203125" customWidth="1"/>
    <col min="4111" max="4111" width="12.5" bestFit="1" customWidth="1"/>
    <col min="4112" max="4116" width="8.83203125" customWidth="1"/>
    <col min="4117" max="4118" width="0" hidden="1" customWidth="1"/>
    <col min="4120" max="4120" width="10" bestFit="1" customWidth="1"/>
    <col min="4340" max="4340" width="17.1640625" customWidth="1"/>
    <col min="4341" max="4341" width="11.5" customWidth="1"/>
    <col min="4342" max="4342" width="8.5" bestFit="1" customWidth="1"/>
    <col min="4343" max="4344" width="10.33203125" bestFit="1" customWidth="1"/>
    <col min="4345" max="4345" width="14.33203125" customWidth="1"/>
    <col min="4346" max="4346" width="10.6640625" customWidth="1"/>
    <col min="4347" max="4347" width="14.5" customWidth="1"/>
    <col min="4348" max="4348" width="19.5" bestFit="1" customWidth="1"/>
    <col min="4349" max="4349" width="21.83203125" bestFit="1" customWidth="1"/>
    <col min="4350" max="4350" width="23" customWidth="1"/>
    <col min="4351" max="4356" width="8.83203125" customWidth="1"/>
    <col min="4357" max="4357" width="14" customWidth="1"/>
    <col min="4358" max="4358" width="18.6640625" customWidth="1"/>
    <col min="4359" max="4359" width="9.6640625" customWidth="1"/>
    <col min="4360" max="4360" width="13.33203125" customWidth="1"/>
    <col min="4361" max="4361" width="10.6640625" customWidth="1"/>
    <col min="4362" max="4363" width="13.1640625" customWidth="1"/>
    <col min="4364" max="4364" width="10.6640625" customWidth="1"/>
    <col min="4365" max="4366" width="8.83203125" customWidth="1"/>
    <col min="4367" max="4367" width="12.5" bestFit="1" customWidth="1"/>
    <col min="4368" max="4372" width="8.83203125" customWidth="1"/>
    <col min="4373" max="4374" width="0" hidden="1" customWidth="1"/>
    <col min="4376" max="4376" width="10" bestFit="1" customWidth="1"/>
    <col min="4596" max="4596" width="17.1640625" customWidth="1"/>
    <col min="4597" max="4597" width="11.5" customWidth="1"/>
    <col min="4598" max="4598" width="8.5" bestFit="1" customWidth="1"/>
    <col min="4599" max="4600" width="10.33203125" bestFit="1" customWidth="1"/>
    <col min="4601" max="4601" width="14.33203125" customWidth="1"/>
    <col min="4602" max="4602" width="10.6640625" customWidth="1"/>
    <col min="4603" max="4603" width="14.5" customWidth="1"/>
    <col min="4604" max="4604" width="19.5" bestFit="1" customWidth="1"/>
    <col min="4605" max="4605" width="21.83203125" bestFit="1" customWidth="1"/>
    <col min="4606" max="4606" width="23" customWidth="1"/>
    <col min="4607" max="4612" width="8.83203125" customWidth="1"/>
    <col min="4613" max="4613" width="14" customWidth="1"/>
    <col min="4614" max="4614" width="18.6640625" customWidth="1"/>
    <col min="4615" max="4615" width="9.6640625" customWidth="1"/>
    <col min="4616" max="4616" width="13.33203125" customWidth="1"/>
    <col min="4617" max="4617" width="10.6640625" customWidth="1"/>
    <col min="4618" max="4619" width="13.1640625" customWidth="1"/>
    <col min="4620" max="4620" width="10.6640625" customWidth="1"/>
    <col min="4621" max="4622" width="8.83203125" customWidth="1"/>
    <col min="4623" max="4623" width="12.5" bestFit="1" customWidth="1"/>
    <col min="4624" max="4628" width="8.83203125" customWidth="1"/>
    <col min="4629" max="4630" width="0" hidden="1" customWidth="1"/>
    <col min="4632" max="4632" width="10" bestFit="1" customWidth="1"/>
    <col min="4852" max="4852" width="17.1640625" customWidth="1"/>
    <col min="4853" max="4853" width="11.5" customWidth="1"/>
    <col min="4854" max="4854" width="8.5" bestFit="1" customWidth="1"/>
    <col min="4855" max="4856" width="10.33203125" bestFit="1" customWidth="1"/>
    <col min="4857" max="4857" width="14.33203125" customWidth="1"/>
    <col min="4858" max="4858" width="10.6640625" customWidth="1"/>
    <col min="4859" max="4859" width="14.5" customWidth="1"/>
    <col min="4860" max="4860" width="19.5" bestFit="1" customWidth="1"/>
    <col min="4861" max="4861" width="21.83203125" bestFit="1" customWidth="1"/>
    <col min="4862" max="4862" width="23" customWidth="1"/>
    <col min="4863" max="4868" width="8.83203125" customWidth="1"/>
    <col min="4869" max="4869" width="14" customWidth="1"/>
    <col min="4870" max="4870" width="18.6640625" customWidth="1"/>
    <col min="4871" max="4871" width="9.6640625" customWidth="1"/>
    <col min="4872" max="4872" width="13.33203125" customWidth="1"/>
    <col min="4873" max="4873" width="10.6640625" customWidth="1"/>
    <col min="4874" max="4875" width="13.1640625" customWidth="1"/>
    <col min="4876" max="4876" width="10.6640625" customWidth="1"/>
    <col min="4877" max="4878" width="8.83203125" customWidth="1"/>
    <col min="4879" max="4879" width="12.5" bestFit="1" customWidth="1"/>
    <col min="4880" max="4884" width="8.83203125" customWidth="1"/>
    <col min="4885" max="4886" width="0" hidden="1" customWidth="1"/>
    <col min="4888" max="4888" width="10" bestFit="1" customWidth="1"/>
    <col min="5108" max="5108" width="17.1640625" customWidth="1"/>
    <col min="5109" max="5109" width="11.5" customWidth="1"/>
    <col min="5110" max="5110" width="8.5" bestFit="1" customWidth="1"/>
    <col min="5111" max="5112" width="10.33203125" bestFit="1" customWidth="1"/>
    <col min="5113" max="5113" width="14.33203125" customWidth="1"/>
    <col min="5114" max="5114" width="10.6640625" customWidth="1"/>
    <col min="5115" max="5115" width="14.5" customWidth="1"/>
    <col min="5116" max="5116" width="19.5" bestFit="1" customWidth="1"/>
    <col min="5117" max="5117" width="21.83203125" bestFit="1" customWidth="1"/>
    <col min="5118" max="5118" width="23" customWidth="1"/>
    <col min="5119" max="5124" width="8.83203125" customWidth="1"/>
    <col min="5125" max="5125" width="14" customWidth="1"/>
    <col min="5126" max="5126" width="18.6640625" customWidth="1"/>
    <col min="5127" max="5127" width="9.6640625" customWidth="1"/>
    <col min="5128" max="5128" width="13.33203125" customWidth="1"/>
    <col min="5129" max="5129" width="10.6640625" customWidth="1"/>
    <col min="5130" max="5131" width="13.1640625" customWidth="1"/>
    <col min="5132" max="5132" width="10.6640625" customWidth="1"/>
    <col min="5133" max="5134" width="8.83203125" customWidth="1"/>
    <col min="5135" max="5135" width="12.5" bestFit="1" customWidth="1"/>
    <col min="5136" max="5140" width="8.83203125" customWidth="1"/>
    <col min="5141" max="5142" width="0" hidden="1" customWidth="1"/>
    <col min="5144" max="5144" width="10" bestFit="1" customWidth="1"/>
    <col min="5364" max="5364" width="17.1640625" customWidth="1"/>
    <col min="5365" max="5365" width="11.5" customWidth="1"/>
    <col min="5366" max="5366" width="8.5" bestFit="1" customWidth="1"/>
    <col min="5367" max="5368" width="10.33203125" bestFit="1" customWidth="1"/>
    <col min="5369" max="5369" width="14.33203125" customWidth="1"/>
    <col min="5370" max="5370" width="10.6640625" customWidth="1"/>
    <col min="5371" max="5371" width="14.5" customWidth="1"/>
    <col min="5372" max="5372" width="19.5" bestFit="1" customWidth="1"/>
    <col min="5373" max="5373" width="21.83203125" bestFit="1" customWidth="1"/>
    <col min="5374" max="5374" width="23" customWidth="1"/>
    <col min="5375" max="5380" width="8.83203125" customWidth="1"/>
    <col min="5381" max="5381" width="14" customWidth="1"/>
    <col min="5382" max="5382" width="18.6640625" customWidth="1"/>
    <col min="5383" max="5383" width="9.6640625" customWidth="1"/>
    <col min="5384" max="5384" width="13.33203125" customWidth="1"/>
    <col min="5385" max="5385" width="10.6640625" customWidth="1"/>
    <col min="5386" max="5387" width="13.1640625" customWidth="1"/>
    <col min="5388" max="5388" width="10.6640625" customWidth="1"/>
    <col min="5389" max="5390" width="8.83203125" customWidth="1"/>
    <col min="5391" max="5391" width="12.5" bestFit="1" customWidth="1"/>
    <col min="5392" max="5396" width="8.83203125" customWidth="1"/>
    <col min="5397" max="5398" width="0" hidden="1" customWidth="1"/>
    <col min="5400" max="5400" width="10" bestFit="1" customWidth="1"/>
    <col min="5620" max="5620" width="17.1640625" customWidth="1"/>
    <col min="5621" max="5621" width="11.5" customWidth="1"/>
    <col min="5622" max="5622" width="8.5" bestFit="1" customWidth="1"/>
    <col min="5623" max="5624" width="10.33203125" bestFit="1" customWidth="1"/>
    <col min="5625" max="5625" width="14.33203125" customWidth="1"/>
    <col min="5626" max="5626" width="10.6640625" customWidth="1"/>
    <col min="5627" max="5627" width="14.5" customWidth="1"/>
    <col min="5628" max="5628" width="19.5" bestFit="1" customWidth="1"/>
    <col min="5629" max="5629" width="21.83203125" bestFit="1" customWidth="1"/>
    <col min="5630" max="5630" width="23" customWidth="1"/>
    <col min="5631" max="5636" width="8.83203125" customWidth="1"/>
    <col min="5637" max="5637" width="14" customWidth="1"/>
    <col min="5638" max="5638" width="18.6640625" customWidth="1"/>
    <col min="5639" max="5639" width="9.6640625" customWidth="1"/>
    <col min="5640" max="5640" width="13.33203125" customWidth="1"/>
    <col min="5641" max="5641" width="10.6640625" customWidth="1"/>
    <col min="5642" max="5643" width="13.1640625" customWidth="1"/>
    <col min="5644" max="5644" width="10.6640625" customWidth="1"/>
    <col min="5645" max="5646" width="8.83203125" customWidth="1"/>
    <col min="5647" max="5647" width="12.5" bestFit="1" customWidth="1"/>
    <col min="5648" max="5652" width="8.83203125" customWidth="1"/>
    <col min="5653" max="5654" width="0" hidden="1" customWidth="1"/>
    <col min="5656" max="5656" width="10" bestFit="1" customWidth="1"/>
    <col min="5876" max="5876" width="17.1640625" customWidth="1"/>
    <col min="5877" max="5877" width="11.5" customWidth="1"/>
    <col min="5878" max="5878" width="8.5" bestFit="1" customWidth="1"/>
    <col min="5879" max="5880" width="10.33203125" bestFit="1" customWidth="1"/>
    <col min="5881" max="5881" width="14.33203125" customWidth="1"/>
    <col min="5882" max="5882" width="10.6640625" customWidth="1"/>
    <col min="5883" max="5883" width="14.5" customWidth="1"/>
    <col min="5884" max="5884" width="19.5" bestFit="1" customWidth="1"/>
    <col min="5885" max="5885" width="21.83203125" bestFit="1" customWidth="1"/>
    <col min="5886" max="5886" width="23" customWidth="1"/>
    <col min="5887" max="5892" width="8.83203125" customWidth="1"/>
    <col min="5893" max="5893" width="14" customWidth="1"/>
    <col min="5894" max="5894" width="18.6640625" customWidth="1"/>
    <col min="5895" max="5895" width="9.6640625" customWidth="1"/>
    <col min="5896" max="5896" width="13.33203125" customWidth="1"/>
    <col min="5897" max="5897" width="10.6640625" customWidth="1"/>
    <col min="5898" max="5899" width="13.1640625" customWidth="1"/>
    <col min="5900" max="5900" width="10.6640625" customWidth="1"/>
    <col min="5901" max="5902" width="8.83203125" customWidth="1"/>
    <col min="5903" max="5903" width="12.5" bestFit="1" customWidth="1"/>
    <col min="5904" max="5908" width="8.83203125" customWidth="1"/>
    <col min="5909" max="5910" width="0" hidden="1" customWidth="1"/>
    <col min="5912" max="5912" width="10" bestFit="1" customWidth="1"/>
    <col min="6132" max="6132" width="17.1640625" customWidth="1"/>
    <col min="6133" max="6133" width="11.5" customWidth="1"/>
    <col min="6134" max="6134" width="8.5" bestFit="1" customWidth="1"/>
    <col min="6135" max="6136" width="10.33203125" bestFit="1" customWidth="1"/>
    <col min="6137" max="6137" width="14.33203125" customWidth="1"/>
    <col min="6138" max="6138" width="10.6640625" customWidth="1"/>
    <col min="6139" max="6139" width="14.5" customWidth="1"/>
    <col min="6140" max="6140" width="19.5" bestFit="1" customWidth="1"/>
    <col min="6141" max="6141" width="21.83203125" bestFit="1" customWidth="1"/>
    <col min="6142" max="6142" width="23" customWidth="1"/>
    <col min="6143" max="6148" width="8.83203125" customWidth="1"/>
    <col min="6149" max="6149" width="14" customWidth="1"/>
    <col min="6150" max="6150" width="18.6640625" customWidth="1"/>
    <col min="6151" max="6151" width="9.6640625" customWidth="1"/>
    <col min="6152" max="6152" width="13.33203125" customWidth="1"/>
    <col min="6153" max="6153" width="10.6640625" customWidth="1"/>
    <col min="6154" max="6155" width="13.1640625" customWidth="1"/>
    <col min="6156" max="6156" width="10.6640625" customWidth="1"/>
    <col min="6157" max="6158" width="8.83203125" customWidth="1"/>
    <col min="6159" max="6159" width="12.5" bestFit="1" customWidth="1"/>
    <col min="6160" max="6164" width="8.83203125" customWidth="1"/>
    <col min="6165" max="6166" width="0" hidden="1" customWidth="1"/>
    <col min="6168" max="6168" width="10" bestFit="1" customWidth="1"/>
    <col min="6388" max="6388" width="17.1640625" customWidth="1"/>
    <col min="6389" max="6389" width="11.5" customWidth="1"/>
    <col min="6390" max="6390" width="8.5" bestFit="1" customWidth="1"/>
    <col min="6391" max="6392" width="10.33203125" bestFit="1" customWidth="1"/>
    <col min="6393" max="6393" width="14.33203125" customWidth="1"/>
    <col min="6394" max="6394" width="10.6640625" customWidth="1"/>
    <col min="6395" max="6395" width="14.5" customWidth="1"/>
    <col min="6396" max="6396" width="19.5" bestFit="1" customWidth="1"/>
    <col min="6397" max="6397" width="21.83203125" bestFit="1" customWidth="1"/>
    <col min="6398" max="6398" width="23" customWidth="1"/>
    <col min="6399" max="6404" width="8.83203125" customWidth="1"/>
    <col min="6405" max="6405" width="14" customWidth="1"/>
    <col min="6406" max="6406" width="18.6640625" customWidth="1"/>
    <col min="6407" max="6407" width="9.6640625" customWidth="1"/>
    <col min="6408" max="6408" width="13.33203125" customWidth="1"/>
    <col min="6409" max="6409" width="10.6640625" customWidth="1"/>
    <col min="6410" max="6411" width="13.1640625" customWidth="1"/>
    <col min="6412" max="6412" width="10.6640625" customWidth="1"/>
    <col min="6413" max="6414" width="8.83203125" customWidth="1"/>
    <col min="6415" max="6415" width="12.5" bestFit="1" customWidth="1"/>
    <col min="6416" max="6420" width="8.83203125" customWidth="1"/>
    <col min="6421" max="6422" width="0" hidden="1" customWidth="1"/>
    <col min="6424" max="6424" width="10" bestFit="1" customWidth="1"/>
    <col min="6644" max="6644" width="17.1640625" customWidth="1"/>
    <col min="6645" max="6645" width="11.5" customWidth="1"/>
    <col min="6646" max="6646" width="8.5" bestFit="1" customWidth="1"/>
    <col min="6647" max="6648" width="10.33203125" bestFit="1" customWidth="1"/>
    <col min="6649" max="6649" width="14.33203125" customWidth="1"/>
    <col min="6650" max="6650" width="10.6640625" customWidth="1"/>
    <col min="6651" max="6651" width="14.5" customWidth="1"/>
    <col min="6652" max="6652" width="19.5" bestFit="1" customWidth="1"/>
    <col min="6653" max="6653" width="21.83203125" bestFit="1" customWidth="1"/>
    <col min="6654" max="6654" width="23" customWidth="1"/>
    <col min="6655" max="6660" width="8.83203125" customWidth="1"/>
    <col min="6661" max="6661" width="14" customWidth="1"/>
    <col min="6662" max="6662" width="18.6640625" customWidth="1"/>
    <col min="6663" max="6663" width="9.6640625" customWidth="1"/>
    <col min="6664" max="6664" width="13.33203125" customWidth="1"/>
    <col min="6665" max="6665" width="10.6640625" customWidth="1"/>
    <col min="6666" max="6667" width="13.1640625" customWidth="1"/>
    <col min="6668" max="6668" width="10.6640625" customWidth="1"/>
    <col min="6669" max="6670" width="8.83203125" customWidth="1"/>
    <col min="6671" max="6671" width="12.5" bestFit="1" customWidth="1"/>
    <col min="6672" max="6676" width="8.83203125" customWidth="1"/>
    <col min="6677" max="6678" width="0" hidden="1" customWidth="1"/>
    <col min="6680" max="6680" width="10" bestFit="1" customWidth="1"/>
    <col min="6900" max="6900" width="17.1640625" customWidth="1"/>
    <col min="6901" max="6901" width="11.5" customWidth="1"/>
    <col min="6902" max="6902" width="8.5" bestFit="1" customWidth="1"/>
    <col min="6903" max="6904" width="10.33203125" bestFit="1" customWidth="1"/>
    <col min="6905" max="6905" width="14.33203125" customWidth="1"/>
    <col min="6906" max="6906" width="10.6640625" customWidth="1"/>
    <col min="6907" max="6907" width="14.5" customWidth="1"/>
    <col min="6908" max="6908" width="19.5" bestFit="1" customWidth="1"/>
    <col min="6909" max="6909" width="21.83203125" bestFit="1" customWidth="1"/>
    <col min="6910" max="6910" width="23" customWidth="1"/>
    <col min="6911" max="6916" width="8.83203125" customWidth="1"/>
    <col min="6917" max="6917" width="14" customWidth="1"/>
    <col min="6918" max="6918" width="18.6640625" customWidth="1"/>
    <col min="6919" max="6919" width="9.6640625" customWidth="1"/>
    <col min="6920" max="6920" width="13.33203125" customWidth="1"/>
    <col min="6921" max="6921" width="10.6640625" customWidth="1"/>
    <col min="6922" max="6923" width="13.1640625" customWidth="1"/>
    <col min="6924" max="6924" width="10.6640625" customWidth="1"/>
    <col min="6925" max="6926" width="8.83203125" customWidth="1"/>
    <col min="6927" max="6927" width="12.5" bestFit="1" customWidth="1"/>
    <col min="6928" max="6932" width="8.83203125" customWidth="1"/>
    <col min="6933" max="6934" width="0" hidden="1" customWidth="1"/>
    <col min="6936" max="6936" width="10" bestFit="1" customWidth="1"/>
    <col min="7156" max="7156" width="17.1640625" customWidth="1"/>
    <col min="7157" max="7157" width="11.5" customWidth="1"/>
    <col min="7158" max="7158" width="8.5" bestFit="1" customWidth="1"/>
    <col min="7159" max="7160" width="10.33203125" bestFit="1" customWidth="1"/>
    <col min="7161" max="7161" width="14.33203125" customWidth="1"/>
    <col min="7162" max="7162" width="10.6640625" customWidth="1"/>
    <col min="7163" max="7163" width="14.5" customWidth="1"/>
    <col min="7164" max="7164" width="19.5" bestFit="1" customWidth="1"/>
    <col min="7165" max="7165" width="21.83203125" bestFit="1" customWidth="1"/>
    <col min="7166" max="7166" width="23" customWidth="1"/>
    <col min="7167" max="7172" width="8.83203125" customWidth="1"/>
    <col min="7173" max="7173" width="14" customWidth="1"/>
    <col min="7174" max="7174" width="18.6640625" customWidth="1"/>
    <col min="7175" max="7175" width="9.6640625" customWidth="1"/>
    <col min="7176" max="7176" width="13.33203125" customWidth="1"/>
    <col min="7177" max="7177" width="10.6640625" customWidth="1"/>
    <col min="7178" max="7179" width="13.1640625" customWidth="1"/>
    <col min="7180" max="7180" width="10.6640625" customWidth="1"/>
    <col min="7181" max="7182" width="8.83203125" customWidth="1"/>
    <col min="7183" max="7183" width="12.5" bestFit="1" customWidth="1"/>
    <col min="7184" max="7188" width="8.83203125" customWidth="1"/>
    <col min="7189" max="7190" width="0" hidden="1" customWidth="1"/>
    <col min="7192" max="7192" width="10" bestFit="1" customWidth="1"/>
    <col min="7412" max="7412" width="17.1640625" customWidth="1"/>
    <col min="7413" max="7413" width="11.5" customWidth="1"/>
    <col min="7414" max="7414" width="8.5" bestFit="1" customWidth="1"/>
    <col min="7415" max="7416" width="10.33203125" bestFit="1" customWidth="1"/>
    <col min="7417" max="7417" width="14.33203125" customWidth="1"/>
    <col min="7418" max="7418" width="10.6640625" customWidth="1"/>
    <col min="7419" max="7419" width="14.5" customWidth="1"/>
    <col min="7420" max="7420" width="19.5" bestFit="1" customWidth="1"/>
    <col min="7421" max="7421" width="21.83203125" bestFit="1" customWidth="1"/>
    <col min="7422" max="7422" width="23" customWidth="1"/>
    <col min="7423" max="7428" width="8.83203125" customWidth="1"/>
    <col min="7429" max="7429" width="14" customWidth="1"/>
    <col min="7430" max="7430" width="18.6640625" customWidth="1"/>
    <col min="7431" max="7431" width="9.6640625" customWidth="1"/>
    <col min="7432" max="7432" width="13.33203125" customWidth="1"/>
    <col min="7433" max="7433" width="10.6640625" customWidth="1"/>
    <col min="7434" max="7435" width="13.1640625" customWidth="1"/>
    <col min="7436" max="7436" width="10.6640625" customWidth="1"/>
    <col min="7437" max="7438" width="8.83203125" customWidth="1"/>
    <col min="7439" max="7439" width="12.5" bestFit="1" customWidth="1"/>
    <col min="7440" max="7444" width="8.83203125" customWidth="1"/>
    <col min="7445" max="7446" width="0" hidden="1" customWidth="1"/>
    <col min="7448" max="7448" width="10" bestFit="1" customWidth="1"/>
    <col min="7668" max="7668" width="17.1640625" customWidth="1"/>
    <col min="7669" max="7669" width="11.5" customWidth="1"/>
    <col min="7670" max="7670" width="8.5" bestFit="1" customWidth="1"/>
    <col min="7671" max="7672" width="10.33203125" bestFit="1" customWidth="1"/>
    <col min="7673" max="7673" width="14.33203125" customWidth="1"/>
    <col min="7674" max="7674" width="10.6640625" customWidth="1"/>
    <col min="7675" max="7675" width="14.5" customWidth="1"/>
    <col min="7676" max="7676" width="19.5" bestFit="1" customWidth="1"/>
    <col min="7677" max="7677" width="21.83203125" bestFit="1" customWidth="1"/>
    <col min="7678" max="7678" width="23" customWidth="1"/>
    <col min="7679" max="7684" width="8.83203125" customWidth="1"/>
    <col min="7685" max="7685" width="14" customWidth="1"/>
    <col min="7686" max="7686" width="18.6640625" customWidth="1"/>
    <col min="7687" max="7687" width="9.6640625" customWidth="1"/>
    <col min="7688" max="7688" width="13.33203125" customWidth="1"/>
    <col min="7689" max="7689" width="10.6640625" customWidth="1"/>
    <col min="7690" max="7691" width="13.1640625" customWidth="1"/>
    <col min="7692" max="7692" width="10.6640625" customWidth="1"/>
    <col min="7693" max="7694" width="8.83203125" customWidth="1"/>
    <col min="7695" max="7695" width="12.5" bestFit="1" customWidth="1"/>
    <col min="7696" max="7700" width="8.83203125" customWidth="1"/>
    <col min="7701" max="7702" width="0" hidden="1" customWidth="1"/>
    <col min="7704" max="7704" width="10" bestFit="1" customWidth="1"/>
    <col min="7924" max="7924" width="17.1640625" customWidth="1"/>
    <col min="7925" max="7925" width="11.5" customWidth="1"/>
    <col min="7926" max="7926" width="8.5" bestFit="1" customWidth="1"/>
    <col min="7927" max="7928" width="10.33203125" bestFit="1" customWidth="1"/>
    <col min="7929" max="7929" width="14.33203125" customWidth="1"/>
    <col min="7930" max="7930" width="10.6640625" customWidth="1"/>
    <col min="7931" max="7931" width="14.5" customWidth="1"/>
    <col min="7932" max="7932" width="19.5" bestFit="1" customWidth="1"/>
    <col min="7933" max="7933" width="21.83203125" bestFit="1" customWidth="1"/>
    <col min="7934" max="7934" width="23" customWidth="1"/>
    <col min="7935" max="7940" width="8.83203125" customWidth="1"/>
    <col min="7941" max="7941" width="14" customWidth="1"/>
    <col min="7942" max="7942" width="18.6640625" customWidth="1"/>
    <col min="7943" max="7943" width="9.6640625" customWidth="1"/>
    <col min="7944" max="7944" width="13.33203125" customWidth="1"/>
    <col min="7945" max="7945" width="10.6640625" customWidth="1"/>
    <col min="7946" max="7947" width="13.1640625" customWidth="1"/>
    <col min="7948" max="7948" width="10.6640625" customWidth="1"/>
    <col min="7949" max="7950" width="8.83203125" customWidth="1"/>
    <col min="7951" max="7951" width="12.5" bestFit="1" customWidth="1"/>
    <col min="7952" max="7956" width="8.83203125" customWidth="1"/>
    <col min="7957" max="7958" width="0" hidden="1" customWidth="1"/>
    <col min="7960" max="7960" width="10" bestFit="1" customWidth="1"/>
    <col min="8180" max="8180" width="17.1640625" customWidth="1"/>
    <col min="8181" max="8181" width="11.5" customWidth="1"/>
    <col min="8182" max="8182" width="8.5" bestFit="1" customWidth="1"/>
    <col min="8183" max="8184" width="10.33203125" bestFit="1" customWidth="1"/>
    <col min="8185" max="8185" width="14.33203125" customWidth="1"/>
    <col min="8186" max="8186" width="10.6640625" customWidth="1"/>
    <col min="8187" max="8187" width="14.5" customWidth="1"/>
    <col min="8188" max="8188" width="19.5" bestFit="1" customWidth="1"/>
    <col min="8189" max="8189" width="21.83203125" bestFit="1" customWidth="1"/>
    <col min="8190" max="8190" width="23" customWidth="1"/>
    <col min="8191" max="8196" width="8.83203125" customWidth="1"/>
    <col min="8197" max="8197" width="14" customWidth="1"/>
    <col min="8198" max="8198" width="18.6640625" customWidth="1"/>
    <col min="8199" max="8199" width="9.6640625" customWidth="1"/>
    <col min="8200" max="8200" width="13.33203125" customWidth="1"/>
    <col min="8201" max="8201" width="10.6640625" customWidth="1"/>
    <col min="8202" max="8203" width="13.1640625" customWidth="1"/>
    <col min="8204" max="8204" width="10.6640625" customWidth="1"/>
    <col min="8205" max="8206" width="8.83203125" customWidth="1"/>
    <col min="8207" max="8207" width="12.5" bestFit="1" customWidth="1"/>
    <col min="8208" max="8212" width="8.83203125" customWidth="1"/>
    <col min="8213" max="8214" width="0" hidden="1" customWidth="1"/>
    <col min="8216" max="8216" width="10" bestFit="1" customWidth="1"/>
    <col min="8436" max="8436" width="17.1640625" customWidth="1"/>
    <col min="8437" max="8437" width="11.5" customWidth="1"/>
    <col min="8438" max="8438" width="8.5" bestFit="1" customWidth="1"/>
    <col min="8439" max="8440" width="10.33203125" bestFit="1" customWidth="1"/>
    <col min="8441" max="8441" width="14.33203125" customWidth="1"/>
    <col min="8442" max="8442" width="10.6640625" customWidth="1"/>
    <col min="8443" max="8443" width="14.5" customWidth="1"/>
    <col min="8444" max="8444" width="19.5" bestFit="1" customWidth="1"/>
    <col min="8445" max="8445" width="21.83203125" bestFit="1" customWidth="1"/>
    <col min="8446" max="8446" width="23" customWidth="1"/>
    <col min="8447" max="8452" width="8.83203125" customWidth="1"/>
    <col min="8453" max="8453" width="14" customWidth="1"/>
    <col min="8454" max="8454" width="18.6640625" customWidth="1"/>
    <col min="8455" max="8455" width="9.6640625" customWidth="1"/>
    <col min="8456" max="8456" width="13.33203125" customWidth="1"/>
    <col min="8457" max="8457" width="10.6640625" customWidth="1"/>
    <col min="8458" max="8459" width="13.1640625" customWidth="1"/>
    <col min="8460" max="8460" width="10.6640625" customWidth="1"/>
    <col min="8461" max="8462" width="8.83203125" customWidth="1"/>
    <col min="8463" max="8463" width="12.5" bestFit="1" customWidth="1"/>
    <col min="8464" max="8468" width="8.83203125" customWidth="1"/>
    <col min="8469" max="8470" width="0" hidden="1" customWidth="1"/>
    <col min="8472" max="8472" width="10" bestFit="1" customWidth="1"/>
    <col min="8692" max="8692" width="17.1640625" customWidth="1"/>
    <col min="8693" max="8693" width="11.5" customWidth="1"/>
    <col min="8694" max="8694" width="8.5" bestFit="1" customWidth="1"/>
    <col min="8695" max="8696" width="10.33203125" bestFit="1" customWidth="1"/>
    <col min="8697" max="8697" width="14.33203125" customWidth="1"/>
    <col min="8698" max="8698" width="10.6640625" customWidth="1"/>
    <col min="8699" max="8699" width="14.5" customWidth="1"/>
    <col min="8700" max="8700" width="19.5" bestFit="1" customWidth="1"/>
    <col min="8701" max="8701" width="21.83203125" bestFit="1" customWidth="1"/>
    <col min="8702" max="8702" width="23" customWidth="1"/>
    <col min="8703" max="8708" width="8.83203125" customWidth="1"/>
    <col min="8709" max="8709" width="14" customWidth="1"/>
    <col min="8710" max="8710" width="18.6640625" customWidth="1"/>
    <col min="8711" max="8711" width="9.6640625" customWidth="1"/>
    <col min="8712" max="8712" width="13.33203125" customWidth="1"/>
    <col min="8713" max="8713" width="10.6640625" customWidth="1"/>
    <col min="8714" max="8715" width="13.1640625" customWidth="1"/>
    <col min="8716" max="8716" width="10.6640625" customWidth="1"/>
    <col min="8717" max="8718" width="8.83203125" customWidth="1"/>
    <col min="8719" max="8719" width="12.5" bestFit="1" customWidth="1"/>
    <col min="8720" max="8724" width="8.83203125" customWidth="1"/>
    <col min="8725" max="8726" width="0" hidden="1" customWidth="1"/>
    <col min="8728" max="8728" width="10" bestFit="1" customWidth="1"/>
    <col min="8948" max="8948" width="17.1640625" customWidth="1"/>
    <col min="8949" max="8949" width="11.5" customWidth="1"/>
    <col min="8950" max="8950" width="8.5" bestFit="1" customWidth="1"/>
    <col min="8951" max="8952" width="10.33203125" bestFit="1" customWidth="1"/>
    <col min="8953" max="8953" width="14.33203125" customWidth="1"/>
    <col min="8954" max="8954" width="10.6640625" customWidth="1"/>
    <col min="8955" max="8955" width="14.5" customWidth="1"/>
    <col min="8956" max="8956" width="19.5" bestFit="1" customWidth="1"/>
    <col min="8957" max="8957" width="21.83203125" bestFit="1" customWidth="1"/>
    <col min="8958" max="8958" width="23" customWidth="1"/>
    <col min="8959" max="8964" width="8.83203125" customWidth="1"/>
    <col min="8965" max="8965" width="14" customWidth="1"/>
    <col min="8966" max="8966" width="18.6640625" customWidth="1"/>
    <col min="8967" max="8967" width="9.6640625" customWidth="1"/>
    <col min="8968" max="8968" width="13.33203125" customWidth="1"/>
    <col min="8969" max="8969" width="10.6640625" customWidth="1"/>
    <col min="8970" max="8971" width="13.1640625" customWidth="1"/>
    <col min="8972" max="8972" width="10.6640625" customWidth="1"/>
    <col min="8973" max="8974" width="8.83203125" customWidth="1"/>
    <col min="8975" max="8975" width="12.5" bestFit="1" customWidth="1"/>
    <col min="8976" max="8980" width="8.83203125" customWidth="1"/>
    <col min="8981" max="8982" width="0" hidden="1" customWidth="1"/>
    <col min="8984" max="8984" width="10" bestFit="1" customWidth="1"/>
    <col min="9204" max="9204" width="17.1640625" customWidth="1"/>
    <col min="9205" max="9205" width="11.5" customWidth="1"/>
    <col min="9206" max="9206" width="8.5" bestFit="1" customWidth="1"/>
    <col min="9207" max="9208" width="10.33203125" bestFit="1" customWidth="1"/>
    <col min="9209" max="9209" width="14.33203125" customWidth="1"/>
    <col min="9210" max="9210" width="10.6640625" customWidth="1"/>
    <col min="9211" max="9211" width="14.5" customWidth="1"/>
    <col min="9212" max="9212" width="19.5" bestFit="1" customWidth="1"/>
    <col min="9213" max="9213" width="21.83203125" bestFit="1" customWidth="1"/>
    <col min="9214" max="9214" width="23" customWidth="1"/>
    <col min="9215" max="9220" width="8.83203125" customWidth="1"/>
    <col min="9221" max="9221" width="14" customWidth="1"/>
    <col min="9222" max="9222" width="18.6640625" customWidth="1"/>
    <col min="9223" max="9223" width="9.6640625" customWidth="1"/>
    <col min="9224" max="9224" width="13.33203125" customWidth="1"/>
    <col min="9225" max="9225" width="10.6640625" customWidth="1"/>
    <col min="9226" max="9227" width="13.1640625" customWidth="1"/>
    <col min="9228" max="9228" width="10.6640625" customWidth="1"/>
    <col min="9229" max="9230" width="8.83203125" customWidth="1"/>
    <col min="9231" max="9231" width="12.5" bestFit="1" customWidth="1"/>
    <col min="9232" max="9236" width="8.83203125" customWidth="1"/>
    <col min="9237" max="9238" width="0" hidden="1" customWidth="1"/>
    <col min="9240" max="9240" width="10" bestFit="1" customWidth="1"/>
    <col min="9460" max="9460" width="17.1640625" customWidth="1"/>
    <col min="9461" max="9461" width="11.5" customWidth="1"/>
    <col min="9462" max="9462" width="8.5" bestFit="1" customWidth="1"/>
    <col min="9463" max="9464" width="10.33203125" bestFit="1" customWidth="1"/>
    <col min="9465" max="9465" width="14.33203125" customWidth="1"/>
    <col min="9466" max="9466" width="10.6640625" customWidth="1"/>
    <col min="9467" max="9467" width="14.5" customWidth="1"/>
    <col min="9468" max="9468" width="19.5" bestFit="1" customWidth="1"/>
    <col min="9469" max="9469" width="21.83203125" bestFit="1" customWidth="1"/>
    <col min="9470" max="9470" width="23" customWidth="1"/>
    <col min="9471" max="9476" width="8.83203125" customWidth="1"/>
    <col min="9477" max="9477" width="14" customWidth="1"/>
    <col min="9478" max="9478" width="18.6640625" customWidth="1"/>
    <col min="9479" max="9479" width="9.6640625" customWidth="1"/>
    <col min="9480" max="9480" width="13.33203125" customWidth="1"/>
    <col min="9481" max="9481" width="10.6640625" customWidth="1"/>
    <col min="9482" max="9483" width="13.1640625" customWidth="1"/>
    <col min="9484" max="9484" width="10.6640625" customWidth="1"/>
    <col min="9485" max="9486" width="8.83203125" customWidth="1"/>
    <col min="9487" max="9487" width="12.5" bestFit="1" customWidth="1"/>
    <col min="9488" max="9492" width="8.83203125" customWidth="1"/>
    <col min="9493" max="9494" width="0" hidden="1" customWidth="1"/>
    <col min="9496" max="9496" width="10" bestFit="1" customWidth="1"/>
    <col min="9716" max="9716" width="17.1640625" customWidth="1"/>
    <col min="9717" max="9717" width="11.5" customWidth="1"/>
    <col min="9718" max="9718" width="8.5" bestFit="1" customWidth="1"/>
    <col min="9719" max="9720" width="10.33203125" bestFit="1" customWidth="1"/>
    <col min="9721" max="9721" width="14.33203125" customWidth="1"/>
    <col min="9722" max="9722" width="10.6640625" customWidth="1"/>
    <col min="9723" max="9723" width="14.5" customWidth="1"/>
    <col min="9724" max="9724" width="19.5" bestFit="1" customWidth="1"/>
    <col min="9725" max="9725" width="21.83203125" bestFit="1" customWidth="1"/>
    <col min="9726" max="9726" width="23" customWidth="1"/>
    <col min="9727" max="9732" width="8.83203125" customWidth="1"/>
    <col min="9733" max="9733" width="14" customWidth="1"/>
    <col min="9734" max="9734" width="18.6640625" customWidth="1"/>
    <col min="9735" max="9735" width="9.6640625" customWidth="1"/>
    <col min="9736" max="9736" width="13.33203125" customWidth="1"/>
    <col min="9737" max="9737" width="10.6640625" customWidth="1"/>
    <col min="9738" max="9739" width="13.1640625" customWidth="1"/>
    <col min="9740" max="9740" width="10.6640625" customWidth="1"/>
    <col min="9741" max="9742" width="8.83203125" customWidth="1"/>
    <col min="9743" max="9743" width="12.5" bestFit="1" customWidth="1"/>
    <col min="9744" max="9748" width="8.83203125" customWidth="1"/>
    <col min="9749" max="9750" width="0" hidden="1" customWidth="1"/>
    <col min="9752" max="9752" width="10" bestFit="1" customWidth="1"/>
    <col min="9972" max="9972" width="17.1640625" customWidth="1"/>
    <col min="9973" max="9973" width="11.5" customWidth="1"/>
    <col min="9974" max="9974" width="8.5" bestFit="1" customWidth="1"/>
    <col min="9975" max="9976" width="10.33203125" bestFit="1" customWidth="1"/>
    <col min="9977" max="9977" width="14.33203125" customWidth="1"/>
    <col min="9978" max="9978" width="10.6640625" customWidth="1"/>
    <col min="9979" max="9979" width="14.5" customWidth="1"/>
    <col min="9980" max="9980" width="19.5" bestFit="1" customWidth="1"/>
    <col min="9981" max="9981" width="21.83203125" bestFit="1" customWidth="1"/>
    <col min="9982" max="9982" width="23" customWidth="1"/>
    <col min="9983" max="9988" width="8.83203125" customWidth="1"/>
    <col min="9989" max="9989" width="14" customWidth="1"/>
    <col min="9990" max="9990" width="18.6640625" customWidth="1"/>
    <col min="9991" max="9991" width="9.6640625" customWidth="1"/>
    <col min="9992" max="9992" width="13.33203125" customWidth="1"/>
    <col min="9993" max="9993" width="10.6640625" customWidth="1"/>
    <col min="9994" max="9995" width="13.1640625" customWidth="1"/>
    <col min="9996" max="9996" width="10.6640625" customWidth="1"/>
    <col min="9997" max="9998" width="8.83203125" customWidth="1"/>
    <col min="9999" max="9999" width="12.5" bestFit="1" customWidth="1"/>
    <col min="10000" max="10004" width="8.83203125" customWidth="1"/>
    <col min="10005" max="10006" width="0" hidden="1" customWidth="1"/>
    <col min="10008" max="10008" width="10" bestFit="1" customWidth="1"/>
    <col min="10228" max="10228" width="17.1640625" customWidth="1"/>
    <col min="10229" max="10229" width="11.5" customWidth="1"/>
    <col min="10230" max="10230" width="8.5" bestFit="1" customWidth="1"/>
    <col min="10231" max="10232" width="10.33203125" bestFit="1" customWidth="1"/>
    <col min="10233" max="10233" width="14.33203125" customWidth="1"/>
    <col min="10234" max="10234" width="10.6640625" customWidth="1"/>
    <col min="10235" max="10235" width="14.5" customWidth="1"/>
    <col min="10236" max="10236" width="19.5" bestFit="1" customWidth="1"/>
    <col min="10237" max="10237" width="21.83203125" bestFit="1" customWidth="1"/>
    <col min="10238" max="10238" width="23" customWidth="1"/>
    <col min="10239" max="10244" width="8.83203125" customWidth="1"/>
    <col min="10245" max="10245" width="14" customWidth="1"/>
    <col min="10246" max="10246" width="18.6640625" customWidth="1"/>
    <col min="10247" max="10247" width="9.6640625" customWidth="1"/>
    <col min="10248" max="10248" width="13.33203125" customWidth="1"/>
    <col min="10249" max="10249" width="10.6640625" customWidth="1"/>
    <col min="10250" max="10251" width="13.1640625" customWidth="1"/>
    <col min="10252" max="10252" width="10.6640625" customWidth="1"/>
    <col min="10253" max="10254" width="8.83203125" customWidth="1"/>
    <col min="10255" max="10255" width="12.5" bestFit="1" customWidth="1"/>
    <col min="10256" max="10260" width="8.83203125" customWidth="1"/>
    <col min="10261" max="10262" width="0" hidden="1" customWidth="1"/>
    <col min="10264" max="10264" width="10" bestFit="1" customWidth="1"/>
    <col min="10484" max="10484" width="17.1640625" customWidth="1"/>
    <col min="10485" max="10485" width="11.5" customWidth="1"/>
    <col min="10486" max="10486" width="8.5" bestFit="1" customWidth="1"/>
    <col min="10487" max="10488" width="10.33203125" bestFit="1" customWidth="1"/>
    <col min="10489" max="10489" width="14.33203125" customWidth="1"/>
    <col min="10490" max="10490" width="10.6640625" customWidth="1"/>
    <col min="10491" max="10491" width="14.5" customWidth="1"/>
    <col min="10492" max="10492" width="19.5" bestFit="1" customWidth="1"/>
    <col min="10493" max="10493" width="21.83203125" bestFit="1" customWidth="1"/>
    <col min="10494" max="10494" width="23" customWidth="1"/>
    <col min="10495" max="10500" width="8.83203125" customWidth="1"/>
    <col min="10501" max="10501" width="14" customWidth="1"/>
    <col min="10502" max="10502" width="18.6640625" customWidth="1"/>
    <col min="10503" max="10503" width="9.6640625" customWidth="1"/>
    <col min="10504" max="10504" width="13.33203125" customWidth="1"/>
    <col min="10505" max="10505" width="10.6640625" customWidth="1"/>
    <col min="10506" max="10507" width="13.1640625" customWidth="1"/>
    <col min="10508" max="10508" width="10.6640625" customWidth="1"/>
    <col min="10509" max="10510" width="8.83203125" customWidth="1"/>
    <col min="10511" max="10511" width="12.5" bestFit="1" customWidth="1"/>
    <col min="10512" max="10516" width="8.83203125" customWidth="1"/>
    <col min="10517" max="10518" width="0" hidden="1" customWidth="1"/>
    <col min="10520" max="10520" width="10" bestFit="1" customWidth="1"/>
    <col min="10740" max="10740" width="17.1640625" customWidth="1"/>
    <col min="10741" max="10741" width="11.5" customWidth="1"/>
    <col min="10742" max="10742" width="8.5" bestFit="1" customWidth="1"/>
    <col min="10743" max="10744" width="10.33203125" bestFit="1" customWidth="1"/>
    <col min="10745" max="10745" width="14.33203125" customWidth="1"/>
    <col min="10746" max="10746" width="10.6640625" customWidth="1"/>
    <col min="10747" max="10747" width="14.5" customWidth="1"/>
    <col min="10748" max="10748" width="19.5" bestFit="1" customWidth="1"/>
    <col min="10749" max="10749" width="21.83203125" bestFit="1" customWidth="1"/>
    <col min="10750" max="10750" width="23" customWidth="1"/>
    <col min="10751" max="10756" width="8.83203125" customWidth="1"/>
    <col min="10757" max="10757" width="14" customWidth="1"/>
    <col min="10758" max="10758" width="18.6640625" customWidth="1"/>
    <col min="10759" max="10759" width="9.6640625" customWidth="1"/>
    <col min="10760" max="10760" width="13.33203125" customWidth="1"/>
    <col min="10761" max="10761" width="10.6640625" customWidth="1"/>
    <col min="10762" max="10763" width="13.1640625" customWidth="1"/>
    <col min="10764" max="10764" width="10.6640625" customWidth="1"/>
    <col min="10765" max="10766" width="8.83203125" customWidth="1"/>
    <col min="10767" max="10767" width="12.5" bestFit="1" customWidth="1"/>
    <col min="10768" max="10772" width="8.83203125" customWidth="1"/>
    <col min="10773" max="10774" width="0" hidden="1" customWidth="1"/>
    <col min="10776" max="10776" width="10" bestFit="1" customWidth="1"/>
    <col min="10996" max="10996" width="17.1640625" customWidth="1"/>
    <col min="10997" max="10997" width="11.5" customWidth="1"/>
    <col min="10998" max="10998" width="8.5" bestFit="1" customWidth="1"/>
    <col min="10999" max="11000" width="10.33203125" bestFit="1" customWidth="1"/>
    <col min="11001" max="11001" width="14.33203125" customWidth="1"/>
    <col min="11002" max="11002" width="10.6640625" customWidth="1"/>
    <col min="11003" max="11003" width="14.5" customWidth="1"/>
    <col min="11004" max="11004" width="19.5" bestFit="1" customWidth="1"/>
    <col min="11005" max="11005" width="21.83203125" bestFit="1" customWidth="1"/>
    <col min="11006" max="11006" width="23" customWidth="1"/>
    <col min="11007" max="11012" width="8.83203125" customWidth="1"/>
    <col min="11013" max="11013" width="14" customWidth="1"/>
    <col min="11014" max="11014" width="18.6640625" customWidth="1"/>
    <col min="11015" max="11015" width="9.6640625" customWidth="1"/>
    <col min="11016" max="11016" width="13.33203125" customWidth="1"/>
    <col min="11017" max="11017" width="10.6640625" customWidth="1"/>
    <col min="11018" max="11019" width="13.1640625" customWidth="1"/>
    <col min="11020" max="11020" width="10.6640625" customWidth="1"/>
    <col min="11021" max="11022" width="8.83203125" customWidth="1"/>
    <col min="11023" max="11023" width="12.5" bestFit="1" customWidth="1"/>
    <col min="11024" max="11028" width="8.83203125" customWidth="1"/>
    <col min="11029" max="11030" width="0" hidden="1" customWidth="1"/>
    <col min="11032" max="11032" width="10" bestFit="1" customWidth="1"/>
    <col min="11252" max="11252" width="17.1640625" customWidth="1"/>
    <col min="11253" max="11253" width="11.5" customWidth="1"/>
    <col min="11254" max="11254" width="8.5" bestFit="1" customWidth="1"/>
    <col min="11255" max="11256" width="10.33203125" bestFit="1" customWidth="1"/>
    <col min="11257" max="11257" width="14.33203125" customWidth="1"/>
    <col min="11258" max="11258" width="10.6640625" customWidth="1"/>
    <col min="11259" max="11259" width="14.5" customWidth="1"/>
    <col min="11260" max="11260" width="19.5" bestFit="1" customWidth="1"/>
    <col min="11261" max="11261" width="21.83203125" bestFit="1" customWidth="1"/>
    <col min="11262" max="11262" width="23" customWidth="1"/>
    <col min="11263" max="11268" width="8.83203125" customWidth="1"/>
    <col min="11269" max="11269" width="14" customWidth="1"/>
    <col min="11270" max="11270" width="18.6640625" customWidth="1"/>
    <col min="11271" max="11271" width="9.6640625" customWidth="1"/>
    <col min="11272" max="11272" width="13.33203125" customWidth="1"/>
    <col min="11273" max="11273" width="10.6640625" customWidth="1"/>
    <col min="11274" max="11275" width="13.1640625" customWidth="1"/>
    <col min="11276" max="11276" width="10.6640625" customWidth="1"/>
    <col min="11277" max="11278" width="8.83203125" customWidth="1"/>
    <col min="11279" max="11279" width="12.5" bestFit="1" customWidth="1"/>
    <col min="11280" max="11284" width="8.83203125" customWidth="1"/>
    <col min="11285" max="11286" width="0" hidden="1" customWidth="1"/>
    <col min="11288" max="11288" width="10" bestFit="1" customWidth="1"/>
    <col min="11508" max="11508" width="17.1640625" customWidth="1"/>
    <col min="11509" max="11509" width="11.5" customWidth="1"/>
    <col min="11510" max="11510" width="8.5" bestFit="1" customWidth="1"/>
    <col min="11511" max="11512" width="10.33203125" bestFit="1" customWidth="1"/>
    <col min="11513" max="11513" width="14.33203125" customWidth="1"/>
    <col min="11514" max="11514" width="10.6640625" customWidth="1"/>
    <col min="11515" max="11515" width="14.5" customWidth="1"/>
    <col min="11516" max="11516" width="19.5" bestFit="1" customWidth="1"/>
    <col min="11517" max="11517" width="21.83203125" bestFit="1" customWidth="1"/>
    <col min="11518" max="11518" width="23" customWidth="1"/>
    <col min="11519" max="11524" width="8.83203125" customWidth="1"/>
    <col min="11525" max="11525" width="14" customWidth="1"/>
    <col min="11526" max="11526" width="18.6640625" customWidth="1"/>
    <col min="11527" max="11527" width="9.6640625" customWidth="1"/>
    <col min="11528" max="11528" width="13.33203125" customWidth="1"/>
    <col min="11529" max="11529" width="10.6640625" customWidth="1"/>
    <col min="11530" max="11531" width="13.1640625" customWidth="1"/>
    <col min="11532" max="11532" width="10.6640625" customWidth="1"/>
    <col min="11533" max="11534" width="8.83203125" customWidth="1"/>
    <col min="11535" max="11535" width="12.5" bestFit="1" customWidth="1"/>
    <col min="11536" max="11540" width="8.83203125" customWidth="1"/>
    <col min="11541" max="11542" width="0" hidden="1" customWidth="1"/>
    <col min="11544" max="11544" width="10" bestFit="1" customWidth="1"/>
    <col min="11764" max="11764" width="17.1640625" customWidth="1"/>
    <col min="11765" max="11765" width="11.5" customWidth="1"/>
    <col min="11766" max="11766" width="8.5" bestFit="1" customWidth="1"/>
    <col min="11767" max="11768" width="10.33203125" bestFit="1" customWidth="1"/>
    <col min="11769" max="11769" width="14.33203125" customWidth="1"/>
    <col min="11770" max="11770" width="10.6640625" customWidth="1"/>
    <col min="11771" max="11771" width="14.5" customWidth="1"/>
    <col min="11772" max="11772" width="19.5" bestFit="1" customWidth="1"/>
    <col min="11773" max="11773" width="21.83203125" bestFit="1" customWidth="1"/>
    <col min="11774" max="11774" width="23" customWidth="1"/>
    <col min="11775" max="11780" width="8.83203125" customWidth="1"/>
    <col min="11781" max="11781" width="14" customWidth="1"/>
    <col min="11782" max="11782" width="18.6640625" customWidth="1"/>
    <col min="11783" max="11783" width="9.6640625" customWidth="1"/>
    <col min="11784" max="11784" width="13.33203125" customWidth="1"/>
    <col min="11785" max="11785" width="10.6640625" customWidth="1"/>
    <col min="11786" max="11787" width="13.1640625" customWidth="1"/>
    <col min="11788" max="11788" width="10.6640625" customWidth="1"/>
    <col min="11789" max="11790" width="8.83203125" customWidth="1"/>
    <col min="11791" max="11791" width="12.5" bestFit="1" customWidth="1"/>
    <col min="11792" max="11796" width="8.83203125" customWidth="1"/>
    <col min="11797" max="11798" width="0" hidden="1" customWidth="1"/>
    <col min="11800" max="11800" width="10" bestFit="1" customWidth="1"/>
    <col min="12020" max="12020" width="17.1640625" customWidth="1"/>
    <col min="12021" max="12021" width="11.5" customWidth="1"/>
    <col min="12022" max="12022" width="8.5" bestFit="1" customWidth="1"/>
    <col min="12023" max="12024" width="10.33203125" bestFit="1" customWidth="1"/>
    <col min="12025" max="12025" width="14.33203125" customWidth="1"/>
    <col min="12026" max="12026" width="10.6640625" customWidth="1"/>
    <col min="12027" max="12027" width="14.5" customWidth="1"/>
    <col min="12028" max="12028" width="19.5" bestFit="1" customWidth="1"/>
    <col min="12029" max="12029" width="21.83203125" bestFit="1" customWidth="1"/>
    <col min="12030" max="12030" width="23" customWidth="1"/>
    <col min="12031" max="12036" width="8.83203125" customWidth="1"/>
    <col min="12037" max="12037" width="14" customWidth="1"/>
    <col min="12038" max="12038" width="18.6640625" customWidth="1"/>
    <col min="12039" max="12039" width="9.6640625" customWidth="1"/>
    <col min="12040" max="12040" width="13.33203125" customWidth="1"/>
    <col min="12041" max="12041" width="10.6640625" customWidth="1"/>
    <col min="12042" max="12043" width="13.1640625" customWidth="1"/>
    <col min="12044" max="12044" width="10.6640625" customWidth="1"/>
    <col min="12045" max="12046" width="8.83203125" customWidth="1"/>
    <col min="12047" max="12047" width="12.5" bestFit="1" customWidth="1"/>
    <col min="12048" max="12052" width="8.83203125" customWidth="1"/>
    <col min="12053" max="12054" width="0" hidden="1" customWidth="1"/>
    <col min="12056" max="12056" width="10" bestFit="1" customWidth="1"/>
    <col min="12276" max="12276" width="17.1640625" customWidth="1"/>
    <col min="12277" max="12277" width="11.5" customWidth="1"/>
    <col min="12278" max="12278" width="8.5" bestFit="1" customWidth="1"/>
    <col min="12279" max="12280" width="10.33203125" bestFit="1" customWidth="1"/>
    <col min="12281" max="12281" width="14.33203125" customWidth="1"/>
    <col min="12282" max="12282" width="10.6640625" customWidth="1"/>
    <col min="12283" max="12283" width="14.5" customWidth="1"/>
    <col min="12284" max="12284" width="19.5" bestFit="1" customWidth="1"/>
    <col min="12285" max="12285" width="21.83203125" bestFit="1" customWidth="1"/>
    <col min="12286" max="12286" width="23" customWidth="1"/>
    <col min="12287" max="12292" width="8.83203125" customWidth="1"/>
    <col min="12293" max="12293" width="14" customWidth="1"/>
    <col min="12294" max="12294" width="18.6640625" customWidth="1"/>
    <col min="12295" max="12295" width="9.6640625" customWidth="1"/>
    <col min="12296" max="12296" width="13.33203125" customWidth="1"/>
    <col min="12297" max="12297" width="10.6640625" customWidth="1"/>
    <col min="12298" max="12299" width="13.1640625" customWidth="1"/>
    <col min="12300" max="12300" width="10.6640625" customWidth="1"/>
    <col min="12301" max="12302" width="8.83203125" customWidth="1"/>
    <col min="12303" max="12303" width="12.5" bestFit="1" customWidth="1"/>
    <col min="12304" max="12308" width="8.83203125" customWidth="1"/>
    <col min="12309" max="12310" width="0" hidden="1" customWidth="1"/>
    <col min="12312" max="12312" width="10" bestFit="1" customWidth="1"/>
    <col min="12532" max="12532" width="17.1640625" customWidth="1"/>
    <col min="12533" max="12533" width="11.5" customWidth="1"/>
    <col min="12534" max="12534" width="8.5" bestFit="1" customWidth="1"/>
    <col min="12535" max="12536" width="10.33203125" bestFit="1" customWidth="1"/>
    <col min="12537" max="12537" width="14.33203125" customWidth="1"/>
    <col min="12538" max="12538" width="10.6640625" customWidth="1"/>
    <col min="12539" max="12539" width="14.5" customWidth="1"/>
    <col min="12540" max="12540" width="19.5" bestFit="1" customWidth="1"/>
    <col min="12541" max="12541" width="21.83203125" bestFit="1" customWidth="1"/>
    <col min="12542" max="12542" width="23" customWidth="1"/>
    <col min="12543" max="12548" width="8.83203125" customWidth="1"/>
    <col min="12549" max="12549" width="14" customWidth="1"/>
    <col min="12550" max="12550" width="18.6640625" customWidth="1"/>
    <col min="12551" max="12551" width="9.6640625" customWidth="1"/>
    <col min="12552" max="12552" width="13.33203125" customWidth="1"/>
    <col min="12553" max="12553" width="10.6640625" customWidth="1"/>
    <col min="12554" max="12555" width="13.1640625" customWidth="1"/>
    <col min="12556" max="12556" width="10.6640625" customWidth="1"/>
    <col min="12557" max="12558" width="8.83203125" customWidth="1"/>
    <col min="12559" max="12559" width="12.5" bestFit="1" customWidth="1"/>
    <col min="12560" max="12564" width="8.83203125" customWidth="1"/>
    <col min="12565" max="12566" width="0" hidden="1" customWidth="1"/>
    <col min="12568" max="12568" width="10" bestFit="1" customWidth="1"/>
    <col min="12788" max="12788" width="17.1640625" customWidth="1"/>
    <col min="12789" max="12789" width="11.5" customWidth="1"/>
    <col min="12790" max="12790" width="8.5" bestFit="1" customWidth="1"/>
    <col min="12791" max="12792" width="10.33203125" bestFit="1" customWidth="1"/>
    <col min="12793" max="12793" width="14.33203125" customWidth="1"/>
    <col min="12794" max="12794" width="10.6640625" customWidth="1"/>
    <col min="12795" max="12795" width="14.5" customWidth="1"/>
    <col min="12796" max="12796" width="19.5" bestFit="1" customWidth="1"/>
    <col min="12797" max="12797" width="21.83203125" bestFit="1" customWidth="1"/>
    <col min="12798" max="12798" width="23" customWidth="1"/>
    <col min="12799" max="12804" width="8.83203125" customWidth="1"/>
    <col min="12805" max="12805" width="14" customWidth="1"/>
    <col min="12806" max="12806" width="18.6640625" customWidth="1"/>
    <col min="12807" max="12807" width="9.6640625" customWidth="1"/>
    <col min="12808" max="12808" width="13.33203125" customWidth="1"/>
    <col min="12809" max="12809" width="10.6640625" customWidth="1"/>
    <col min="12810" max="12811" width="13.1640625" customWidth="1"/>
    <col min="12812" max="12812" width="10.6640625" customWidth="1"/>
    <col min="12813" max="12814" width="8.83203125" customWidth="1"/>
    <col min="12815" max="12815" width="12.5" bestFit="1" customWidth="1"/>
    <col min="12816" max="12820" width="8.83203125" customWidth="1"/>
    <col min="12821" max="12822" width="0" hidden="1" customWidth="1"/>
    <col min="12824" max="12824" width="10" bestFit="1" customWidth="1"/>
    <col min="13044" max="13044" width="17.1640625" customWidth="1"/>
    <col min="13045" max="13045" width="11.5" customWidth="1"/>
    <col min="13046" max="13046" width="8.5" bestFit="1" customWidth="1"/>
    <col min="13047" max="13048" width="10.33203125" bestFit="1" customWidth="1"/>
    <col min="13049" max="13049" width="14.33203125" customWidth="1"/>
    <col min="13050" max="13050" width="10.6640625" customWidth="1"/>
    <col min="13051" max="13051" width="14.5" customWidth="1"/>
    <col min="13052" max="13052" width="19.5" bestFit="1" customWidth="1"/>
    <col min="13053" max="13053" width="21.83203125" bestFit="1" customWidth="1"/>
    <col min="13054" max="13054" width="23" customWidth="1"/>
    <col min="13055" max="13060" width="8.83203125" customWidth="1"/>
    <col min="13061" max="13061" width="14" customWidth="1"/>
    <col min="13062" max="13062" width="18.6640625" customWidth="1"/>
    <col min="13063" max="13063" width="9.6640625" customWidth="1"/>
    <col min="13064" max="13064" width="13.33203125" customWidth="1"/>
    <col min="13065" max="13065" width="10.6640625" customWidth="1"/>
    <col min="13066" max="13067" width="13.1640625" customWidth="1"/>
    <col min="13068" max="13068" width="10.6640625" customWidth="1"/>
    <col min="13069" max="13070" width="8.83203125" customWidth="1"/>
    <col min="13071" max="13071" width="12.5" bestFit="1" customWidth="1"/>
    <col min="13072" max="13076" width="8.83203125" customWidth="1"/>
    <col min="13077" max="13078" width="0" hidden="1" customWidth="1"/>
    <col min="13080" max="13080" width="10" bestFit="1" customWidth="1"/>
    <col min="13300" max="13300" width="17.1640625" customWidth="1"/>
    <col min="13301" max="13301" width="11.5" customWidth="1"/>
    <col min="13302" max="13302" width="8.5" bestFit="1" customWidth="1"/>
    <col min="13303" max="13304" width="10.33203125" bestFit="1" customWidth="1"/>
    <col min="13305" max="13305" width="14.33203125" customWidth="1"/>
    <col min="13306" max="13306" width="10.6640625" customWidth="1"/>
    <col min="13307" max="13307" width="14.5" customWidth="1"/>
    <col min="13308" max="13308" width="19.5" bestFit="1" customWidth="1"/>
    <col min="13309" max="13309" width="21.83203125" bestFit="1" customWidth="1"/>
    <col min="13310" max="13310" width="23" customWidth="1"/>
    <col min="13311" max="13316" width="8.83203125" customWidth="1"/>
    <col min="13317" max="13317" width="14" customWidth="1"/>
    <col min="13318" max="13318" width="18.6640625" customWidth="1"/>
    <col min="13319" max="13319" width="9.6640625" customWidth="1"/>
    <col min="13320" max="13320" width="13.33203125" customWidth="1"/>
    <col min="13321" max="13321" width="10.6640625" customWidth="1"/>
    <col min="13322" max="13323" width="13.1640625" customWidth="1"/>
    <col min="13324" max="13324" width="10.6640625" customWidth="1"/>
    <col min="13325" max="13326" width="8.83203125" customWidth="1"/>
    <col min="13327" max="13327" width="12.5" bestFit="1" customWidth="1"/>
    <col min="13328" max="13332" width="8.83203125" customWidth="1"/>
    <col min="13333" max="13334" width="0" hidden="1" customWidth="1"/>
    <col min="13336" max="13336" width="10" bestFit="1" customWidth="1"/>
    <col min="13556" max="13556" width="17.1640625" customWidth="1"/>
    <col min="13557" max="13557" width="11.5" customWidth="1"/>
    <col min="13558" max="13558" width="8.5" bestFit="1" customWidth="1"/>
    <col min="13559" max="13560" width="10.33203125" bestFit="1" customWidth="1"/>
    <col min="13561" max="13561" width="14.33203125" customWidth="1"/>
    <col min="13562" max="13562" width="10.6640625" customWidth="1"/>
    <col min="13563" max="13563" width="14.5" customWidth="1"/>
    <col min="13564" max="13564" width="19.5" bestFit="1" customWidth="1"/>
    <col min="13565" max="13565" width="21.83203125" bestFit="1" customWidth="1"/>
    <col min="13566" max="13566" width="23" customWidth="1"/>
    <col min="13567" max="13572" width="8.83203125" customWidth="1"/>
    <col min="13573" max="13573" width="14" customWidth="1"/>
    <col min="13574" max="13574" width="18.6640625" customWidth="1"/>
    <col min="13575" max="13575" width="9.6640625" customWidth="1"/>
    <col min="13576" max="13576" width="13.33203125" customWidth="1"/>
    <col min="13577" max="13577" width="10.6640625" customWidth="1"/>
    <col min="13578" max="13579" width="13.1640625" customWidth="1"/>
    <col min="13580" max="13580" width="10.6640625" customWidth="1"/>
    <col min="13581" max="13582" width="8.83203125" customWidth="1"/>
    <col min="13583" max="13583" width="12.5" bestFit="1" customWidth="1"/>
    <col min="13584" max="13588" width="8.83203125" customWidth="1"/>
    <col min="13589" max="13590" width="0" hidden="1" customWidth="1"/>
    <col min="13592" max="13592" width="10" bestFit="1" customWidth="1"/>
    <col min="13812" max="13812" width="17.1640625" customWidth="1"/>
    <col min="13813" max="13813" width="11.5" customWidth="1"/>
    <col min="13814" max="13814" width="8.5" bestFit="1" customWidth="1"/>
    <col min="13815" max="13816" width="10.33203125" bestFit="1" customWidth="1"/>
    <col min="13817" max="13817" width="14.33203125" customWidth="1"/>
    <col min="13818" max="13818" width="10.6640625" customWidth="1"/>
    <col min="13819" max="13819" width="14.5" customWidth="1"/>
    <col min="13820" max="13820" width="19.5" bestFit="1" customWidth="1"/>
    <col min="13821" max="13821" width="21.83203125" bestFit="1" customWidth="1"/>
    <col min="13822" max="13822" width="23" customWidth="1"/>
    <col min="13823" max="13828" width="8.83203125" customWidth="1"/>
    <col min="13829" max="13829" width="14" customWidth="1"/>
    <col min="13830" max="13830" width="18.6640625" customWidth="1"/>
    <col min="13831" max="13831" width="9.6640625" customWidth="1"/>
    <col min="13832" max="13832" width="13.33203125" customWidth="1"/>
    <col min="13833" max="13833" width="10.6640625" customWidth="1"/>
    <col min="13834" max="13835" width="13.1640625" customWidth="1"/>
    <col min="13836" max="13836" width="10.6640625" customWidth="1"/>
    <col min="13837" max="13838" width="8.83203125" customWidth="1"/>
    <col min="13839" max="13839" width="12.5" bestFit="1" customWidth="1"/>
    <col min="13840" max="13844" width="8.83203125" customWidth="1"/>
    <col min="13845" max="13846" width="0" hidden="1" customWidth="1"/>
    <col min="13848" max="13848" width="10" bestFit="1" customWidth="1"/>
    <col min="14068" max="14068" width="17.1640625" customWidth="1"/>
    <col min="14069" max="14069" width="11.5" customWidth="1"/>
    <col min="14070" max="14070" width="8.5" bestFit="1" customWidth="1"/>
    <col min="14071" max="14072" width="10.33203125" bestFit="1" customWidth="1"/>
    <col min="14073" max="14073" width="14.33203125" customWidth="1"/>
    <col min="14074" max="14074" width="10.6640625" customWidth="1"/>
    <col min="14075" max="14075" width="14.5" customWidth="1"/>
    <col min="14076" max="14076" width="19.5" bestFit="1" customWidth="1"/>
    <col min="14077" max="14077" width="21.83203125" bestFit="1" customWidth="1"/>
    <col min="14078" max="14078" width="23" customWidth="1"/>
    <col min="14079" max="14084" width="8.83203125" customWidth="1"/>
    <col min="14085" max="14085" width="14" customWidth="1"/>
    <col min="14086" max="14086" width="18.6640625" customWidth="1"/>
    <col min="14087" max="14087" width="9.6640625" customWidth="1"/>
    <col min="14088" max="14088" width="13.33203125" customWidth="1"/>
    <col min="14089" max="14089" width="10.6640625" customWidth="1"/>
    <col min="14090" max="14091" width="13.1640625" customWidth="1"/>
    <col min="14092" max="14092" width="10.6640625" customWidth="1"/>
    <col min="14093" max="14094" width="8.83203125" customWidth="1"/>
    <col min="14095" max="14095" width="12.5" bestFit="1" customWidth="1"/>
    <col min="14096" max="14100" width="8.83203125" customWidth="1"/>
    <col min="14101" max="14102" width="0" hidden="1" customWidth="1"/>
    <col min="14104" max="14104" width="10" bestFit="1" customWidth="1"/>
    <col min="14324" max="14324" width="17.1640625" customWidth="1"/>
    <col min="14325" max="14325" width="11.5" customWidth="1"/>
    <col min="14326" max="14326" width="8.5" bestFit="1" customWidth="1"/>
    <col min="14327" max="14328" width="10.33203125" bestFit="1" customWidth="1"/>
    <col min="14329" max="14329" width="14.33203125" customWidth="1"/>
    <col min="14330" max="14330" width="10.6640625" customWidth="1"/>
    <col min="14331" max="14331" width="14.5" customWidth="1"/>
    <col min="14332" max="14332" width="19.5" bestFit="1" customWidth="1"/>
    <col min="14333" max="14333" width="21.83203125" bestFit="1" customWidth="1"/>
    <col min="14334" max="14334" width="23" customWidth="1"/>
    <col min="14335" max="14340" width="8.83203125" customWidth="1"/>
    <col min="14341" max="14341" width="14" customWidth="1"/>
    <col min="14342" max="14342" width="18.6640625" customWidth="1"/>
    <col min="14343" max="14343" width="9.6640625" customWidth="1"/>
    <col min="14344" max="14344" width="13.33203125" customWidth="1"/>
    <col min="14345" max="14345" width="10.6640625" customWidth="1"/>
    <col min="14346" max="14347" width="13.1640625" customWidth="1"/>
    <col min="14348" max="14348" width="10.6640625" customWidth="1"/>
    <col min="14349" max="14350" width="8.83203125" customWidth="1"/>
    <col min="14351" max="14351" width="12.5" bestFit="1" customWidth="1"/>
    <col min="14352" max="14356" width="8.83203125" customWidth="1"/>
    <col min="14357" max="14358" width="0" hidden="1" customWidth="1"/>
    <col min="14360" max="14360" width="10" bestFit="1" customWidth="1"/>
    <col min="14580" max="14580" width="17.1640625" customWidth="1"/>
    <col min="14581" max="14581" width="11.5" customWidth="1"/>
    <col min="14582" max="14582" width="8.5" bestFit="1" customWidth="1"/>
    <col min="14583" max="14584" width="10.33203125" bestFit="1" customWidth="1"/>
    <col min="14585" max="14585" width="14.33203125" customWidth="1"/>
    <col min="14586" max="14586" width="10.6640625" customWidth="1"/>
    <col min="14587" max="14587" width="14.5" customWidth="1"/>
    <col min="14588" max="14588" width="19.5" bestFit="1" customWidth="1"/>
    <col min="14589" max="14589" width="21.83203125" bestFit="1" customWidth="1"/>
    <col min="14590" max="14590" width="23" customWidth="1"/>
    <col min="14591" max="14596" width="8.83203125" customWidth="1"/>
    <col min="14597" max="14597" width="14" customWidth="1"/>
    <col min="14598" max="14598" width="18.6640625" customWidth="1"/>
    <col min="14599" max="14599" width="9.6640625" customWidth="1"/>
    <col min="14600" max="14600" width="13.33203125" customWidth="1"/>
    <col min="14601" max="14601" width="10.6640625" customWidth="1"/>
    <col min="14602" max="14603" width="13.1640625" customWidth="1"/>
    <col min="14604" max="14604" width="10.6640625" customWidth="1"/>
    <col min="14605" max="14606" width="8.83203125" customWidth="1"/>
    <col min="14607" max="14607" width="12.5" bestFit="1" customWidth="1"/>
    <col min="14608" max="14612" width="8.83203125" customWidth="1"/>
    <col min="14613" max="14614" width="0" hidden="1" customWidth="1"/>
    <col min="14616" max="14616" width="10" bestFit="1" customWidth="1"/>
    <col min="14836" max="14836" width="17.1640625" customWidth="1"/>
    <col min="14837" max="14837" width="11.5" customWidth="1"/>
    <col min="14838" max="14838" width="8.5" bestFit="1" customWidth="1"/>
    <col min="14839" max="14840" width="10.33203125" bestFit="1" customWidth="1"/>
    <col min="14841" max="14841" width="14.33203125" customWidth="1"/>
    <col min="14842" max="14842" width="10.6640625" customWidth="1"/>
    <col min="14843" max="14843" width="14.5" customWidth="1"/>
    <col min="14844" max="14844" width="19.5" bestFit="1" customWidth="1"/>
    <col min="14845" max="14845" width="21.83203125" bestFit="1" customWidth="1"/>
    <col min="14846" max="14846" width="23" customWidth="1"/>
    <col min="14847" max="14852" width="8.83203125" customWidth="1"/>
    <col min="14853" max="14853" width="14" customWidth="1"/>
    <col min="14854" max="14854" width="18.6640625" customWidth="1"/>
    <col min="14855" max="14855" width="9.6640625" customWidth="1"/>
    <col min="14856" max="14856" width="13.33203125" customWidth="1"/>
    <col min="14857" max="14857" width="10.6640625" customWidth="1"/>
    <col min="14858" max="14859" width="13.1640625" customWidth="1"/>
    <col min="14860" max="14860" width="10.6640625" customWidth="1"/>
    <col min="14861" max="14862" width="8.83203125" customWidth="1"/>
    <col min="14863" max="14863" width="12.5" bestFit="1" customWidth="1"/>
    <col min="14864" max="14868" width="8.83203125" customWidth="1"/>
    <col min="14869" max="14870" width="0" hidden="1" customWidth="1"/>
    <col min="14872" max="14872" width="10" bestFit="1" customWidth="1"/>
    <col min="15092" max="15092" width="17.1640625" customWidth="1"/>
    <col min="15093" max="15093" width="11.5" customWidth="1"/>
    <col min="15094" max="15094" width="8.5" bestFit="1" customWidth="1"/>
    <col min="15095" max="15096" width="10.33203125" bestFit="1" customWidth="1"/>
    <col min="15097" max="15097" width="14.33203125" customWidth="1"/>
    <col min="15098" max="15098" width="10.6640625" customWidth="1"/>
    <col min="15099" max="15099" width="14.5" customWidth="1"/>
    <col min="15100" max="15100" width="19.5" bestFit="1" customWidth="1"/>
    <col min="15101" max="15101" width="21.83203125" bestFit="1" customWidth="1"/>
    <col min="15102" max="15102" width="23" customWidth="1"/>
    <col min="15103" max="15108" width="8.83203125" customWidth="1"/>
    <col min="15109" max="15109" width="14" customWidth="1"/>
    <col min="15110" max="15110" width="18.6640625" customWidth="1"/>
    <col min="15111" max="15111" width="9.6640625" customWidth="1"/>
    <col min="15112" max="15112" width="13.33203125" customWidth="1"/>
    <col min="15113" max="15113" width="10.6640625" customWidth="1"/>
    <col min="15114" max="15115" width="13.1640625" customWidth="1"/>
    <col min="15116" max="15116" width="10.6640625" customWidth="1"/>
    <col min="15117" max="15118" width="8.83203125" customWidth="1"/>
    <col min="15119" max="15119" width="12.5" bestFit="1" customWidth="1"/>
    <col min="15120" max="15124" width="8.83203125" customWidth="1"/>
    <col min="15125" max="15126" width="0" hidden="1" customWidth="1"/>
    <col min="15128" max="15128" width="10" bestFit="1" customWidth="1"/>
    <col min="15348" max="15348" width="17.1640625" customWidth="1"/>
    <col min="15349" max="15349" width="11.5" customWidth="1"/>
    <col min="15350" max="15350" width="8.5" bestFit="1" customWidth="1"/>
    <col min="15351" max="15352" width="10.33203125" bestFit="1" customWidth="1"/>
    <col min="15353" max="15353" width="14.33203125" customWidth="1"/>
    <col min="15354" max="15354" width="10.6640625" customWidth="1"/>
    <col min="15355" max="15355" width="14.5" customWidth="1"/>
    <col min="15356" max="15356" width="19.5" bestFit="1" customWidth="1"/>
    <col min="15357" max="15357" width="21.83203125" bestFit="1" customWidth="1"/>
    <col min="15358" max="15358" width="23" customWidth="1"/>
    <col min="15359" max="15364" width="8.83203125" customWidth="1"/>
    <col min="15365" max="15365" width="14" customWidth="1"/>
    <col min="15366" max="15366" width="18.6640625" customWidth="1"/>
    <col min="15367" max="15367" width="9.6640625" customWidth="1"/>
    <col min="15368" max="15368" width="13.33203125" customWidth="1"/>
    <col min="15369" max="15369" width="10.6640625" customWidth="1"/>
    <col min="15370" max="15371" width="13.1640625" customWidth="1"/>
    <col min="15372" max="15372" width="10.6640625" customWidth="1"/>
    <col min="15373" max="15374" width="8.83203125" customWidth="1"/>
    <col min="15375" max="15375" width="12.5" bestFit="1" customWidth="1"/>
    <col min="15376" max="15380" width="8.83203125" customWidth="1"/>
    <col min="15381" max="15382" width="0" hidden="1" customWidth="1"/>
    <col min="15384" max="15384" width="10" bestFit="1" customWidth="1"/>
    <col min="15604" max="15604" width="17.1640625" customWidth="1"/>
    <col min="15605" max="15605" width="11.5" customWidth="1"/>
    <col min="15606" max="15606" width="8.5" bestFit="1" customWidth="1"/>
    <col min="15607" max="15608" width="10.33203125" bestFit="1" customWidth="1"/>
    <col min="15609" max="15609" width="14.33203125" customWidth="1"/>
    <col min="15610" max="15610" width="10.6640625" customWidth="1"/>
    <col min="15611" max="15611" width="14.5" customWidth="1"/>
    <col min="15612" max="15612" width="19.5" bestFit="1" customWidth="1"/>
    <col min="15613" max="15613" width="21.83203125" bestFit="1" customWidth="1"/>
    <col min="15614" max="15614" width="23" customWidth="1"/>
    <col min="15615" max="15620" width="8.83203125" customWidth="1"/>
    <col min="15621" max="15621" width="14" customWidth="1"/>
    <col min="15622" max="15622" width="18.6640625" customWidth="1"/>
    <col min="15623" max="15623" width="9.6640625" customWidth="1"/>
    <col min="15624" max="15624" width="13.33203125" customWidth="1"/>
    <col min="15625" max="15625" width="10.6640625" customWidth="1"/>
    <col min="15626" max="15627" width="13.1640625" customWidth="1"/>
    <col min="15628" max="15628" width="10.6640625" customWidth="1"/>
    <col min="15629" max="15630" width="8.83203125" customWidth="1"/>
    <col min="15631" max="15631" width="12.5" bestFit="1" customWidth="1"/>
    <col min="15632" max="15636" width="8.83203125" customWidth="1"/>
    <col min="15637" max="15638" width="0" hidden="1" customWidth="1"/>
    <col min="15640" max="15640" width="10" bestFit="1" customWidth="1"/>
    <col min="15860" max="15860" width="17.1640625" customWidth="1"/>
    <col min="15861" max="15861" width="11.5" customWidth="1"/>
    <col min="15862" max="15862" width="8.5" bestFit="1" customWidth="1"/>
    <col min="15863" max="15864" width="10.33203125" bestFit="1" customWidth="1"/>
    <col min="15865" max="15865" width="14.33203125" customWidth="1"/>
    <col min="15866" max="15866" width="10.6640625" customWidth="1"/>
    <col min="15867" max="15867" width="14.5" customWidth="1"/>
    <col min="15868" max="15868" width="19.5" bestFit="1" customWidth="1"/>
    <col min="15869" max="15869" width="21.83203125" bestFit="1" customWidth="1"/>
    <col min="15870" max="15870" width="23" customWidth="1"/>
    <col min="15871" max="15876" width="8.83203125" customWidth="1"/>
    <col min="15877" max="15877" width="14" customWidth="1"/>
    <col min="15878" max="15878" width="18.6640625" customWidth="1"/>
    <col min="15879" max="15879" width="9.6640625" customWidth="1"/>
    <col min="15880" max="15880" width="13.33203125" customWidth="1"/>
    <col min="15881" max="15881" width="10.6640625" customWidth="1"/>
    <col min="15882" max="15883" width="13.1640625" customWidth="1"/>
    <col min="15884" max="15884" width="10.6640625" customWidth="1"/>
    <col min="15885" max="15886" width="8.83203125" customWidth="1"/>
    <col min="15887" max="15887" width="12.5" bestFit="1" customWidth="1"/>
    <col min="15888" max="15892" width="8.83203125" customWidth="1"/>
    <col min="15893" max="15894" width="0" hidden="1" customWidth="1"/>
    <col min="15896" max="15896" width="10" bestFit="1" customWidth="1"/>
    <col min="16116" max="16116" width="17.1640625" customWidth="1"/>
    <col min="16117" max="16117" width="11.5" customWidth="1"/>
    <col min="16118" max="16118" width="8.5" bestFit="1" customWidth="1"/>
    <col min="16119" max="16120" width="10.33203125" bestFit="1" customWidth="1"/>
    <col min="16121" max="16121" width="14.33203125" customWidth="1"/>
    <col min="16122" max="16122" width="10.6640625" customWidth="1"/>
    <col min="16123" max="16123" width="14.5" customWidth="1"/>
    <col min="16124" max="16124" width="19.5" bestFit="1" customWidth="1"/>
    <col min="16125" max="16125" width="21.83203125" bestFit="1" customWidth="1"/>
    <col min="16126" max="16126" width="23" customWidth="1"/>
    <col min="16127" max="16132" width="8.83203125" customWidth="1"/>
    <col min="16133" max="16133" width="14" customWidth="1"/>
    <col min="16134" max="16134" width="18.6640625" customWidth="1"/>
    <col min="16135" max="16135" width="9.6640625" customWidth="1"/>
    <col min="16136" max="16136" width="13.33203125" customWidth="1"/>
    <col min="16137" max="16137" width="10.6640625" customWidth="1"/>
    <col min="16138" max="16139" width="13.1640625" customWidth="1"/>
    <col min="16140" max="16140" width="10.6640625" customWidth="1"/>
    <col min="16141" max="16142" width="8.83203125" customWidth="1"/>
    <col min="16143" max="16143" width="12.5" bestFit="1" customWidth="1"/>
    <col min="16144" max="16148" width="8.83203125" customWidth="1"/>
    <col min="16149" max="16150" width="0" hidden="1" customWidth="1"/>
    <col min="16152" max="16152" width="10" bestFit="1" customWidth="1"/>
  </cols>
  <sheetData>
    <row r="1" spans="1:492" s="45" customFormat="1" ht="17" thickBot="1" x14ac:dyDescent="0.25">
      <c r="A1" s="42" t="s">
        <v>154</v>
      </c>
      <c r="B1" s="43"/>
      <c r="C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6"/>
      <c r="T1" s="47"/>
      <c r="U1" s="48"/>
      <c r="V1" s="48"/>
    </row>
    <row r="2" spans="1:492" s="50" customFormat="1" ht="31" customHeight="1" x14ac:dyDescent="0.2">
      <c r="A2" s="49"/>
      <c r="B2" s="50" t="s">
        <v>155</v>
      </c>
      <c r="C2" s="50" t="s">
        <v>156</v>
      </c>
      <c r="D2" s="50" t="s">
        <v>157</v>
      </c>
      <c r="E2" s="51" t="s">
        <v>158</v>
      </c>
      <c r="F2" s="50" t="s">
        <v>159</v>
      </c>
      <c r="G2" s="50" t="s">
        <v>160</v>
      </c>
      <c r="H2" s="50" t="s">
        <v>161</v>
      </c>
      <c r="I2" s="50" t="s">
        <v>162</v>
      </c>
      <c r="J2" s="50" t="s">
        <v>163</v>
      </c>
      <c r="K2" s="50" t="s">
        <v>164</v>
      </c>
      <c r="L2" s="50" t="s">
        <v>165</v>
      </c>
      <c r="M2" s="50" t="s">
        <v>166</v>
      </c>
      <c r="N2" s="50" t="s">
        <v>167</v>
      </c>
      <c r="O2" s="50" t="s">
        <v>168</v>
      </c>
      <c r="P2" s="50" t="s">
        <v>169</v>
      </c>
      <c r="Q2" s="50" t="s">
        <v>170</v>
      </c>
      <c r="R2" s="50" t="s">
        <v>171</v>
      </c>
      <c r="S2" s="52" t="s">
        <v>172</v>
      </c>
      <c r="T2" s="53" t="s">
        <v>173</v>
      </c>
      <c r="U2" s="54" t="s">
        <v>174</v>
      </c>
      <c r="V2" s="54" t="s">
        <v>175</v>
      </c>
      <c r="X2" s="49"/>
    </row>
    <row r="3" spans="1:492" s="50" customFormat="1" ht="17" x14ac:dyDescent="0.2">
      <c r="A3" s="55" t="s">
        <v>176</v>
      </c>
      <c r="S3" s="52"/>
      <c r="T3" s="53"/>
      <c r="U3" s="56"/>
      <c r="V3" s="56"/>
      <c r="W3" s="49"/>
      <c r="X3" s="57"/>
      <c r="Y3"/>
    </row>
    <row r="4" spans="1:492" s="65" customFormat="1" x14ac:dyDescent="0.2">
      <c r="A4" s="58"/>
      <c r="B4" s="58" t="s">
        <v>177</v>
      </c>
      <c r="C4" s="58">
        <v>0.57999999999999996</v>
      </c>
      <c r="D4" s="58" t="s">
        <v>178</v>
      </c>
      <c r="E4" s="59">
        <v>8.2871138870143898E-2</v>
      </c>
      <c r="F4" s="60" t="s">
        <v>13</v>
      </c>
      <c r="G4" s="60">
        <v>3</v>
      </c>
      <c r="H4" s="60">
        <v>7</v>
      </c>
      <c r="I4" s="60">
        <v>1</v>
      </c>
      <c r="J4" s="60">
        <v>2</v>
      </c>
      <c r="K4" s="60">
        <v>0</v>
      </c>
      <c r="L4" s="60">
        <v>0</v>
      </c>
      <c r="M4" s="60">
        <f t="shared" ref="M4:M36" si="0">(G4*12.011)+(H4*1.008)+(J4*15.999)+(14.007*I4)+(K4*30.974)+(L4*32.066)</f>
        <v>89.094000000000008</v>
      </c>
      <c r="N4" s="60" t="s">
        <v>179</v>
      </c>
      <c r="O4" s="60">
        <f>M4-$M$74</f>
        <v>71.079000000000008</v>
      </c>
      <c r="P4" s="60">
        <f t="shared" ref="P4:P34" si="1">E4*O4</f>
        <v>5.8903976797509587</v>
      </c>
      <c r="Q4" s="58">
        <f>SUM(P4:P23)</f>
        <v>110.94838488217736</v>
      </c>
      <c r="R4" s="58">
        <f t="shared" ref="R4:R23" si="2">P4/$Q$4</f>
        <v>5.3091333289856539E-2</v>
      </c>
      <c r="S4" s="61">
        <f>R4*$C$4</f>
        <v>3.079297330811679E-2</v>
      </c>
      <c r="T4" s="62">
        <f t="shared" ref="T4:T34" si="3">S4/O4*1000</f>
        <v>0.43322181387071829</v>
      </c>
      <c r="U4" s="63">
        <f>-T4</f>
        <v>-0.43322181387071829</v>
      </c>
      <c r="V4" s="64" t="s">
        <v>180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</row>
    <row r="5" spans="1:492" s="65" customFormat="1" x14ac:dyDescent="0.2">
      <c r="A5" s="58"/>
      <c r="B5" s="58"/>
      <c r="C5" s="58"/>
      <c r="D5" s="58" t="s">
        <v>181</v>
      </c>
      <c r="E5" s="59">
        <v>4.1866567824369399E-2</v>
      </c>
      <c r="F5" s="60" t="s">
        <v>182</v>
      </c>
      <c r="G5" s="60">
        <v>6</v>
      </c>
      <c r="H5" s="60">
        <v>15</v>
      </c>
      <c r="I5" s="60">
        <v>4</v>
      </c>
      <c r="J5" s="60">
        <v>2</v>
      </c>
      <c r="K5" s="60">
        <v>0</v>
      </c>
      <c r="L5" s="60">
        <v>0</v>
      </c>
      <c r="M5" s="60">
        <f t="shared" si="0"/>
        <v>175.21200000000002</v>
      </c>
      <c r="N5" s="60" t="s">
        <v>179</v>
      </c>
      <c r="O5" s="60">
        <f t="shared" ref="O5:O23" si="4">M5-$M$74</f>
        <v>157.197</v>
      </c>
      <c r="P5" s="60">
        <f t="shared" si="1"/>
        <v>6.5812988622873965</v>
      </c>
      <c r="Q5" s="58"/>
      <c r="R5" s="58">
        <f t="shared" si="2"/>
        <v>5.9318563936522968E-2</v>
      </c>
      <c r="S5" s="61">
        <f t="shared" ref="S5:S23" si="5">R5*$C$4</f>
        <v>3.4404767083183317E-2</v>
      </c>
      <c r="T5" s="62">
        <f t="shared" si="3"/>
        <v>0.21886401829031923</v>
      </c>
      <c r="U5" s="63">
        <f t="shared" ref="U5:U8" si="6">-T5</f>
        <v>-0.21886401829031923</v>
      </c>
      <c r="V5" s="64" t="s">
        <v>183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</row>
    <row r="6" spans="1:492" s="65" customFormat="1" x14ac:dyDescent="0.2">
      <c r="A6" s="58"/>
      <c r="B6" s="58"/>
      <c r="C6" s="58"/>
      <c r="D6" s="58" t="s">
        <v>184</v>
      </c>
      <c r="E6" s="59">
        <v>4.4019096922917798E-2</v>
      </c>
      <c r="F6" s="60" t="s">
        <v>15</v>
      </c>
      <c r="G6" s="60">
        <v>4</v>
      </c>
      <c r="H6" s="60">
        <v>8</v>
      </c>
      <c r="I6" s="60">
        <v>2</v>
      </c>
      <c r="J6" s="60">
        <v>3</v>
      </c>
      <c r="K6" s="60">
        <v>0</v>
      </c>
      <c r="L6" s="60">
        <v>0</v>
      </c>
      <c r="M6" s="60">
        <f t="shared" si="0"/>
        <v>132.119</v>
      </c>
      <c r="N6" s="60" t="s">
        <v>179</v>
      </c>
      <c r="O6" s="60">
        <f t="shared" si="4"/>
        <v>114.104</v>
      </c>
      <c r="P6" s="60">
        <f t="shared" si="1"/>
        <v>5.0227550352926125</v>
      </c>
      <c r="Q6" s="58"/>
      <c r="R6" s="58">
        <f t="shared" si="2"/>
        <v>4.5271096470909176E-2</v>
      </c>
      <c r="S6" s="61">
        <f t="shared" si="5"/>
        <v>2.625723595312732E-2</v>
      </c>
      <c r="T6" s="62">
        <f t="shared" si="3"/>
        <v>0.23011670014309157</v>
      </c>
      <c r="U6" s="63">
        <f t="shared" si="6"/>
        <v>-0.23011670014309157</v>
      </c>
      <c r="V6" s="64" t="s">
        <v>185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</row>
    <row r="7" spans="1:492" s="65" customFormat="1" x14ac:dyDescent="0.2">
      <c r="A7" s="58"/>
      <c r="B7" s="58"/>
      <c r="C7" s="59"/>
      <c r="D7" s="58" t="s">
        <v>186</v>
      </c>
      <c r="E7" s="59">
        <v>5.6792657757724699E-2</v>
      </c>
      <c r="F7" s="60" t="s">
        <v>187</v>
      </c>
      <c r="G7" s="60">
        <v>4</v>
      </c>
      <c r="H7" s="60">
        <v>6</v>
      </c>
      <c r="I7" s="60">
        <v>1</v>
      </c>
      <c r="J7" s="60">
        <v>4</v>
      </c>
      <c r="K7" s="60">
        <v>0</v>
      </c>
      <c r="L7" s="60">
        <v>0</v>
      </c>
      <c r="M7" s="60">
        <f t="shared" si="0"/>
        <v>132.095</v>
      </c>
      <c r="N7" s="60" t="s">
        <v>179</v>
      </c>
      <c r="O7" s="60">
        <f t="shared" si="4"/>
        <v>114.08</v>
      </c>
      <c r="P7" s="60">
        <f t="shared" si="1"/>
        <v>6.4789063970012339</v>
      </c>
      <c r="Q7" s="58"/>
      <c r="R7" s="58">
        <f t="shared" si="2"/>
        <v>5.8395680152366049E-2</v>
      </c>
      <c r="S7" s="61">
        <f t="shared" si="5"/>
        <v>3.3869494488372308E-2</v>
      </c>
      <c r="T7" s="62">
        <f t="shared" si="3"/>
        <v>0.29689248324309525</v>
      </c>
      <c r="U7" s="63">
        <f t="shared" si="6"/>
        <v>-0.29689248324309525</v>
      </c>
      <c r="V7" s="64" t="s">
        <v>188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</row>
    <row r="8" spans="1:492" s="65" customFormat="1" x14ac:dyDescent="0.2">
      <c r="A8" s="58"/>
      <c r="B8" s="58"/>
      <c r="C8" s="58"/>
      <c r="D8" s="58" t="s">
        <v>189</v>
      </c>
      <c r="E8" s="59">
        <v>9.7011580311008403E-3</v>
      </c>
      <c r="F8" s="60" t="s">
        <v>29</v>
      </c>
      <c r="G8" s="60">
        <v>3</v>
      </c>
      <c r="H8" s="60">
        <v>7</v>
      </c>
      <c r="I8" s="60">
        <v>1</v>
      </c>
      <c r="J8" s="60">
        <v>2</v>
      </c>
      <c r="K8" s="60">
        <v>0</v>
      </c>
      <c r="L8" s="60">
        <v>1</v>
      </c>
      <c r="M8" s="60">
        <f t="shared" si="0"/>
        <v>121.16000000000001</v>
      </c>
      <c r="N8" s="60" t="s">
        <v>179</v>
      </c>
      <c r="O8" s="60">
        <f t="shared" si="4"/>
        <v>103.14500000000001</v>
      </c>
      <c r="P8" s="60">
        <f t="shared" si="1"/>
        <v>1.0006259451178963</v>
      </c>
      <c r="Q8" s="58"/>
      <c r="R8" s="58">
        <f t="shared" si="2"/>
        <v>9.018841925283726E-3</v>
      </c>
      <c r="S8" s="61">
        <f t="shared" si="5"/>
        <v>5.230928316664561E-3</v>
      </c>
      <c r="T8" s="62">
        <f t="shared" si="3"/>
        <v>5.071431786964526E-2</v>
      </c>
      <c r="U8" s="63">
        <f t="shared" si="6"/>
        <v>-5.071431786964526E-2</v>
      </c>
      <c r="V8" s="64" t="s">
        <v>190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</row>
    <row r="9" spans="1:492" s="65" customFormat="1" x14ac:dyDescent="0.2">
      <c r="A9" s="58"/>
      <c r="B9" s="58"/>
      <c r="C9" s="58"/>
      <c r="D9" s="58" t="s">
        <v>191</v>
      </c>
      <c r="E9" s="59">
        <v>4.5023938881965597E-2</v>
      </c>
      <c r="F9" s="60" t="s">
        <v>21</v>
      </c>
      <c r="G9" s="60">
        <v>5</v>
      </c>
      <c r="H9" s="60">
        <v>10</v>
      </c>
      <c r="I9" s="60">
        <v>2</v>
      </c>
      <c r="J9" s="60">
        <v>3</v>
      </c>
      <c r="K9" s="60">
        <v>0</v>
      </c>
      <c r="L9" s="60">
        <v>0</v>
      </c>
      <c r="M9" s="60">
        <f t="shared" si="0"/>
        <v>146.14599999999999</v>
      </c>
      <c r="N9" s="60" t="s">
        <v>179</v>
      </c>
      <c r="O9" s="60">
        <f t="shared" si="4"/>
        <v>128.13099999999997</v>
      </c>
      <c r="P9" s="60">
        <f t="shared" si="1"/>
        <v>5.7689623128851331</v>
      </c>
      <c r="Q9" s="58"/>
      <c r="R9" s="58">
        <f t="shared" si="2"/>
        <v>5.1996812022198739E-2</v>
      </c>
      <c r="S9" s="61">
        <f t="shared" si="5"/>
        <v>3.0158150972875268E-2</v>
      </c>
      <c r="T9" s="62">
        <f t="shared" si="3"/>
        <v>0.23536966833065592</v>
      </c>
      <c r="U9" s="63"/>
      <c r="V9" s="64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</row>
    <row r="10" spans="1:492" s="65" customFormat="1" x14ac:dyDescent="0.2">
      <c r="A10" s="58"/>
      <c r="B10" s="58"/>
      <c r="C10" s="58"/>
      <c r="D10" s="58" t="s">
        <v>192</v>
      </c>
      <c r="E10" s="59">
        <v>6.52112877246733E-2</v>
      </c>
      <c r="F10" s="60" t="s">
        <v>193</v>
      </c>
      <c r="G10" s="60">
        <v>5</v>
      </c>
      <c r="H10" s="60">
        <v>8</v>
      </c>
      <c r="I10" s="60">
        <v>1</v>
      </c>
      <c r="J10" s="60">
        <v>4</v>
      </c>
      <c r="K10" s="60">
        <v>0</v>
      </c>
      <c r="L10" s="60">
        <v>0</v>
      </c>
      <c r="M10" s="60">
        <f t="shared" si="0"/>
        <v>146.12200000000001</v>
      </c>
      <c r="N10" s="60" t="s">
        <v>179</v>
      </c>
      <c r="O10" s="60">
        <f t="shared" si="4"/>
        <v>128.10700000000003</v>
      </c>
      <c r="P10" s="60">
        <f t="shared" si="1"/>
        <v>8.3540224365447244</v>
      </c>
      <c r="Q10" s="58"/>
      <c r="R10" s="58">
        <f t="shared" si="2"/>
        <v>7.5296476333714585E-2</v>
      </c>
      <c r="S10" s="61">
        <f t="shared" si="5"/>
        <v>4.3671956273554455E-2</v>
      </c>
      <c r="T10" s="62">
        <f t="shared" si="3"/>
        <v>0.34090218546648071</v>
      </c>
      <c r="U10" s="63"/>
      <c r="V10" s="64"/>
      <c r="W10"/>
      <c r="X10" s="66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</row>
    <row r="11" spans="1:492" s="65" customFormat="1" x14ac:dyDescent="0.2">
      <c r="A11" s="58"/>
      <c r="B11" s="58"/>
      <c r="C11" s="59"/>
      <c r="D11" s="58" t="s">
        <v>194</v>
      </c>
      <c r="E11" s="59">
        <v>6.7467872148637795E-2</v>
      </c>
      <c r="F11" s="60" t="s">
        <v>23</v>
      </c>
      <c r="G11" s="60">
        <v>2</v>
      </c>
      <c r="H11" s="60">
        <v>5</v>
      </c>
      <c r="I11" s="60">
        <v>1</v>
      </c>
      <c r="J11" s="60">
        <v>2</v>
      </c>
      <c r="K11" s="60">
        <v>0</v>
      </c>
      <c r="L11" s="60">
        <v>0</v>
      </c>
      <c r="M11" s="60">
        <f t="shared" si="0"/>
        <v>75.067000000000007</v>
      </c>
      <c r="N11" s="60" t="s">
        <v>179</v>
      </c>
      <c r="O11" s="60">
        <f t="shared" si="4"/>
        <v>57.052000000000007</v>
      </c>
      <c r="P11" s="60">
        <f t="shared" si="1"/>
        <v>3.8491770418240838</v>
      </c>
      <c r="Q11" s="58"/>
      <c r="R11" s="58">
        <f t="shared" si="2"/>
        <v>3.4693403116338756E-2</v>
      </c>
      <c r="S11" s="61">
        <f t="shared" si="5"/>
        <v>2.0122173807476478E-2</v>
      </c>
      <c r="T11" s="62">
        <f t="shared" si="3"/>
        <v>0.35269883277495051</v>
      </c>
      <c r="U11" s="63">
        <f>-T11</f>
        <v>-0.35269883277495051</v>
      </c>
      <c r="V11" s="64" t="s">
        <v>195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</row>
    <row r="12" spans="1:492" s="65" customFormat="1" x14ac:dyDescent="0.2">
      <c r="A12" s="58"/>
      <c r="B12" s="58"/>
      <c r="C12" s="58"/>
      <c r="D12" s="58" t="s">
        <v>196</v>
      </c>
      <c r="E12" s="59">
        <v>2.1364590157474501E-2</v>
      </c>
      <c r="F12" s="60" t="s">
        <v>42</v>
      </c>
      <c r="G12" s="60">
        <v>6</v>
      </c>
      <c r="H12" s="60">
        <v>9</v>
      </c>
      <c r="I12" s="60">
        <v>3</v>
      </c>
      <c r="J12" s="60">
        <v>2</v>
      </c>
      <c r="K12" s="60">
        <v>0</v>
      </c>
      <c r="L12" s="60">
        <v>0</v>
      </c>
      <c r="M12" s="60">
        <f t="shared" si="0"/>
        <v>155.15700000000001</v>
      </c>
      <c r="N12" s="60" t="s">
        <v>179</v>
      </c>
      <c r="O12" s="60">
        <f t="shared" si="4"/>
        <v>137.142</v>
      </c>
      <c r="P12" s="60">
        <f t="shared" si="1"/>
        <v>2.9299826233763682</v>
      </c>
      <c r="Q12" s="58"/>
      <c r="R12" s="58">
        <f t="shared" si="2"/>
        <v>2.6408519839994874E-2</v>
      </c>
      <c r="S12" s="61">
        <f t="shared" si="5"/>
        <v>1.5316941507197026E-2</v>
      </c>
      <c r="T12" s="62">
        <f t="shared" si="3"/>
        <v>0.11168672986537331</v>
      </c>
      <c r="U12" s="63">
        <f t="shared" ref="U12:U23" si="7">-T12</f>
        <v>-0.11168672986537331</v>
      </c>
      <c r="V12" s="64" t="s">
        <v>197</v>
      </c>
      <c r="W12"/>
      <c r="X12"/>
      <c r="Y12" s="67"/>
      <c r="Z12" s="67"/>
      <c r="AA12" s="67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</row>
    <row r="13" spans="1:492" s="65" customFormat="1" x14ac:dyDescent="0.2">
      <c r="A13" s="58"/>
      <c r="B13" s="58"/>
      <c r="C13" s="58"/>
      <c r="D13" s="58" t="s">
        <v>198</v>
      </c>
      <c r="E13" s="59">
        <v>6.3417718713211196E-2</v>
      </c>
      <c r="F13" s="60" t="s">
        <v>58</v>
      </c>
      <c r="G13" s="60">
        <v>6</v>
      </c>
      <c r="H13" s="60">
        <v>13</v>
      </c>
      <c r="I13" s="60">
        <v>1</v>
      </c>
      <c r="J13" s="60">
        <v>2</v>
      </c>
      <c r="K13" s="60">
        <v>0</v>
      </c>
      <c r="L13" s="60">
        <v>0</v>
      </c>
      <c r="M13" s="60">
        <f t="shared" si="0"/>
        <v>131.17500000000001</v>
      </c>
      <c r="N13" s="60" t="s">
        <v>179</v>
      </c>
      <c r="O13" s="60">
        <f t="shared" si="4"/>
        <v>113.16000000000001</v>
      </c>
      <c r="P13" s="60">
        <f t="shared" si="1"/>
        <v>7.1763490495869799</v>
      </c>
      <c r="Q13" s="58"/>
      <c r="R13" s="58">
        <f t="shared" si="2"/>
        <v>6.4681870377905626E-2</v>
      </c>
      <c r="S13" s="61">
        <f t="shared" si="5"/>
        <v>3.7515484819185263E-2</v>
      </c>
      <c r="T13" s="62">
        <f t="shared" si="3"/>
        <v>0.33152602349933952</v>
      </c>
      <c r="U13" s="63">
        <f t="shared" si="7"/>
        <v>-0.33152602349933952</v>
      </c>
      <c r="V13" s="64" t="s">
        <v>199</v>
      </c>
      <c r="W13"/>
      <c r="X13"/>
      <c r="Y13" s="67"/>
      <c r="Z13" s="67"/>
      <c r="AA13" s="68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</row>
    <row r="14" spans="1:492" s="65" customFormat="1" x14ac:dyDescent="0.2">
      <c r="A14" s="58"/>
      <c r="B14" s="58"/>
      <c r="C14" s="58"/>
      <c r="D14" s="58" t="s">
        <v>200</v>
      </c>
      <c r="E14" s="59">
        <v>0.10134249841146301</v>
      </c>
      <c r="F14" s="60" t="s">
        <v>58</v>
      </c>
      <c r="G14" s="60">
        <v>6</v>
      </c>
      <c r="H14" s="60">
        <v>13</v>
      </c>
      <c r="I14" s="60">
        <v>1</v>
      </c>
      <c r="J14" s="60">
        <v>2</v>
      </c>
      <c r="K14" s="60">
        <v>0</v>
      </c>
      <c r="L14" s="60">
        <v>0</v>
      </c>
      <c r="M14" s="60">
        <f t="shared" si="0"/>
        <v>131.17500000000001</v>
      </c>
      <c r="N14" s="60" t="s">
        <v>179</v>
      </c>
      <c r="O14" s="60">
        <f t="shared" si="4"/>
        <v>113.16000000000001</v>
      </c>
      <c r="P14" s="60">
        <f t="shared" si="1"/>
        <v>11.467917120241156</v>
      </c>
      <c r="Q14" s="58"/>
      <c r="R14" s="58">
        <f t="shared" si="2"/>
        <v>0.10336263238459589</v>
      </c>
      <c r="S14" s="61">
        <f t="shared" si="5"/>
        <v>5.9950326783065611E-2</v>
      </c>
      <c r="T14" s="62">
        <f t="shared" si="3"/>
        <v>0.52978372908329452</v>
      </c>
      <c r="U14" s="63">
        <f t="shared" si="7"/>
        <v>-0.52978372908329452</v>
      </c>
      <c r="V14" s="64" t="s">
        <v>201</v>
      </c>
      <c r="W14"/>
      <c r="X14"/>
      <c r="Y14" s="67"/>
      <c r="Z14" s="67"/>
      <c r="AA14" s="67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</row>
    <row r="15" spans="1:492" s="65" customFormat="1" x14ac:dyDescent="0.2">
      <c r="A15" s="58"/>
      <c r="B15" s="58"/>
      <c r="C15" s="58"/>
      <c r="D15" s="58" t="s">
        <v>202</v>
      </c>
      <c r="E15" s="59">
        <v>5.3648216651807502E-2</v>
      </c>
      <c r="F15" s="60" t="s">
        <v>203</v>
      </c>
      <c r="G15" s="60">
        <v>6</v>
      </c>
      <c r="H15" s="60">
        <v>15</v>
      </c>
      <c r="I15" s="60">
        <v>2</v>
      </c>
      <c r="J15" s="60">
        <v>2</v>
      </c>
      <c r="K15" s="60">
        <v>0</v>
      </c>
      <c r="L15" s="60">
        <v>0</v>
      </c>
      <c r="M15" s="60">
        <f t="shared" si="0"/>
        <v>147.19800000000001</v>
      </c>
      <c r="N15" s="60" t="s">
        <v>179</v>
      </c>
      <c r="O15" s="60">
        <f t="shared" si="4"/>
        <v>129.18299999999999</v>
      </c>
      <c r="P15" s="60">
        <f t="shared" si="1"/>
        <v>6.9304375717304483</v>
      </c>
      <c r="Q15" s="58"/>
      <c r="R15" s="58">
        <f t="shared" si="2"/>
        <v>6.2465421007167329E-2</v>
      </c>
      <c r="S15" s="61">
        <f t="shared" si="5"/>
        <v>3.6229944184157051E-2</v>
      </c>
      <c r="T15" s="62">
        <f t="shared" si="3"/>
        <v>0.2804544265434078</v>
      </c>
      <c r="U15" s="63">
        <f t="shared" si="7"/>
        <v>-0.2804544265434078</v>
      </c>
      <c r="V15" s="64" t="s">
        <v>204</v>
      </c>
      <c r="W15"/>
      <c r="X15"/>
      <c r="Y15" s="67"/>
      <c r="Z15" s="67"/>
      <c r="AA15" s="68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</row>
    <row r="16" spans="1:492" s="65" customFormat="1" x14ac:dyDescent="0.2">
      <c r="A16" s="58"/>
      <c r="B16" s="58"/>
      <c r="C16" s="58"/>
      <c r="D16" s="58" t="s">
        <v>205</v>
      </c>
      <c r="E16" s="59">
        <v>2.65969106035455E-2</v>
      </c>
      <c r="F16" s="60" t="s">
        <v>68</v>
      </c>
      <c r="G16" s="60">
        <v>5</v>
      </c>
      <c r="H16" s="60">
        <v>11</v>
      </c>
      <c r="I16" s="60">
        <v>1</v>
      </c>
      <c r="J16" s="60">
        <v>2</v>
      </c>
      <c r="K16" s="60">
        <v>0</v>
      </c>
      <c r="L16" s="60">
        <v>1</v>
      </c>
      <c r="M16" s="60">
        <f t="shared" si="0"/>
        <v>149.214</v>
      </c>
      <c r="N16" s="60" t="s">
        <v>179</v>
      </c>
      <c r="O16" s="60">
        <f t="shared" si="4"/>
        <v>131.19900000000001</v>
      </c>
      <c r="P16" s="60">
        <f t="shared" si="1"/>
        <v>3.4894880742745662</v>
      </c>
      <c r="Q16" s="58"/>
      <c r="R16" s="58">
        <f t="shared" si="2"/>
        <v>3.1451454457676511E-2</v>
      </c>
      <c r="S16" s="61">
        <f t="shared" si="5"/>
        <v>1.8241843585452375E-2</v>
      </c>
      <c r="T16" s="62">
        <f t="shared" si="3"/>
        <v>0.13903950171458906</v>
      </c>
      <c r="U16" s="63">
        <f t="shared" si="7"/>
        <v>-0.13903950171458906</v>
      </c>
      <c r="V16" s="64" t="s">
        <v>206</v>
      </c>
      <c r="W16"/>
      <c r="X16" s="68"/>
      <c r="Y16"/>
      <c r="Z16" s="67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</row>
    <row r="17" spans="1:492" s="65" customFormat="1" x14ac:dyDescent="0.2">
      <c r="A17" s="58"/>
      <c r="B17" s="58"/>
      <c r="C17" s="58"/>
      <c r="D17" s="58" t="s">
        <v>207</v>
      </c>
      <c r="E17" s="59">
        <v>4.2006950156883403E-2</v>
      </c>
      <c r="F17" s="60" t="s">
        <v>70</v>
      </c>
      <c r="G17" s="60">
        <v>9</v>
      </c>
      <c r="H17" s="60">
        <v>11</v>
      </c>
      <c r="I17" s="60">
        <v>1</v>
      </c>
      <c r="J17" s="60">
        <v>2</v>
      </c>
      <c r="K17" s="60">
        <v>0</v>
      </c>
      <c r="L17" s="60">
        <v>0</v>
      </c>
      <c r="M17" s="60">
        <f t="shared" si="0"/>
        <v>165.19199999999998</v>
      </c>
      <c r="N17" s="60" t="s">
        <v>179</v>
      </c>
      <c r="O17" s="60">
        <f t="shared" si="4"/>
        <v>147.17699999999996</v>
      </c>
      <c r="P17" s="60">
        <f t="shared" si="1"/>
        <v>6.1824569032396273</v>
      </c>
      <c r="Q17" s="58"/>
      <c r="R17" s="58">
        <f t="shared" si="2"/>
        <v>5.5723721528755404E-2</v>
      </c>
      <c r="S17" s="61">
        <f t="shared" si="5"/>
        <v>3.2319758486678132E-2</v>
      </c>
      <c r="T17" s="62">
        <f t="shared" si="3"/>
        <v>0.21959788884593476</v>
      </c>
      <c r="U17" s="63">
        <f t="shared" si="7"/>
        <v>-0.21959788884593476</v>
      </c>
      <c r="V17" s="64" t="s">
        <v>208</v>
      </c>
      <c r="W17"/>
      <c r="X17" s="68"/>
      <c r="Y17" s="67"/>
      <c r="Z17" s="6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</row>
    <row r="18" spans="1:492" s="65" customFormat="1" x14ac:dyDescent="0.2">
      <c r="A18" s="58"/>
      <c r="B18" s="58"/>
      <c r="C18" s="58"/>
      <c r="D18" s="58" t="s">
        <v>209</v>
      </c>
      <c r="E18" s="59">
        <v>3.7915544018481198E-2</v>
      </c>
      <c r="F18" s="60" t="s">
        <v>11</v>
      </c>
      <c r="G18" s="60">
        <v>5</v>
      </c>
      <c r="H18" s="60">
        <v>9</v>
      </c>
      <c r="I18" s="60">
        <v>1</v>
      </c>
      <c r="J18" s="60">
        <v>2</v>
      </c>
      <c r="K18" s="60">
        <v>0</v>
      </c>
      <c r="L18" s="60">
        <v>0</v>
      </c>
      <c r="M18" s="60">
        <f t="shared" si="0"/>
        <v>115.13200000000001</v>
      </c>
      <c r="N18" s="60" t="s">
        <v>179</v>
      </c>
      <c r="O18" s="60">
        <f t="shared" si="4"/>
        <v>97.117000000000004</v>
      </c>
      <c r="P18" s="60">
        <f t="shared" si="1"/>
        <v>3.6822438884428386</v>
      </c>
      <c r="Q18" s="58"/>
      <c r="R18" s="58">
        <f t="shared" si="2"/>
        <v>3.3188801192132994E-2</v>
      </c>
      <c r="S18" s="61">
        <f t="shared" si="5"/>
        <v>1.9249504691437134E-2</v>
      </c>
      <c r="T18" s="62">
        <f t="shared" si="3"/>
        <v>0.19820942462634897</v>
      </c>
      <c r="U18" s="63">
        <f t="shared" si="7"/>
        <v>-0.19820942462634897</v>
      </c>
      <c r="V18" s="64" t="s">
        <v>210</v>
      </c>
      <c r="W18"/>
      <c r="X18" s="68"/>
      <c r="Y18" s="67"/>
      <c r="Z18" s="67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</row>
    <row r="19" spans="1:492" s="65" customFormat="1" x14ac:dyDescent="0.2">
      <c r="A19" s="58"/>
      <c r="B19" s="58"/>
      <c r="C19" s="58"/>
      <c r="D19" s="58" t="s">
        <v>211</v>
      </c>
      <c r="E19" s="59">
        <v>7.0638173157912904E-2</v>
      </c>
      <c r="F19" s="60" t="s">
        <v>17</v>
      </c>
      <c r="G19" s="60">
        <v>3</v>
      </c>
      <c r="H19" s="60">
        <v>7</v>
      </c>
      <c r="I19" s="60">
        <v>1</v>
      </c>
      <c r="J19" s="60">
        <v>3</v>
      </c>
      <c r="K19" s="60">
        <v>0</v>
      </c>
      <c r="L19" s="60">
        <v>0</v>
      </c>
      <c r="M19" s="60">
        <f t="shared" si="0"/>
        <v>105.093</v>
      </c>
      <c r="N19" s="60" t="s">
        <v>179</v>
      </c>
      <c r="O19" s="60">
        <f t="shared" si="4"/>
        <v>87.078000000000003</v>
      </c>
      <c r="P19" s="60">
        <f t="shared" si="1"/>
        <v>6.1510308422447402</v>
      </c>
      <c r="Q19" s="58"/>
      <c r="R19" s="58">
        <f t="shared" si="2"/>
        <v>5.5440472150873422E-2</v>
      </c>
      <c r="S19" s="61">
        <f t="shared" si="5"/>
        <v>3.2155473847506583E-2</v>
      </c>
      <c r="T19" s="62">
        <f t="shared" si="3"/>
        <v>0.36927207615593588</v>
      </c>
      <c r="U19" s="63">
        <f t="shared" si="7"/>
        <v>-0.36927207615593588</v>
      </c>
      <c r="V19" s="64" t="s">
        <v>212</v>
      </c>
      <c r="W19"/>
      <c r="X19" s="68"/>
      <c r="Y19"/>
      <c r="Z19" s="67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</row>
    <row r="20" spans="1:492" s="65" customFormat="1" x14ac:dyDescent="0.2">
      <c r="A20" s="58"/>
      <c r="B20" s="58"/>
      <c r="C20" s="58"/>
      <c r="D20" s="58" t="s">
        <v>213</v>
      </c>
      <c r="E20" s="59">
        <v>5.5941128082869898E-2</v>
      </c>
      <c r="F20" s="60" t="s">
        <v>19</v>
      </c>
      <c r="G20" s="60">
        <v>4</v>
      </c>
      <c r="H20" s="60">
        <v>9</v>
      </c>
      <c r="I20" s="60">
        <v>1</v>
      </c>
      <c r="J20" s="60">
        <v>3</v>
      </c>
      <c r="K20" s="60">
        <v>0</v>
      </c>
      <c r="L20" s="60">
        <v>0</v>
      </c>
      <c r="M20" s="60">
        <f t="shared" si="0"/>
        <v>119.12</v>
      </c>
      <c r="N20" s="60" t="s">
        <v>179</v>
      </c>
      <c r="O20" s="60">
        <f t="shared" si="4"/>
        <v>101.105</v>
      </c>
      <c r="P20" s="60">
        <f t="shared" si="1"/>
        <v>5.6559277548185616</v>
      </c>
      <c r="Q20" s="58"/>
      <c r="R20" s="58">
        <f t="shared" si="2"/>
        <v>5.0978008925726362E-2</v>
      </c>
      <c r="S20" s="61">
        <f t="shared" si="5"/>
        <v>2.9567245176921289E-2</v>
      </c>
      <c r="T20" s="62">
        <f t="shared" si="3"/>
        <v>0.29244097895179555</v>
      </c>
      <c r="U20" s="63">
        <f t="shared" si="7"/>
        <v>-0.29244097895179555</v>
      </c>
      <c r="V20" s="64" t="s">
        <v>214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</row>
    <row r="21" spans="1:492" s="65" customFormat="1" x14ac:dyDescent="0.2">
      <c r="A21" s="58"/>
      <c r="B21" s="58"/>
      <c r="C21" s="58"/>
      <c r="D21" s="58" t="s">
        <v>215</v>
      </c>
      <c r="E21" s="59">
        <v>1.22064900968884E-2</v>
      </c>
      <c r="F21" s="60" t="s">
        <v>216</v>
      </c>
      <c r="G21" s="60">
        <v>11</v>
      </c>
      <c r="H21" s="60">
        <v>12</v>
      </c>
      <c r="I21" s="60">
        <v>2</v>
      </c>
      <c r="J21" s="60">
        <v>2</v>
      </c>
      <c r="K21" s="60">
        <v>0</v>
      </c>
      <c r="L21" s="60">
        <v>0</v>
      </c>
      <c r="M21" s="60">
        <f t="shared" si="0"/>
        <v>204.22899999999998</v>
      </c>
      <c r="N21" s="60" t="s">
        <v>179</v>
      </c>
      <c r="O21" s="60">
        <f t="shared" si="4"/>
        <v>186.214</v>
      </c>
      <c r="P21" s="60">
        <f t="shared" si="1"/>
        <v>2.2730193469019766</v>
      </c>
      <c r="Q21" s="58"/>
      <c r="R21" s="58">
        <f t="shared" si="2"/>
        <v>2.0487178333563213E-2</v>
      </c>
      <c r="S21" s="61">
        <f t="shared" si="5"/>
        <v>1.1882563433466662E-2</v>
      </c>
      <c r="T21" s="62">
        <f t="shared" si="3"/>
        <v>6.3811332302977544E-2</v>
      </c>
      <c r="U21" s="63">
        <f t="shared" si="7"/>
        <v>-6.3811332302977544E-2</v>
      </c>
      <c r="V21" s="64" t="s">
        <v>217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</row>
    <row r="22" spans="1:492" s="65" customFormat="1" x14ac:dyDescent="0.2">
      <c r="A22" s="58"/>
      <c r="B22" s="58"/>
      <c r="C22" s="58"/>
      <c r="D22" s="58" t="s">
        <v>218</v>
      </c>
      <c r="E22" s="59">
        <v>3.0533773033785402E-2</v>
      </c>
      <c r="F22" s="60" t="s">
        <v>130</v>
      </c>
      <c r="G22" s="60">
        <v>9</v>
      </c>
      <c r="H22" s="60">
        <v>11</v>
      </c>
      <c r="I22" s="60">
        <v>1</v>
      </c>
      <c r="J22" s="60">
        <v>3</v>
      </c>
      <c r="K22" s="60">
        <v>0</v>
      </c>
      <c r="L22" s="60">
        <v>0</v>
      </c>
      <c r="M22" s="60">
        <f t="shared" si="0"/>
        <v>181.19099999999997</v>
      </c>
      <c r="N22" s="60" t="s">
        <v>179</v>
      </c>
      <c r="O22" s="60">
        <f t="shared" si="4"/>
        <v>163.17599999999999</v>
      </c>
      <c r="P22" s="60">
        <f t="shared" si="1"/>
        <v>4.9823789485609664</v>
      </c>
      <c r="Q22" s="58"/>
      <c r="R22" s="58">
        <f t="shared" si="2"/>
        <v>4.4907178719654627E-2</v>
      </c>
      <c r="S22" s="61">
        <f t="shared" si="5"/>
        <v>2.604616365739968E-2</v>
      </c>
      <c r="T22" s="62">
        <f t="shared" si="3"/>
        <v>0.15962006457689662</v>
      </c>
      <c r="U22" s="63">
        <f t="shared" si="7"/>
        <v>-0.15962006457689662</v>
      </c>
      <c r="V22" s="64" t="s">
        <v>219</v>
      </c>
      <c r="W22" s="66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</row>
    <row r="23" spans="1:492" s="65" customFormat="1" x14ac:dyDescent="0.2">
      <c r="A23" s="58"/>
      <c r="B23" s="58"/>
      <c r="C23" s="58"/>
      <c r="D23" s="58" t="s">
        <v>220</v>
      </c>
      <c r="E23" s="59">
        <v>7.1429363058266096E-2</v>
      </c>
      <c r="F23" s="60" t="s">
        <v>127</v>
      </c>
      <c r="G23" s="60">
        <v>5</v>
      </c>
      <c r="H23" s="60">
        <v>11</v>
      </c>
      <c r="I23" s="60">
        <v>1</v>
      </c>
      <c r="J23" s="60">
        <v>2</v>
      </c>
      <c r="K23" s="60">
        <v>0</v>
      </c>
      <c r="L23" s="60">
        <v>0</v>
      </c>
      <c r="M23" s="60">
        <f t="shared" si="0"/>
        <v>117.14800000000001</v>
      </c>
      <c r="N23" s="60" t="s">
        <v>179</v>
      </c>
      <c r="O23" s="60">
        <f t="shared" si="4"/>
        <v>99.13300000000001</v>
      </c>
      <c r="P23" s="60">
        <f t="shared" si="1"/>
        <v>7.0810070480550937</v>
      </c>
      <c r="Q23" s="58"/>
      <c r="R23" s="58">
        <f t="shared" si="2"/>
        <v>6.382253383476319E-2</v>
      </c>
      <c r="S23" s="61">
        <f t="shared" si="5"/>
        <v>3.7017069624162645E-2</v>
      </c>
      <c r="T23" s="62">
        <f t="shared" si="3"/>
        <v>0.37340814485754131</v>
      </c>
      <c r="U23" s="63">
        <f t="shared" si="7"/>
        <v>-0.37340814485754131</v>
      </c>
      <c r="V23" s="64" t="s">
        <v>221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</row>
    <row r="24" spans="1:492" s="76" customFormat="1" x14ac:dyDescent="0.2">
      <c r="A24" s="69"/>
      <c r="B24" s="69" t="s">
        <v>222</v>
      </c>
      <c r="C24" s="69">
        <f xml:space="preserve"> 0.0327*(1 - C28 - C4 - C69)/0.2046</f>
        <v>2.726598240469208E-2</v>
      </c>
      <c r="D24" s="69" t="s">
        <v>223</v>
      </c>
      <c r="E24" s="70">
        <v>0.27986726546317647</v>
      </c>
      <c r="F24" s="69" t="s">
        <v>224</v>
      </c>
      <c r="G24" s="69">
        <v>10</v>
      </c>
      <c r="H24" s="69">
        <v>12</v>
      </c>
      <c r="I24" s="69">
        <v>5</v>
      </c>
      <c r="J24" s="69">
        <v>12</v>
      </c>
      <c r="K24" s="69">
        <v>3</v>
      </c>
      <c r="L24" s="69">
        <v>0</v>
      </c>
      <c r="M24" s="69">
        <f t="shared" si="0"/>
        <v>487.15099999999995</v>
      </c>
      <c r="N24" s="69" t="s">
        <v>225</v>
      </c>
      <c r="O24" s="71">
        <f>M24-$M$82</f>
        <v>312.20199999999994</v>
      </c>
      <c r="P24" s="71">
        <f t="shared" si="1"/>
        <v>87.375120012134602</v>
      </c>
      <c r="Q24" s="69">
        <f>SUM(P24:P27)</f>
        <v>307.4682035488961</v>
      </c>
      <c r="R24" s="69">
        <f>P24/$Q$24</f>
        <v>0.28417611643618135</v>
      </c>
      <c r="S24" s="72">
        <f>R24*$C$24</f>
        <v>7.7483409905826483E-3</v>
      </c>
      <c r="T24" s="73">
        <f t="shared" si="3"/>
        <v>2.4818357956011332E-2</v>
      </c>
      <c r="U24" s="74">
        <f>-T24</f>
        <v>-2.4818357956011332E-2</v>
      </c>
      <c r="V24" s="75" t="s">
        <v>226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</row>
    <row r="25" spans="1:492" s="76" customFormat="1" x14ac:dyDescent="0.2">
      <c r="A25" s="69"/>
      <c r="B25" s="71" t="s">
        <v>227</v>
      </c>
      <c r="C25" s="69"/>
      <c r="D25" s="69" t="s">
        <v>228</v>
      </c>
      <c r="E25" s="70">
        <v>0.2201327345368235</v>
      </c>
      <c r="F25" s="69" t="s">
        <v>229</v>
      </c>
      <c r="G25" s="69">
        <v>9</v>
      </c>
      <c r="H25" s="69">
        <v>10</v>
      </c>
      <c r="I25" s="69">
        <v>3</v>
      </c>
      <c r="J25" s="69">
        <v>13</v>
      </c>
      <c r="K25" s="69">
        <v>3</v>
      </c>
      <c r="L25" s="69">
        <v>0</v>
      </c>
      <c r="M25" s="69">
        <f t="shared" si="0"/>
        <v>461.10900000000004</v>
      </c>
      <c r="N25" s="69" t="s">
        <v>225</v>
      </c>
      <c r="O25" s="71">
        <f t="shared" ref="O25:O27" si="8">M25-$M$82</f>
        <v>286.16000000000003</v>
      </c>
      <c r="P25" s="71">
        <f t="shared" si="1"/>
        <v>62.993183315057415</v>
      </c>
      <c r="Q25" s="69"/>
      <c r="R25" s="69">
        <f>P25/$Q$24</f>
        <v>0.20487706562164801</v>
      </c>
      <c r="S25" s="72">
        <f>R25*$C$24</f>
        <v>5.5861744663647994E-3</v>
      </c>
      <c r="T25" s="73">
        <f t="shared" si="3"/>
        <v>1.9521157626379643E-2</v>
      </c>
      <c r="U25" s="74">
        <f t="shared" ref="U25:U27" si="9">-T25</f>
        <v>-1.9521157626379643E-2</v>
      </c>
      <c r="V25" s="75" t="s">
        <v>230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</row>
    <row r="26" spans="1:492" s="76" customFormat="1" x14ac:dyDescent="0.2">
      <c r="A26" s="69"/>
      <c r="B26" s="71" t="s">
        <v>227</v>
      </c>
      <c r="C26" s="69"/>
      <c r="D26" s="69" t="s">
        <v>231</v>
      </c>
      <c r="E26" s="70">
        <v>0.2201327345368235</v>
      </c>
      <c r="F26" s="69" t="s">
        <v>232</v>
      </c>
      <c r="G26" s="69">
        <v>10</v>
      </c>
      <c r="H26" s="69">
        <v>12</v>
      </c>
      <c r="I26" s="69">
        <v>5</v>
      </c>
      <c r="J26" s="69">
        <v>13</v>
      </c>
      <c r="K26" s="69">
        <v>3</v>
      </c>
      <c r="L26" s="69">
        <v>0</v>
      </c>
      <c r="M26" s="69">
        <f t="shared" si="0"/>
        <v>503.15</v>
      </c>
      <c r="N26" s="69" t="s">
        <v>225</v>
      </c>
      <c r="O26" s="71">
        <f t="shared" si="8"/>
        <v>328.20099999999996</v>
      </c>
      <c r="P26" s="71">
        <f t="shared" si="1"/>
        <v>72.247783607719995</v>
      </c>
      <c r="Q26" s="69"/>
      <c r="R26" s="69">
        <f>P26/$Q$24</f>
        <v>0.23497643910431396</v>
      </c>
      <c r="S26" s="72">
        <f>R26*$C$24</f>
        <v>6.4068634541354242E-3</v>
      </c>
      <c r="T26" s="73">
        <f t="shared" si="3"/>
        <v>1.9521157626379643E-2</v>
      </c>
      <c r="U26" s="74">
        <f t="shared" si="9"/>
        <v>-1.9521157626379643E-2</v>
      </c>
      <c r="V26" s="75" t="s">
        <v>233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</row>
    <row r="27" spans="1:492" s="76" customFormat="1" x14ac:dyDescent="0.2">
      <c r="A27" s="69"/>
      <c r="B27" s="71" t="s">
        <v>227</v>
      </c>
      <c r="C27" s="69"/>
      <c r="D27" s="69" t="s">
        <v>234</v>
      </c>
      <c r="E27" s="70">
        <v>0.27986726546317647</v>
      </c>
      <c r="F27" s="69" t="s">
        <v>235</v>
      </c>
      <c r="G27" s="69">
        <v>10</v>
      </c>
      <c r="H27" s="69">
        <v>13</v>
      </c>
      <c r="I27" s="69">
        <v>2</v>
      </c>
      <c r="J27" s="69">
        <v>14</v>
      </c>
      <c r="K27" s="69">
        <v>3</v>
      </c>
      <c r="L27" s="69">
        <v>0</v>
      </c>
      <c r="M27" s="69">
        <f t="shared" si="0"/>
        <v>478.13600000000008</v>
      </c>
      <c r="N27" s="69" t="s">
        <v>225</v>
      </c>
      <c r="O27" s="71">
        <f t="shared" si="8"/>
        <v>303.18700000000007</v>
      </c>
      <c r="P27" s="71">
        <f t="shared" si="1"/>
        <v>84.852116613984109</v>
      </c>
      <c r="Q27" s="69"/>
      <c r="R27" s="69">
        <f>P27/$Q$24</f>
        <v>0.27597037883785674</v>
      </c>
      <c r="S27" s="72">
        <f>R27*$C$24</f>
        <v>7.5246034936092094E-3</v>
      </c>
      <c r="T27" s="73">
        <f t="shared" si="3"/>
        <v>2.4818357956011332E-2</v>
      </c>
      <c r="U27" s="74">
        <f t="shared" si="9"/>
        <v>-2.4818357956011332E-2</v>
      </c>
      <c r="V27" s="75" t="s">
        <v>236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</row>
    <row r="28" spans="1:492" s="65" customFormat="1" x14ac:dyDescent="0.2">
      <c r="A28" s="58"/>
      <c r="B28" s="58" t="s">
        <v>237</v>
      </c>
      <c r="C28" s="58">
        <v>0.193</v>
      </c>
      <c r="D28" s="58" t="s">
        <v>238</v>
      </c>
      <c r="E28" s="59">
        <v>0.212596857122167</v>
      </c>
      <c r="F28" s="58" t="s">
        <v>239</v>
      </c>
      <c r="G28" s="58">
        <v>9</v>
      </c>
      <c r="H28" s="58">
        <v>12</v>
      </c>
      <c r="I28" s="58">
        <v>3</v>
      </c>
      <c r="J28" s="58">
        <v>14</v>
      </c>
      <c r="K28" s="58">
        <v>3</v>
      </c>
      <c r="L28" s="58">
        <v>0</v>
      </c>
      <c r="M28" s="58">
        <f t="shared" si="0"/>
        <v>479.12400000000002</v>
      </c>
      <c r="N28" s="58" t="s">
        <v>225</v>
      </c>
      <c r="O28" s="60">
        <f>M28-$M$82</f>
        <v>304.17500000000001</v>
      </c>
      <c r="P28" s="60">
        <f t="shared" si="1"/>
        <v>64.66664901513515</v>
      </c>
      <c r="Q28" s="58">
        <f>SUM(P28:P31)</f>
        <v>322.91632996596456</v>
      </c>
      <c r="R28" s="58">
        <f>P28/$Q$28</f>
        <v>0.20025821865977178</v>
      </c>
      <c r="S28" s="61">
        <f>R28*$C$28</f>
        <v>3.8649836201335955E-2</v>
      </c>
      <c r="T28" s="77">
        <f t="shared" si="3"/>
        <v>0.1270644734160794</v>
      </c>
      <c r="U28" s="63">
        <f>-T28</f>
        <v>-0.1270644734160794</v>
      </c>
      <c r="V28" s="64" t="s">
        <v>240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</row>
    <row r="29" spans="1:492" s="65" customFormat="1" x14ac:dyDescent="0.2">
      <c r="A29" s="58"/>
      <c r="B29" s="58"/>
      <c r="C29" s="58"/>
      <c r="D29" s="58" t="s">
        <v>241</v>
      </c>
      <c r="E29" s="59">
        <v>0.30156057643565798</v>
      </c>
      <c r="F29" s="58" t="s">
        <v>242</v>
      </c>
      <c r="G29" s="58">
        <v>10</v>
      </c>
      <c r="H29" s="58">
        <v>12</v>
      </c>
      <c r="I29" s="58">
        <v>5</v>
      </c>
      <c r="J29" s="58">
        <v>14</v>
      </c>
      <c r="K29" s="58">
        <v>3</v>
      </c>
      <c r="L29" s="58">
        <v>0</v>
      </c>
      <c r="M29" s="58">
        <f t="shared" si="0"/>
        <v>519.149</v>
      </c>
      <c r="N29" s="58" t="s">
        <v>225</v>
      </c>
      <c r="O29" s="60">
        <f t="shared" ref="O29:O31" si="10">M29-$M$82</f>
        <v>344.2</v>
      </c>
      <c r="P29" s="60">
        <f t="shared" si="1"/>
        <v>103.79715040915347</v>
      </c>
      <c r="Q29" s="58"/>
      <c r="R29" s="58">
        <f>P29/$Q$28</f>
        <v>0.32143667190845909</v>
      </c>
      <c r="S29" s="61">
        <f>R29*$C$28</f>
        <v>6.2037277678332607E-2</v>
      </c>
      <c r="T29" s="77">
        <f t="shared" si="3"/>
        <v>0.18023613503292449</v>
      </c>
      <c r="U29" s="63">
        <f t="shared" ref="U29:U30" si="11">-T29</f>
        <v>-0.18023613503292449</v>
      </c>
      <c r="V29" s="64" t="s">
        <v>243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</row>
    <row r="30" spans="1:492" s="65" customFormat="1" x14ac:dyDescent="0.2">
      <c r="A30" s="58"/>
      <c r="B30" s="58"/>
      <c r="C30" s="58"/>
      <c r="D30" s="58" t="s">
        <v>244</v>
      </c>
      <c r="E30" s="59">
        <v>0.21705952639582901</v>
      </c>
      <c r="F30" s="58" t="s">
        <v>245</v>
      </c>
      <c r="G30" s="58">
        <v>9</v>
      </c>
      <c r="H30" s="58">
        <v>11</v>
      </c>
      <c r="I30" s="58">
        <v>2</v>
      </c>
      <c r="J30" s="58">
        <v>15</v>
      </c>
      <c r="K30" s="58">
        <v>3</v>
      </c>
      <c r="L30" s="58">
        <v>0</v>
      </c>
      <c r="M30" s="58">
        <f t="shared" si="0"/>
        <v>480.10800000000006</v>
      </c>
      <c r="N30" s="58" t="s">
        <v>225</v>
      </c>
      <c r="O30" s="60">
        <f t="shared" si="10"/>
        <v>305.15900000000005</v>
      </c>
      <c r="P30" s="60">
        <f t="shared" si="1"/>
        <v>66.237668015424802</v>
      </c>
      <c r="Q30" s="58"/>
      <c r="R30" s="58">
        <f>P30/$Q$28</f>
        <v>0.20512331483021085</v>
      </c>
      <c r="S30" s="61">
        <f>R30*$C$28</f>
        <v>3.9588799762230696E-2</v>
      </c>
      <c r="T30" s="77">
        <f t="shared" si="3"/>
        <v>0.1297317128520892</v>
      </c>
      <c r="U30" s="63">
        <f t="shared" si="11"/>
        <v>-0.1297317128520892</v>
      </c>
      <c r="V30" s="64" t="s">
        <v>246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</row>
    <row r="31" spans="1:492" s="65" customFormat="1" x14ac:dyDescent="0.2">
      <c r="A31" s="58"/>
      <c r="B31" s="58"/>
      <c r="C31" s="58"/>
      <c r="D31" s="78" t="s">
        <v>247</v>
      </c>
      <c r="E31" s="59">
        <v>0.26878304004634701</v>
      </c>
      <c r="F31" s="58" t="s">
        <v>232</v>
      </c>
      <c r="G31" s="58">
        <v>10</v>
      </c>
      <c r="H31" s="58">
        <v>12</v>
      </c>
      <c r="I31" s="58">
        <v>5</v>
      </c>
      <c r="J31" s="58">
        <v>13</v>
      </c>
      <c r="K31" s="58">
        <v>3</v>
      </c>
      <c r="L31" s="58">
        <v>0</v>
      </c>
      <c r="M31" s="58">
        <f t="shared" si="0"/>
        <v>503.15</v>
      </c>
      <c r="N31" s="58" t="s">
        <v>225</v>
      </c>
      <c r="O31" s="60">
        <f t="shared" si="10"/>
        <v>328.20099999999996</v>
      </c>
      <c r="P31" s="60">
        <f t="shared" si="1"/>
        <v>88.214862526251125</v>
      </c>
      <c r="Q31" s="58"/>
      <c r="R31" s="58">
        <f>P31/$Q$28</f>
        <v>0.27318179460155823</v>
      </c>
      <c r="S31" s="61">
        <f>R31*$C$28</f>
        <v>5.272408635810074E-2</v>
      </c>
      <c r="T31" s="77">
        <f t="shared" si="3"/>
        <v>0.16064572124430074</v>
      </c>
      <c r="U31" s="63"/>
      <c r="V31" s="79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</row>
    <row r="32" spans="1:492" s="76" customFormat="1" x14ac:dyDescent="0.2">
      <c r="A32" s="69"/>
      <c r="B32" s="69" t="s">
        <v>248</v>
      </c>
      <c r="C32" s="71">
        <f xml:space="preserve"> 0.0263*(1 - C28 - C4 - C69)/0.2046</f>
        <v>2.1929521016617787E-2</v>
      </c>
      <c r="D32" s="69" t="s">
        <v>249</v>
      </c>
      <c r="E32" s="69">
        <v>1</v>
      </c>
      <c r="F32" s="69" t="s">
        <v>250</v>
      </c>
      <c r="G32" s="69">
        <v>77</v>
      </c>
      <c r="H32" s="69">
        <v>117</v>
      </c>
      <c r="I32" s="69">
        <v>15</v>
      </c>
      <c r="J32" s="69">
        <v>40</v>
      </c>
      <c r="K32" s="69">
        <v>0</v>
      </c>
      <c r="L32" s="69">
        <v>0</v>
      </c>
      <c r="M32" s="69">
        <f t="shared" si="0"/>
        <v>1892.848</v>
      </c>
      <c r="N32" s="69"/>
      <c r="O32" s="69">
        <f t="shared" ref="O32:O68" si="12">M32</f>
        <v>1892.848</v>
      </c>
      <c r="P32" s="69">
        <f t="shared" si="1"/>
        <v>1892.848</v>
      </c>
      <c r="Q32" s="69">
        <f>SUM(P32:P32)</f>
        <v>1892.848</v>
      </c>
      <c r="R32" s="69">
        <f>P32/$Q$32</f>
        <v>1</v>
      </c>
      <c r="S32" s="72">
        <f>R32*$C$32</f>
        <v>2.1929521016617787E-2</v>
      </c>
      <c r="T32" s="80">
        <f t="shared" si="3"/>
        <v>1.1585463289507551E-2</v>
      </c>
      <c r="U32" s="74">
        <f>-T32</f>
        <v>-1.1585463289507551E-2</v>
      </c>
      <c r="V32" s="75" t="s">
        <v>251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</row>
    <row r="33" spans="1:492" s="65" customFormat="1" x14ac:dyDescent="0.2">
      <c r="A33" s="60"/>
      <c r="B33" s="58" t="s">
        <v>252</v>
      </c>
      <c r="C33" s="58">
        <f>0.0358*(1 - C28 - C4 - C69)/0.2046</f>
        <v>2.9850830889540558E-2</v>
      </c>
      <c r="D33" s="78" t="s">
        <v>253</v>
      </c>
      <c r="E33" s="58">
        <v>1</v>
      </c>
      <c r="F33" s="58" t="s">
        <v>254</v>
      </c>
      <c r="G33" s="58">
        <v>84</v>
      </c>
      <c r="H33" s="58">
        <v>148</v>
      </c>
      <c r="I33" s="58">
        <v>2</v>
      </c>
      <c r="J33" s="58">
        <v>37</v>
      </c>
      <c r="K33" s="58">
        <v>2</v>
      </c>
      <c r="L33" s="58">
        <v>0</v>
      </c>
      <c r="M33" s="58">
        <f t="shared" si="0"/>
        <v>1840.0329999999999</v>
      </c>
      <c r="N33" s="58"/>
      <c r="O33" s="58">
        <f t="shared" si="12"/>
        <v>1840.0329999999999</v>
      </c>
      <c r="P33" s="58">
        <f t="shared" si="1"/>
        <v>1840.0329999999999</v>
      </c>
      <c r="Q33" s="58">
        <f>SUM(P33)</f>
        <v>1840.0329999999999</v>
      </c>
      <c r="R33" s="58">
        <f>P33/$Q$33</f>
        <v>1</v>
      </c>
      <c r="S33" s="61">
        <f>R33*$C$33</f>
        <v>2.9850830889540558E-2</v>
      </c>
      <c r="T33" s="60">
        <f t="shared" si="3"/>
        <v>1.6222986701619244E-2</v>
      </c>
      <c r="U33" s="63">
        <f>-T33</f>
        <v>-1.6222986701619244E-2</v>
      </c>
      <c r="V33" s="79" t="s">
        <v>255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</row>
    <row r="34" spans="1:492" s="76" customFormat="1" x14ac:dyDescent="0.2">
      <c r="A34" s="69"/>
      <c r="B34" s="69" t="s">
        <v>256</v>
      </c>
      <c r="C34" s="69">
        <f>0.0959*(1 - C28 - C4 - C69)/0.2046</f>
        <v>7.9963538611925691E-2</v>
      </c>
      <c r="D34" s="69" t="s">
        <v>257</v>
      </c>
      <c r="E34" s="81">
        <v>0.45900000000000002</v>
      </c>
      <c r="F34" s="69" t="s">
        <v>258</v>
      </c>
      <c r="G34" s="69">
        <v>37</v>
      </c>
      <c r="H34" s="69">
        <v>74</v>
      </c>
      <c r="I34" s="69">
        <v>1</v>
      </c>
      <c r="J34" s="69">
        <v>8</v>
      </c>
      <c r="K34" s="69">
        <v>1</v>
      </c>
      <c r="L34" s="69">
        <v>0</v>
      </c>
      <c r="M34" s="69">
        <f t="shared" si="0"/>
        <v>691.97199999999998</v>
      </c>
      <c r="N34" s="69"/>
      <c r="O34" s="69">
        <f t="shared" si="12"/>
        <v>691.97199999999998</v>
      </c>
      <c r="P34" s="69">
        <f t="shared" si="1"/>
        <v>317.61514799999998</v>
      </c>
      <c r="Q34" s="69">
        <f>SUM(P34:P36)</f>
        <v>689.79068800000005</v>
      </c>
      <c r="R34" s="69">
        <f>P34/$Q$34</f>
        <v>0.4604514869878904</v>
      </c>
      <c r="S34" s="72">
        <f>R34*$C$34</f>
        <v>3.6819330258674773E-2</v>
      </c>
      <c r="T34" s="80">
        <f t="shared" si="3"/>
        <v>5.3209277627815535E-2</v>
      </c>
      <c r="U34" s="74">
        <f>-(0.0223/(0.0223+0.0415))*T34</f>
        <v>-1.8598227133233333E-2</v>
      </c>
      <c r="V34" s="75" t="s">
        <v>259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</row>
    <row r="35" spans="1:492" s="76" customFormat="1" x14ac:dyDescent="0.2">
      <c r="A35" s="69"/>
      <c r="B35" s="69"/>
      <c r="C35" s="69"/>
      <c r="D35" s="82"/>
      <c r="E35" s="81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72"/>
      <c r="T35" s="80"/>
      <c r="U35" s="74">
        <f>-(0.0415/(0.0223+0.0415))*T34</f>
        <v>-3.4611050494582213E-2</v>
      </c>
      <c r="V35" s="83" t="s">
        <v>260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</row>
    <row r="36" spans="1:492" s="76" customFormat="1" x14ac:dyDescent="0.2">
      <c r="A36" s="69"/>
      <c r="B36" s="71" t="s">
        <v>227</v>
      </c>
      <c r="C36" s="69"/>
      <c r="D36" s="69" t="s">
        <v>261</v>
      </c>
      <c r="E36" s="81">
        <v>0.54100000000000004</v>
      </c>
      <c r="F36" s="69" t="s">
        <v>262</v>
      </c>
      <c r="G36" s="69">
        <v>37</v>
      </c>
      <c r="H36" s="69">
        <v>70</v>
      </c>
      <c r="I36" s="69">
        <v>1</v>
      </c>
      <c r="J36" s="69">
        <v>8</v>
      </c>
      <c r="K36" s="69">
        <v>1</v>
      </c>
      <c r="L36" s="69">
        <v>0</v>
      </c>
      <c r="M36" s="69">
        <f t="shared" si="0"/>
        <v>687.93999999999994</v>
      </c>
      <c r="N36" s="69"/>
      <c r="O36" s="69">
        <f t="shared" si="12"/>
        <v>687.93999999999994</v>
      </c>
      <c r="P36" s="69">
        <f>E36*O36</f>
        <v>372.17554000000001</v>
      </c>
      <c r="Q36" s="69"/>
      <c r="R36" s="69">
        <f>P36/$Q$34</f>
        <v>0.53954851301210949</v>
      </c>
      <c r="S36" s="72">
        <f>R36*$C$34</f>
        <v>4.3144208353250911E-2</v>
      </c>
      <c r="T36" s="80">
        <f>S36/O36*1000</f>
        <v>6.271507450250155E-2</v>
      </c>
      <c r="U36" s="74">
        <f>-(0.0263/(0.0263+0.0489))*T36</f>
        <v>-2.1933596534784449E-2</v>
      </c>
      <c r="V36" s="75" t="s">
        <v>263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</row>
    <row r="37" spans="1:492" s="76" customFormat="1" x14ac:dyDescent="0.2">
      <c r="A37" s="69"/>
      <c r="B37" s="71"/>
      <c r="C37" s="69"/>
      <c r="D37" s="82"/>
      <c r="E37" s="81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72"/>
      <c r="T37" s="80"/>
      <c r="U37" s="74">
        <f>-(0.0489/(0.0263+0.0489))*T36</f>
        <v>-4.0781477967717097E-2</v>
      </c>
      <c r="V37" s="83" t="s">
        <v>264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</row>
    <row r="38" spans="1:492" s="65" customFormat="1" x14ac:dyDescent="0.2">
      <c r="A38" s="60"/>
      <c r="B38" s="58" t="s">
        <v>265</v>
      </c>
      <c r="C38" s="58">
        <f>0.0105*(1 - C28 - C4 - C69)/0.2046</f>
        <v>8.7551319648093828E-3</v>
      </c>
      <c r="D38" s="78" t="s">
        <v>266</v>
      </c>
      <c r="E38" s="77">
        <v>0.7142857142857143</v>
      </c>
      <c r="F38" s="58" t="s">
        <v>267</v>
      </c>
      <c r="G38" s="58"/>
      <c r="H38" s="58"/>
      <c r="I38" s="58"/>
      <c r="J38" s="58"/>
      <c r="K38" s="58"/>
      <c r="L38" s="58"/>
      <c r="M38" s="58">
        <v>38.963700000000003</v>
      </c>
      <c r="N38" s="58"/>
      <c r="O38" s="58">
        <f t="shared" si="12"/>
        <v>38.963700000000003</v>
      </c>
      <c r="P38" s="58">
        <f t="shared" ref="P38:P51" si="13">E38*O38</f>
        <v>27.831214285714289</v>
      </c>
      <c r="Q38" s="58">
        <f>SUM(P38:P51)</f>
        <v>42.219142539682551</v>
      </c>
      <c r="R38" s="58">
        <f t="shared" ref="R38:R51" si="14">P38/$Q$38</f>
        <v>0.65920842090895659</v>
      </c>
      <c r="S38" s="61">
        <f t="shared" ref="S38:S51" si="15">R38*$C$38</f>
        <v>5.7714567173715236E-3</v>
      </c>
      <c r="T38" s="62">
        <f t="shared" ref="T38:T51" si="16">S38/O38*1000</f>
        <v>0.14812393888084355</v>
      </c>
      <c r="U38" s="63">
        <f>-T38</f>
        <v>-0.14812393888084355</v>
      </c>
      <c r="V38" s="79" t="s">
        <v>268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</row>
    <row r="39" spans="1:492" s="65" customFormat="1" x14ac:dyDescent="0.2">
      <c r="A39" s="60"/>
      <c r="B39" s="60" t="s">
        <v>227</v>
      </c>
      <c r="C39" s="58"/>
      <c r="D39" s="78" t="s">
        <v>269</v>
      </c>
      <c r="E39" s="77">
        <v>4.7619047619047616E-2</v>
      </c>
      <c r="F39" s="58" t="s">
        <v>270</v>
      </c>
      <c r="G39" s="58">
        <v>0</v>
      </c>
      <c r="H39" s="58">
        <v>4</v>
      </c>
      <c r="I39" s="58">
        <v>1</v>
      </c>
      <c r="J39" s="58">
        <v>0</v>
      </c>
      <c r="K39" s="58">
        <v>0</v>
      </c>
      <c r="L39" s="58">
        <v>0</v>
      </c>
      <c r="M39" s="58">
        <f>(G39*12.011)+(H39*1.008)+(J39*15.999)+(14.007*I39)+(K39*30.974)+(L39*32.066)</f>
        <v>18.039000000000001</v>
      </c>
      <c r="N39" s="58"/>
      <c r="O39" s="58">
        <f t="shared" si="12"/>
        <v>18.039000000000001</v>
      </c>
      <c r="P39" s="58">
        <f t="shared" si="13"/>
        <v>0.85899999999999999</v>
      </c>
      <c r="Q39" s="58"/>
      <c r="R39" s="58">
        <f t="shared" si="14"/>
        <v>2.0346220892397567E-2</v>
      </c>
      <c r="S39" s="61">
        <f t="shared" si="15"/>
        <v>1.7813384889810242E-4</v>
      </c>
      <c r="T39" s="62">
        <f t="shared" si="16"/>
        <v>9.8749292587229E-3</v>
      </c>
      <c r="U39" s="63">
        <f t="shared" ref="U39:U50" si="17">-T39</f>
        <v>-9.8749292587229E-3</v>
      </c>
      <c r="V39" s="79" t="s">
        <v>271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</row>
    <row r="40" spans="1:492" s="65" customFormat="1" x14ac:dyDescent="0.2">
      <c r="A40" s="60"/>
      <c r="B40" s="60" t="s">
        <v>227</v>
      </c>
      <c r="C40" s="58"/>
      <c r="D40" s="78" t="s">
        <v>272</v>
      </c>
      <c r="E40" s="77">
        <v>3.1746031746031744E-2</v>
      </c>
      <c r="F40" s="58" t="s">
        <v>273</v>
      </c>
      <c r="G40" s="58"/>
      <c r="H40" s="58"/>
      <c r="I40" s="58"/>
      <c r="J40" s="58"/>
      <c r="K40" s="58"/>
      <c r="L40" s="58"/>
      <c r="M40" s="58">
        <v>23.984999999999999</v>
      </c>
      <c r="N40" s="58"/>
      <c r="O40" s="58">
        <f t="shared" si="12"/>
        <v>23.984999999999999</v>
      </c>
      <c r="P40" s="58">
        <f t="shared" si="13"/>
        <v>0.76142857142857134</v>
      </c>
      <c r="Q40" s="58"/>
      <c r="R40" s="58">
        <f t="shared" si="14"/>
        <v>1.8035150067600036E-2</v>
      </c>
      <c r="S40" s="61">
        <f t="shared" si="15"/>
        <v>1.5790011884697918E-4</v>
      </c>
      <c r="T40" s="62">
        <f t="shared" si="16"/>
        <v>6.5832861724819331E-3</v>
      </c>
      <c r="U40" s="63">
        <f t="shared" si="17"/>
        <v>-6.5832861724819331E-3</v>
      </c>
      <c r="V40" s="79" t="s">
        <v>274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</row>
    <row r="41" spans="1:492" s="65" customFormat="1" x14ac:dyDescent="0.2">
      <c r="A41" s="60"/>
      <c r="B41" s="60" t="s">
        <v>227</v>
      </c>
      <c r="C41" s="58"/>
      <c r="D41" s="78" t="s">
        <v>275</v>
      </c>
      <c r="E41" s="77">
        <v>1.9047619047619049E-2</v>
      </c>
      <c r="F41" s="58" t="s">
        <v>276</v>
      </c>
      <c r="G41" s="58"/>
      <c r="H41" s="58"/>
      <c r="I41" s="58"/>
      <c r="J41" s="58"/>
      <c r="K41" s="58"/>
      <c r="L41" s="58"/>
      <c r="M41" s="58">
        <v>39.962600000000002</v>
      </c>
      <c r="N41" s="58"/>
      <c r="O41" s="58">
        <f t="shared" si="12"/>
        <v>39.962600000000002</v>
      </c>
      <c r="P41" s="58">
        <f t="shared" si="13"/>
        <v>0.76119238095238106</v>
      </c>
      <c r="Q41" s="58"/>
      <c r="R41" s="58">
        <f t="shared" si="14"/>
        <v>1.8029555674583451E-2</v>
      </c>
      <c r="S41" s="61">
        <f t="shared" si="15"/>
        <v>1.5785113919785596E-4</v>
      </c>
      <c r="T41" s="62">
        <f t="shared" si="16"/>
        <v>3.9499717034891611E-3</v>
      </c>
      <c r="U41" s="63">
        <f t="shared" si="17"/>
        <v>-3.9499717034891611E-3</v>
      </c>
      <c r="V41" s="79" t="s">
        <v>277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</row>
    <row r="42" spans="1:492" s="65" customFormat="1" x14ac:dyDescent="0.2">
      <c r="A42" s="60"/>
      <c r="B42" s="60" t="s">
        <v>227</v>
      </c>
      <c r="C42" s="58"/>
      <c r="D42" s="78" t="s">
        <v>278</v>
      </c>
      <c r="E42" s="77">
        <v>2.8571428571428571E-2</v>
      </c>
      <c r="F42" s="58" t="s">
        <v>279</v>
      </c>
      <c r="G42" s="58"/>
      <c r="H42" s="58"/>
      <c r="I42" s="58"/>
      <c r="J42" s="58"/>
      <c r="K42" s="58"/>
      <c r="L42" s="58"/>
      <c r="M42" s="58">
        <v>55.934899999999999</v>
      </c>
      <c r="N42" s="58"/>
      <c r="O42" s="58">
        <f t="shared" si="12"/>
        <v>55.934899999999999</v>
      </c>
      <c r="P42" s="58">
        <f t="shared" si="13"/>
        <v>1.5981399999999999</v>
      </c>
      <c r="Q42" s="58"/>
      <c r="R42" s="58">
        <f t="shared" si="14"/>
        <v>3.7853445235129506E-2</v>
      </c>
      <c r="S42" s="61">
        <f>R42*$C$38</f>
        <v>3.3141190835624378E-4</v>
      </c>
      <c r="T42" s="62">
        <f t="shared" si="16"/>
        <v>5.9249575552337407E-3</v>
      </c>
      <c r="U42" s="63">
        <f t="shared" si="17"/>
        <v>-5.9249575552337407E-3</v>
      </c>
      <c r="V42" s="79" t="s">
        <v>280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</row>
    <row r="43" spans="1:492" s="65" customFormat="1" x14ac:dyDescent="0.2">
      <c r="A43" s="60"/>
      <c r="B43" s="60" t="s">
        <v>227</v>
      </c>
      <c r="C43" s="58"/>
      <c r="D43" s="78" t="s">
        <v>281</v>
      </c>
      <c r="E43" s="77">
        <v>2.8571428571428571E-2</v>
      </c>
      <c r="F43" s="58" t="s">
        <v>279</v>
      </c>
      <c r="G43" s="58"/>
      <c r="H43" s="58"/>
      <c r="I43" s="58"/>
      <c r="J43" s="58"/>
      <c r="K43" s="58"/>
      <c r="L43" s="58"/>
      <c r="M43" s="58">
        <v>55.934899999999999</v>
      </c>
      <c r="N43" s="58"/>
      <c r="O43" s="58">
        <f t="shared" si="12"/>
        <v>55.934899999999999</v>
      </c>
      <c r="P43" s="58">
        <f t="shared" si="13"/>
        <v>1.5981399999999999</v>
      </c>
      <c r="Q43" s="58"/>
      <c r="R43" s="58">
        <f t="shared" si="14"/>
        <v>3.7853445235129506E-2</v>
      </c>
      <c r="S43" s="61">
        <f t="shared" si="15"/>
        <v>3.3141190835624378E-4</v>
      </c>
      <c r="T43" s="62">
        <f t="shared" si="16"/>
        <v>5.9249575552337407E-3</v>
      </c>
      <c r="U43" s="63">
        <f t="shared" si="17"/>
        <v>-5.9249575552337407E-3</v>
      </c>
      <c r="V43" s="79" t="s">
        <v>282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</row>
    <row r="44" spans="1:492" s="65" customFormat="1" x14ac:dyDescent="0.2">
      <c r="A44" s="60"/>
      <c r="B44" s="60" t="s">
        <v>227</v>
      </c>
      <c r="C44" s="58"/>
      <c r="D44" s="78" t="s">
        <v>283</v>
      </c>
      <c r="E44" s="77">
        <v>1.2698412698412698E-2</v>
      </c>
      <c r="F44" s="58" t="s">
        <v>284</v>
      </c>
      <c r="G44" s="58"/>
      <c r="H44" s="58"/>
      <c r="I44" s="58"/>
      <c r="J44" s="58"/>
      <c r="K44" s="58"/>
      <c r="L44" s="58"/>
      <c r="M44" s="58">
        <v>63.545999999999999</v>
      </c>
      <c r="N44" s="58"/>
      <c r="O44" s="58">
        <f t="shared" si="12"/>
        <v>63.545999999999999</v>
      </c>
      <c r="P44" s="58">
        <f t="shared" si="13"/>
        <v>0.80693333333333328</v>
      </c>
      <c r="Q44" s="58"/>
      <c r="R44" s="58">
        <f t="shared" si="14"/>
        <v>1.9112973044748169E-2</v>
      </c>
      <c r="S44" s="61">
        <f t="shared" si="15"/>
        <v>1.673366012466148E-4</v>
      </c>
      <c r="T44" s="62">
        <f t="shared" si="16"/>
        <v>2.6333144689927738E-3</v>
      </c>
      <c r="U44" s="63">
        <f t="shared" si="17"/>
        <v>-2.6333144689927738E-3</v>
      </c>
      <c r="V44" s="79" t="s">
        <v>285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</row>
    <row r="45" spans="1:492" s="65" customFormat="1" x14ac:dyDescent="0.2">
      <c r="A45" s="60"/>
      <c r="B45" s="60" t="s">
        <v>227</v>
      </c>
      <c r="C45" s="58"/>
      <c r="D45" s="78" t="s">
        <v>286</v>
      </c>
      <c r="E45" s="77">
        <v>1.2698412698412698E-2</v>
      </c>
      <c r="F45" s="58" t="s">
        <v>287</v>
      </c>
      <c r="G45" s="58"/>
      <c r="H45" s="58"/>
      <c r="I45" s="58"/>
      <c r="J45" s="58"/>
      <c r="K45" s="58"/>
      <c r="L45" s="58"/>
      <c r="M45" s="58">
        <v>54.938000000000002</v>
      </c>
      <c r="N45" s="58"/>
      <c r="O45" s="58">
        <f t="shared" si="12"/>
        <v>54.938000000000002</v>
      </c>
      <c r="P45" s="58">
        <f t="shared" si="13"/>
        <v>0.69762539682539682</v>
      </c>
      <c r="Q45" s="58"/>
      <c r="R45" s="58">
        <f t="shared" si="14"/>
        <v>1.6523912018575126E-2</v>
      </c>
      <c r="S45" s="61">
        <f t="shared" si="15"/>
        <v>1.4466903029752501E-4</v>
      </c>
      <c r="T45" s="62">
        <f t="shared" si="16"/>
        <v>2.6333144689927738E-3</v>
      </c>
      <c r="U45" s="63">
        <f t="shared" si="17"/>
        <v>-2.6333144689927738E-3</v>
      </c>
      <c r="V45" s="79" t="s">
        <v>288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</row>
    <row r="46" spans="1:492" s="65" customFormat="1" x14ac:dyDescent="0.2">
      <c r="A46" s="60"/>
      <c r="B46" s="60" t="s">
        <v>227</v>
      </c>
      <c r="C46" s="58"/>
      <c r="D46" s="78" t="s">
        <v>289</v>
      </c>
      <c r="E46" s="77">
        <v>1.2698412698412698E-2</v>
      </c>
      <c r="F46" s="58" t="s">
        <v>290</v>
      </c>
      <c r="G46" s="58">
        <v>0</v>
      </c>
      <c r="H46" s="58">
        <v>0</v>
      </c>
      <c r="I46" s="58">
        <v>0</v>
      </c>
      <c r="J46" s="58">
        <v>4</v>
      </c>
      <c r="K46" s="58">
        <v>0</v>
      </c>
      <c r="L46" s="58">
        <v>0</v>
      </c>
      <c r="M46" s="58">
        <v>159.94</v>
      </c>
      <c r="N46" s="58"/>
      <c r="O46" s="58">
        <f t="shared" si="12"/>
        <v>159.94</v>
      </c>
      <c r="P46" s="58">
        <f t="shared" si="13"/>
        <v>2.0309841269841269</v>
      </c>
      <c r="Q46" s="58"/>
      <c r="R46" s="58">
        <f t="shared" si="14"/>
        <v>4.8105764466323954E-2</v>
      </c>
      <c r="S46" s="61">
        <f t="shared" si="15"/>
        <v>4.2117231617070424E-4</v>
      </c>
      <c r="T46" s="62">
        <f t="shared" si="16"/>
        <v>2.6333144689927738E-3</v>
      </c>
      <c r="U46" s="63">
        <f t="shared" si="17"/>
        <v>-2.6333144689927738E-3</v>
      </c>
      <c r="V46" s="79" t="s">
        <v>291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</row>
    <row r="47" spans="1:492" s="65" customFormat="1" x14ac:dyDescent="0.2">
      <c r="A47" s="60"/>
      <c r="B47" s="60" t="s">
        <v>227</v>
      </c>
      <c r="C47" s="58"/>
      <c r="D47" s="78" t="s">
        <v>292</v>
      </c>
      <c r="E47" s="77">
        <v>1.2698412698412698E-2</v>
      </c>
      <c r="F47" s="58" t="s">
        <v>293</v>
      </c>
      <c r="G47" s="58"/>
      <c r="H47" s="58"/>
      <c r="I47" s="58"/>
      <c r="J47" s="58"/>
      <c r="K47" s="58"/>
      <c r="L47" s="58"/>
      <c r="M47" s="58">
        <v>58.933199999999999</v>
      </c>
      <c r="N47" s="58"/>
      <c r="O47" s="58">
        <f t="shared" si="12"/>
        <v>58.933199999999999</v>
      </c>
      <c r="P47" s="58">
        <f t="shared" si="13"/>
        <v>0.74835809523809527</v>
      </c>
      <c r="Q47" s="58"/>
      <c r="R47" s="58">
        <f t="shared" si="14"/>
        <v>1.7725563576633508E-2</v>
      </c>
      <c r="S47" s="61">
        <f t="shared" si="15"/>
        <v>1.5518964826404495E-4</v>
      </c>
      <c r="T47" s="62">
        <f t="shared" si="16"/>
        <v>2.6333144689927742E-3</v>
      </c>
      <c r="U47" s="63">
        <f t="shared" si="17"/>
        <v>-2.6333144689927742E-3</v>
      </c>
      <c r="V47" s="79" t="s">
        <v>294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</row>
    <row r="48" spans="1:492" s="65" customFormat="1" x14ac:dyDescent="0.2">
      <c r="A48" s="60"/>
      <c r="B48" s="60" t="s">
        <v>227</v>
      </c>
      <c r="C48" s="84"/>
      <c r="D48" s="78" t="s">
        <v>295</v>
      </c>
      <c r="E48" s="77">
        <v>1.2698412698412698E-2</v>
      </c>
      <c r="F48" s="58" t="s">
        <v>296</v>
      </c>
      <c r="G48" s="58"/>
      <c r="H48" s="58"/>
      <c r="I48" s="58"/>
      <c r="J48" s="58"/>
      <c r="K48" s="58"/>
      <c r="L48" s="58"/>
      <c r="M48" s="58">
        <v>63.929099999999998</v>
      </c>
      <c r="N48" s="58"/>
      <c r="O48" s="58">
        <f t="shared" si="12"/>
        <v>63.929099999999998</v>
      </c>
      <c r="P48" s="58">
        <f t="shared" si="13"/>
        <v>0.81179809523809521</v>
      </c>
      <c r="Q48" s="58"/>
      <c r="R48" s="58">
        <f t="shared" si="14"/>
        <v>1.9228199494460866E-2</v>
      </c>
      <c r="S48" s="61">
        <f t="shared" si="15"/>
        <v>1.6834542401968596E-4</v>
      </c>
      <c r="T48" s="62">
        <f t="shared" si="16"/>
        <v>2.6333144689927742E-3</v>
      </c>
      <c r="U48" s="63">
        <f t="shared" si="17"/>
        <v>-2.6333144689927742E-3</v>
      </c>
      <c r="V48" s="79" t="s">
        <v>297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</row>
    <row r="49" spans="1:492" s="65" customFormat="1" x14ac:dyDescent="0.2">
      <c r="A49" s="60"/>
      <c r="B49" s="60" t="s">
        <v>227</v>
      </c>
      <c r="C49" s="58"/>
      <c r="D49" s="78" t="s">
        <v>298</v>
      </c>
      <c r="E49" s="77">
        <v>1.9047619047619049E-2</v>
      </c>
      <c r="F49" s="58" t="s">
        <v>299</v>
      </c>
      <c r="G49" s="58"/>
      <c r="H49" s="58"/>
      <c r="I49" s="58"/>
      <c r="J49" s="58"/>
      <c r="K49" s="58"/>
      <c r="L49" s="58"/>
      <c r="M49" s="58">
        <v>34.968899999999998</v>
      </c>
      <c r="N49" s="58"/>
      <c r="O49" s="58">
        <f t="shared" si="12"/>
        <v>34.968899999999998</v>
      </c>
      <c r="P49" s="58">
        <f t="shared" si="13"/>
        <v>0.66607428571428573</v>
      </c>
      <c r="Q49" s="58"/>
      <c r="R49" s="58">
        <f t="shared" si="14"/>
        <v>1.5776594351442127E-2</v>
      </c>
      <c r="S49" s="61">
        <f t="shared" si="15"/>
        <v>1.3812616550214213E-4</v>
      </c>
      <c r="T49" s="62">
        <f t="shared" si="16"/>
        <v>3.9499717034891611E-3</v>
      </c>
      <c r="U49" s="63">
        <f t="shared" si="17"/>
        <v>-3.9499717034891611E-3</v>
      </c>
      <c r="V49" s="79" t="s">
        <v>300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</row>
    <row r="50" spans="1:492" s="65" customFormat="1" x14ac:dyDescent="0.2">
      <c r="A50" s="60"/>
      <c r="B50" s="60" t="s">
        <v>227</v>
      </c>
      <c r="C50" s="58"/>
      <c r="D50" s="58" t="s">
        <v>301</v>
      </c>
      <c r="E50" s="77">
        <v>1.5873015873015872E-2</v>
      </c>
      <c r="F50" s="58" t="s">
        <v>302</v>
      </c>
      <c r="G50" s="58">
        <v>0</v>
      </c>
      <c r="H50" s="58">
        <v>0</v>
      </c>
      <c r="I50" s="58">
        <v>0</v>
      </c>
      <c r="J50" s="58">
        <v>4</v>
      </c>
      <c r="K50" s="58">
        <v>0</v>
      </c>
      <c r="L50" s="58">
        <v>1</v>
      </c>
      <c r="M50" s="58">
        <f t="shared" ref="M50:M62" si="18">(G50*12.011)+(H50*1.008)+(J50*15.999)+(14.007*I50)+(K50*30.974)+(L50*32.066)</f>
        <v>96.062000000000012</v>
      </c>
      <c r="N50" s="58"/>
      <c r="O50" s="58">
        <f t="shared" si="12"/>
        <v>96.062000000000012</v>
      </c>
      <c r="P50" s="58">
        <f t="shared" si="13"/>
        <v>1.5247936507936508</v>
      </c>
      <c r="Q50" s="58"/>
      <c r="R50" s="58">
        <f t="shared" si="14"/>
        <v>3.6116168142459763E-2</v>
      </c>
      <c r="S50" s="61">
        <f t="shared" si="15"/>
        <v>3.1620181815047977E-4</v>
      </c>
      <c r="T50" s="62">
        <f t="shared" si="16"/>
        <v>3.2916430862409665E-3</v>
      </c>
      <c r="U50" s="63">
        <f t="shared" si="17"/>
        <v>-3.2916430862409665E-3</v>
      </c>
      <c r="V50" s="64" t="s">
        <v>303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</row>
    <row r="51" spans="1:492" s="65" customFormat="1" x14ac:dyDescent="0.2">
      <c r="A51" s="60"/>
      <c r="B51" s="60" t="s">
        <v>227</v>
      </c>
      <c r="C51" s="58"/>
      <c r="D51" s="78" t="s">
        <v>304</v>
      </c>
      <c r="E51" s="77">
        <v>1.5873015873015872E-2</v>
      </c>
      <c r="F51" s="58" t="s">
        <v>305</v>
      </c>
      <c r="G51" s="58">
        <v>0</v>
      </c>
      <c r="H51" s="58">
        <v>1</v>
      </c>
      <c r="I51" s="58">
        <v>0</v>
      </c>
      <c r="J51" s="58">
        <v>4</v>
      </c>
      <c r="K51" s="58">
        <v>1</v>
      </c>
      <c r="L51" s="58">
        <v>0</v>
      </c>
      <c r="M51" s="58">
        <f t="shared" si="18"/>
        <v>95.978000000000009</v>
      </c>
      <c r="N51" s="58"/>
      <c r="O51" s="58">
        <f t="shared" si="12"/>
        <v>95.978000000000009</v>
      </c>
      <c r="P51" s="58">
        <f t="shared" si="13"/>
        <v>1.5234603174603174</v>
      </c>
      <c r="Q51" s="58"/>
      <c r="R51" s="58">
        <f t="shared" si="14"/>
        <v>3.6084586891559654E-2</v>
      </c>
      <c r="S51" s="61">
        <f t="shared" si="15"/>
        <v>3.1592532013123559E-4</v>
      </c>
      <c r="T51" s="62">
        <f t="shared" si="16"/>
        <v>3.2916430862409674E-3</v>
      </c>
      <c r="U51" s="63"/>
      <c r="V51" s="79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</row>
    <row r="52" spans="1:492" s="76" customFormat="1" x14ac:dyDescent="0.2">
      <c r="A52" s="69"/>
      <c r="B52" s="69" t="s">
        <v>306</v>
      </c>
      <c r="C52" s="69">
        <f>0.0034*(1 - C28 - C4 - C69)/0.2046</f>
        <v>2.8349951124144665E-3</v>
      </c>
      <c r="D52" s="82" t="s">
        <v>307</v>
      </c>
      <c r="E52" s="85">
        <v>5.7620000000000002E-4</v>
      </c>
      <c r="F52" s="69" t="s">
        <v>308</v>
      </c>
      <c r="G52" s="69">
        <v>21</v>
      </c>
      <c r="H52" s="69">
        <v>32</v>
      </c>
      <c r="I52" s="69">
        <v>7</v>
      </c>
      <c r="J52" s="69">
        <v>16</v>
      </c>
      <c r="K52" s="69">
        <v>3</v>
      </c>
      <c r="L52" s="69">
        <v>1</v>
      </c>
      <c r="M52" s="69">
        <f t="shared" si="18"/>
        <v>763.50800000000004</v>
      </c>
      <c r="N52" s="69"/>
      <c r="O52" s="69">
        <f t="shared" si="12"/>
        <v>763.50800000000004</v>
      </c>
      <c r="P52" s="69"/>
      <c r="Q52" s="69"/>
      <c r="R52" s="69"/>
      <c r="S52" s="71"/>
      <c r="T52" s="85">
        <f t="shared" ref="T52:T68" si="19">E52*C$52/0.0034</f>
        <v>4.8044828934506344E-4</v>
      </c>
      <c r="U52" s="74">
        <f t="shared" ref="U52:U68" si="20">-T52</f>
        <v>-4.8044828934506344E-4</v>
      </c>
      <c r="V52" s="83" t="s">
        <v>309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</row>
    <row r="53" spans="1:492" s="76" customFormat="1" x14ac:dyDescent="0.2">
      <c r="A53" s="69"/>
      <c r="B53" s="69"/>
      <c r="C53" s="69"/>
      <c r="D53" s="69" t="s">
        <v>310</v>
      </c>
      <c r="E53" s="85">
        <v>1.8313333333333337E-3</v>
      </c>
      <c r="F53" s="69" t="s">
        <v>311</v>
      </c>
      <c r="G53" s="69">
        <v>21</v>
      </c>
      <c r="H53" s="69">
        <v>26</v>
      </c>
      <c r="I53" s="69">
        <v>7</v>
      </c>
      <c r="J53" s="69">
        <v>14</v>
      </c>
      <c r="K53" s="69">
        <v>2</v>
      </c>
      <c r="L53" s="69">
        <v>0</v>
      </c>
      <c r="M53" s="69">
        <f t="shared" si="18"/>
        <v>662.42199999999991</v>
      </c>
      <c r="N53" s="69"/>
      <c r="O53" s="69">
        <f t="shared" si="12"/>
        <v>662.42199999999991</v>
      </c>
      <c r="P53" s="69"/>
      <c r="Q53" s="69"/>
      <c r="R53" s="69"/>
      <c r="S53" s="71"/>
      <c r="T53" s="85">
        <f t="shared" si="19"/>
        <v>1.5270061909416748E-3</v>
      </c>
      <c r="U53" s="74">
        <f t="shared" si="20"/>
        <v>-1.5270061909416748E-3</v>
      </c>
      <c r="V53" s="75" t="s">
        <v>312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</row>
    <row r="54" spans="1:492" s="76" customFormat="1" x14ac:dyDescent="0.2">
      <c r="A54" s="69"/>
      <c r="B54" s="69"/>
      <c r="C54" s="69"/>
      <c r="D54" s="69" t="s">
        <v>313</v>
      </c>
      <c r="E54" s="85">
        <v>4.4666666666666677E-4</v>
      </c>
      <c r="F54" s="69" t="s">
        <v>314</v>
      </c>
      <c r="G54" s="69">
        <v>21</v>
      </c>
      <c r="H54" s="69">
        <v>25</v>
      </c>
      <c r="I54" s="69">
        <v>7</v>
      </c>
      <c r="J54" s="69">
        <v>17</v>
      </c>
      <c r="K54" s="69">
        <v>3</v>
      </c>
      <c r="L54" s="69">
        <v>0</v>
      </c>
      <c r="M54" s="69">
        <f t="shared" si="18"/>
        <v>740.38499999999999</v>
      </c>
      <c r="N54" s="69"/>
      <c r="O54" s="69">
        <f t="shared" si="12"/>
        <v>740.38499999999999</v>
      </c>
      <c r="P54" s="69"/>
      <c r="Q54" s="69"/>
      <c r="R54" s="69"/>
      <c r="S54" s="71"/>
      <c r="T54" s="85">
        <f t="shared" si="19"/>
        <v>3.7244053437601829E-4</v>
      </c>
      <c r="U54" s="74">
        <f t="shared" si="20"/>
        <v>-3.7244053437601829E-4</v>
      </c>
      <c r="V54" s="75" t="s">
        <v>315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</row>
    <row r="55" spans="1:492" s="76" customFormat="1" x14ac:dyDescent="0.2">
      <c r="A55" s="69"/>
      <c r="B55" s="69"/>
      <c r="C55" s="69"/>
      <c r="D55" s="82" t="s">
        <v>316</v>
      </c>
      <c r="E55" s="85">
        <v>2.2333333333333339E-4</v>
      </c>
      <c r="F55" s="69" t="s">
        <v>317</v>
      </c>
      <c r="G55" s="69">
        <v>27</v>
      </c>
      <c r="H55" s="69">
        <v>31</v>
      </c>
      <c r="I55" s="69">
        <v>9</v>
      </c>
      <c r="J55" s="69">
        <v>15</v>
      </c>
      <c r="K55" s="69">
        <v>2</v>
      </c>
      <c r="L55" s="69">
        <v>0</v>
      </c>
      <c r="M55" s="69">
        <f t="shared" si="18"/>
        <v>783.54099999999994</v>
      </c>
      <c r="N55" s="69"/>
      <c r="O55" s="69">
        <f t="shared" si="12"/>
        <v>783.54099999999994</v>
      </c>
      <c r="P55" s="69"/>
      <c r="Q55" s="69"/>
      <c r="R55" s="69"/>
      <c r="S55" s="71"/>
      <c r="T55" s="85">
        <f t="shared" si="19"/>
        <v>1.8622026718800915E-4</v>
      </c>
      <c r="U55" s="74">
        <f t="shared" si="20"/>
        <v>-1.8622026718800915E-4</v>
      </c>
      <c r="V55" s="83" t="s">
        <v>318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</row>
    <row r="56" spans="1:492" s="76" customFormat="1" x14ac:dyDescent="0.2">
      <c r="A56" s="69"/>
      <c r="B56" s="69"/>
      <c r="C56" s="69"/>
      <c r="D56" s="82" t="s">
        <v>319</v>
      </c>
      <c r="E56" s="85">
        <v>2.2333333333333339E-4</v>
      </c>
      <c r="F56" s="69" t="s">
        <v>320</v>
      </c>
      <c r="G56" s="69">
        <v>19</v>
      </c>
      <c r="H56" s="69">
        <v>21</v>
      </c>
      <c r="I56" s="69">
        <v>7</v>
      </c>
      <c r="J56" s="69">
        <v>6</v>
      </c>
      <c r="K56" s="69">
        <v>0</v>
      </c>
      <c r="L56" s="69">
        <v>0</v>
      </c>
      <c r="M56" s="69">
        <f t="shared" si="18"/>
        <v>443.41999999999996</v>
      </c>
      <c r="N56" s="69"/>
      <c r="O56" s="69">
        <f t="shared" si="12"/>
        <v>443.41999999999996</v>
      </c>
      <c r="P56" s="69"/>
      <c r="Q56" s="69"/>
      <c r="R56" s="69"/>
      <c r="S56" s="71"/>
      <c r="T56" s="85">
        <f t="shared" si="19"/>
        <v>1.8622026718800915E-4</v>
      </c>
      <c r="U56" s="74">
        <f t="shared" si="20"/>
        <v>-1.8622026718800915E-4</v>
      </c>
      <c r="V56" s="83" t="s">
        <v>321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</row>
    <row r="57" spans="1:492" s="76" customFormat="1" x14ac:dyDescent="0.2">
      <c r="A57" s="69"/>
      <c r="B57" s="69"/>
      <c r="C57" s="69"/>
      <c r="D57" s="82" t="s">
        <v>322</v>
      </c>
      <c r="E57" s="85">
        <v>2.2333333333333339E-4</v>
      </c>
      <c r="F57" s="69" t="s">
        <v>323</v>
      </c>
      <c r="G57" s="69">
        <v>20</v>
      </c>
      <c r="H57" s="69">
        <v>21</v>
      </c>
      <c r="I57" s="69">
        <v>7</v>
      </c>
      <c r="J57" s="69">
        <v>6</v>
      </c>
      <c r="K57" s="69">
        <v>0</v>
      </c>
      <c r="L57" s="69">
        <v>0</v>
      </c>
      <c r="M57" s="69">
        <f t="shared" si="18"/>
        <v>455.43099999999993</v>
      </c>
      <c r="N57" s="69"/>
      <c r="O57" s="69">
        <f t="shared" si="12"/>
        <v>455.43099999999993</v>
      </c>
      <c r="P57" s="69"/>
      <c r="Q57" s="69"/>
      <c r="R57" s="69"/>
      <c r="S57" s="71"/>
      <c r="T57" s="85">
        <f t="shared" si="19"/>
        <v>1.8622026718800915E-4</v>
      </c>
      <c r="U57" s="74">
        <f t="shared" si="20"/>
        <v>-1.8622026718800915E-4</v>
      </c>
      <c r="V57" s="83" t="s">
        <v>324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</row>
    <row r="58" spans="1:492" s="76" customFormat="1" x14ac:dyDescent="0.2">
      <c r="A58" s="69"/>
      <c r="B58" s="69"/>
      <c r="C58" s="69"/>
      <c r="D58" s="82" t="s">
        <v>325</v>
      </c>
      <c r="E58" s="85">
        <v>2.2333333333333339E-4</v>
      </c>
      <c r="F58" s="69" t="s">
        <v>326</v>
      </c>
      <c r="G58" s="69">
        <v>20</v>
      </c>
      <c r="H58" s="69">
        <v>24</v>
      </c>
      <c r="I58" s="69">
        <v>7</v>
      </c>
      <c r="J58" s="69">
        <v>6</v>
      </c>
      <c r="K58" s="69">
        <v>0</v>
      </c>
      <c r="L58" s="69">
        <v>0</v>
      </c>
      <c r="M58" s="69">
        <f t="shared" si="18"/>
        <v>458.45499999999993</v>
      </c>
      <c r="N58" s="69"/>
      <c r="O58" s="69">
        <f t="shared" si="12"/>
        <v>458.45499999999993</v>
      </c>
      <c r="P58" s="69"/>
      <c r="Q58" s="69"/>
      <c r="R58" s="69"/>
      <c r="S58" s="71"/>
      <c r="T58" s="85">
        <f t="shared" si="19"/>
        <v>1.8622026718800915E-4</v>
      </c>
      <c r="U58" s="74">
        <f t="shared" si="20"/>
        <v>-1.8622026718800915E-4</v>
      </c>
      <c r="V58" s="83" t="s">
        <v>327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</row>
    <row r="59" spans="1:492" s="76" customFormat="1" x14ac:dyDescent="0.2">
      <c r="A59" s="69"/>
      <c r="B59" s="69"/>
      <c r="C59" s="86"/>
      <c r="D59" s="82" t="s">
        <v>328</v>
      </c>
      <c r="E59" s="85">
        <v>2.2333333333333339E-4</v>
      </c>
      <c r="F59" s="69" t="s">
        <v>329</v>
      </c>
      <c r="G59" s="69">
        <v>20</v>
      </c>
      <c r="H59" s="69">
        <v>21</v>
      </c>
      <c r="I59" s="69">
        <v>7</v>
      </c>
      <c r="J59" s="69">
        <v>7</v>
      </c>
      <c r="K59" s="69">
        <v>0</v>
      </c>
      <c r="L59" s="69">
        <v>0</v>
      </c>
      <c r="M59" s="69">
        <f>(G59*12.011)+(H59*1.008)+(J59*15.999)+(14.007*I59)+(K59*30.974)+(L59*32.066)</f>
        <v>471.42999999999995</v>
      </c>
      <c r="N59" s="69"/>
      <c r="O59" s="69">
        <f>M59</f>
        <v>471.42999999999995</v>
      </c>
      <c r="P59" s="69"/>
      <c r="Q59" s="69"/>
      <c r="R59" s="69"/>
      <c r="S59" s="71"/>
      <c r="T59" s="85">
        <f t="shared" si="19"/>
        <v>1.8622026718800915E-4</v>
      </c>
      <c r="U59" s="74">
        <f t="shared" si="20"/>
        <v>-1.8622026718800915E-4</v>
      </c>
      <c r="V59" s="83" t="s">
        <v>330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</row>
    <row r="60" spans="1:492" s="76" customFormat="1" x14ac:dyDescent="0.2">
      <c r="A60" s="69"/>
      <c r="B60" s="69"/>
      <c r="C60" s="69"/>
      <c r="D60" s="82" t="s">
        <v>331</v>
      </c>
      <c r="E60" s="85">
        <v>2.2333333333333339E-4</v>
      </c>
      <c r="F60" s="69" t="s">
        <v>332</v>
      </c>
      <c r="G60" s="69">
        <v>12</v>
      </c>
      <c r="H60" s="69">
        <v>16</v>
      </c>
      <c r="I60" s="69">
        <v>4</v>
      </c>
      <c r="J60" s="69">
        <v>7</v>
      </c>
      <c r="K60" s="69">
        <v>2</v>
      </c>
      <c r="L60" s="69">
        <v>1</v>
      </c>
      <c r="M60" s="69">
        <f t="shared" si="18"/>
        <v>422.29499999999996</v>
      </c>
      <c r="N60" s="69"/>
      <c r="O60" s="69">
        <f t="shared" si="12"/>
        <v>422.29499999999996</v>
      </c>
      <c r="P60" s="69"/>
      <c r="Q60" s="69"/>
      <c r="R60" s="69"/>
      <c r="S60" s="71"/>
      <c r="T60" s="85">
        <f t="shared" si="19"/>
        <v>1.8622026718800915E-4</v>
      </c>
      <c r="U60" s="74">
        <f t="shared" si="20"/>
        <v>-1.8622026718800915E-4</v>
      </c>
      <c r="V60" s="83" t="s">
        <v>333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</row>
    <row r="61" spans="1:492" s="76" customFormat="1" x14ac:dyDescent="0.2">
      <c r="A61" s="69"/>
      <c r="B61" s="69"/>
      <c r="C61" s="69"/>
      <c r="D61" s="82" t="s">
        <v>334</v>
      </c>
      <c r="E61" s="85">
        <v>2.2333333333333339E-4</v>
      </c>
      <c r="F61" s="69" t="s">
        <v>335</v>
      </c>
      <c r="G61" s="69">
        <v>49</v>
      </c>
      <c r="H61" s="69">
        <v>76</v>
      </c>
      <c r="I61" s="69">
        <v>0</v>
      </c>
      <c r="J61" s="69">
        <v>4</v>
      </c>
      <c r="K61" s="69">
        <v>0</v>
      </c>
      <c r="L61" s="69">
        <v>0</v>
      </c>
      <c r="M61" s="69">
        <f t="shared" si="18"/>
        <v>729.14299999999992</v>
      </c>
      <c r="N61" s="69"/>
      <c r="O61" s="69">
        <f t="shared" si="12"/>
        <v>729.14299999999992</v>
      </c>
      <c r="P61" s="69"/>
      <c r="Q61" s="69"/>
      <c r="R61" s="69"/>
      <c r="S61" s="71"/>
      <c r="T61" s="85">
        <f t="shared" si="19"/>
        <v>1.8622026718800915E-4</v>
      </c>
      <c r="U61" s="74">
        <f t="shared" si="20"/>
        <v>-1.8622026718800915E-4</v>
      </c>
      <c r="V61" s="83" t="s">
        <v>336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</row>
    <row r="62" spans="1:492" s="76" customFormat="1" x14ac:dyDescent="0.2">
      <c r="A62" s="69"/>
      <c r="B62" s="69"/>
      <c r="C62" s="69"/>
      <c r="D62" s="82" t="s">
        <v>337</v>
      </c>
      <c r="E62" s="85">
        <v>2.2333333333333339E-4</v>
      </c>
      <c r="F62" s="69" t="s">
        <v>338</v>
      </c>
      <c r="G62" s="69">
        <v>8</v>
      </c>
      <c r="H62" s="69">
        <v>8</v>
      </c>
      <c r="I62" s="69">
        <v>1</v>
      </c>
      <c r="J62" s="69">
        <v>6</v>
      </c>
      <c r="K62" s="69">
        <v>1</v>
      </c>
      <c r="L62" s="69">
        <v>0</v>
      </c>
      <c r="M62" s="69">
        <f t="shared" si="18"/>
        <v>245.12699999999998</v>
      </c>
      <c r="N62" s="69"/>
      <c r="O62" s="69">
        <f t="shared" si="12"/>
        <v>245.12699999999998</v>
      </c>
      <c r="P62" s="69"/>
      <c r="Q62" s="69"/>
      <c r="R62" s="69"/>
      <c r="S62" s="71"/>
      <c r="T62" s="85">
        <f t="shared" si="19"/>
        <v>1.8622026718800915E-4</v>
      </c>
      <c r="U62" s="74">
        <f t="shared" si="20"/>
        <v>-1.8622026718800915E-4</v>
      </c>
      <c r="V62" s="83" t="s">
        <v>339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</row>
    <row r="63" spans="1:492" s="76" customFormat="1" x14ac:dyDescent="0.2">
      <c r="A63" s="69"/>
      <c r="B63" s="69"/>
      <c r="C63" s="69"/>
      <c r="D63" s="82" t="s">
        <v>340</v>
      </c>
      <c r="E63" s="85">
        <v>2.2333333333333339E-4</v>
      </c>
      <c r="F63" s="69" t="s">
        <v>341</v>
      </c>
      <c r="G63" s="69">
        <v>34</v>
      </c>
      <c r="H63" s="69">
        <v>30</v>
      </c>
      <c r="I63" s="69">
        <v>4</v>
      </c>
      <c r="J63" s="69">
        <v>4</v>
      </c>
      <c r="K63" s="69">
        <v>0</v>
      </c>
      <c r="L63" s="69">
        <v>0</v>
      </c>
      <c r="M63" s="69">
        <f>(G63*12.011)+(H63*1.008)+(J63*15.999)+(14.007*I63)+(K63*30.974)+(L63*32.066)+M42</f>
        <v>614.57289999999989</v>
      </c>
      <c r="N63" s="69"/>
      <c r="O63" s="69">
        <f t="shared" si="12"/>
        <v>614.57289999999989</v>
      </c>
      <c r="P63" s="69"/>
      <c r="Q63" s="69"/>
      <c r="R63" s="69"/>
      <c r="S63" s="71"/>
      <c r="T63" s="85">
        <f t="shared" si="19"/>
        <v>1.8622026718800915E-4</v>
      </c>
      <c r="U63" s="74">
        <f t="shared" si="20"/>
        <v>-1.8622026718800915E-4</v>
      </c>
      <c r="V63" s="83" t="s">
        <v>342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</row>
    <row r="64" spans="1:492" s="76" customFormat="1" x14ac:dyDescent="0.2">
      <c r="A64" s="69"/>
      <c r="B64" s="69"/>
      <c r="C64" s="69"/>
      <c r="D64" s="82" t="s">
        <v>343</v>
      </c>
      <c r="E64" s="85">
        <v>2.2333333333333339E-4</v>
      </c>
      <c r="F64" s="69" t="s">
        <v>344</v>
      </c>
      <c r="G64" s="69">
        <v>30</v>
      </c>
      <c r="H64" s="69">
        <v>27</v>
      </c>
      <c r="I64" s="69">
        <v>3</v>
      </c>
      <c r="J64" s="69">
        <v>15</v>
      </c>
      <c r="K64" s="69">
        <v>0</v>
      </c>
      <c r="L64" s="69">
        <v>0</v>
      </c>
      <c r="M64" s="69">
        <f t="shared" ref="M64:M68" si="21">(G64*12.011)+(H64*1.008)+(J64*15.999)+(14.007*I64)+(K64*30.974)+(L64*32.066)</f>
        <v>669.55199999999991</v>
      </c>
      <c r="N64" s="69"/>
      <c r="O64" s="69">
        <f t="shared" si="12"/>
        <v>669.55199999999991</v>
      </c>
      <c r="P64" s="69"/>
      <c r="Q64" s="69"/>
      <c r="R64" s="69"/>
      <c r="S64" s="71"/>
      <c r="T64" s="85">
        <f t="shared" si="19"/>
        <v>1.8622026718800915E-4</v>
      </c>
      <c r="U64" s="74">
        <f t="shared" si="20"/>
        <v>-1.8622026718800915E-4</v>
      </c>
      <c r="V64" s="83" t="s">
        <v>345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</row>
    <row r="65" spans="1:492" s="76" customFormat="1" x14ac:dyDescent="0.2">
      <c r="A65" s="69"/>
      <c r="B65" s="69"/>
      <c r="C65" s="69"/>
      <c r="D65" s="82" t="s">
        <v>346</v>
      </c>
      <c r="E65" s="85">
        <v>5.535259603675412E-5</v>
      </c>
      <c r="F65" s="69" t="s">
        <v>347</v>
      </c>
      <c r="G65" s="69">
        <v>55</v>
      </c>
      <c r="H65" s="69">
        <v>89</v>
      </c>
      <c r="I65" s="69">
        <v>0</v>
      </c>
      <c r="J65" s="69">
        <v>7</v>
      </c>
      <c r="K65" s="69">
        <v>2</v>
      </c>
      <c r="L65" s="69">
        <v>0</v>
      </c>
      <c r="M65" s="69">
        <f t="shared" si="21"/>
        <v>924.25799999999992</v>
      </c>
      <c r="N65" s="69"/>
      <c r="O65" s="69">
        <f t="shared" si="12"/>
        <v>924.25799999999992</v>
      </c>
      <c r="P65" s="69"/>
      <c r="Q65" s="69"/>
      <c r="R65" s="69"/>
      <c r="S65" s="71"/>
      <c r="T65" s="85">
        <f t="shared" si="19"/>
        <v>4.6154217418720681E-5</v>
      </c>
      <c r="U65" s="74">
        <f t="shared" si="20"/>
        <v>-4.6154217418720681E-5</v>
      </c>
      <c r="V65" s="83" t="s">
        <v>348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</row>
    <row r="66" spans="1:492" s="76" customFormat="1" x14ac:dyDescent="0.2">
      <c r="A66" s="69"/>
      <c r="B66" s="69"/>
      <c r="C66" s="69"/>
      <c r="D66" s="69" t="s">
        <v>349</v>
      </c>
      <c r="E66" s="85">
        <v>2.2333333333333339E-4</v>
      </c>
      <c r="F66" s="69" t="s">
        <v>350</v>
      </c>
      <c r="G66" s="69">
        <v>10</v>
      </c>
      <c r="H66" s="69">
        <v>8</v>
      </c>
      <c r="I66" s="69">
        <v>0</v>
      </c>
      <c r="J66" s="69">
        <v>6</v>
      </c>
      <c r="K66" s="69">
        <v>0</v>
      </c>
      <c r="L66" s="69">
        <v>0</v>
      </c>
      <c r="M66" s="69">
        <f t="shared" si="21"/>
        <v>224.16799999999998</v>
      </c>
      <c r="N66" s="69"/>
      <c r="O66" s="69">
        <f t="shared" si="12"/>
        <v>224.16799999999998</v>
      </c>
      <c r="P66" s="69"/>
      <c r="Q66" s="69"/>
      <c r="R66" s="69"/>
      <c r="S66" s="71"/>
      <c r="T66" s="85">
        <f t="shared" si="19"/>
        <v>1.8622026718800915E-4</v>
      </c>
      <c r="U66" s="74">
        <f t="shared" si="20"/>
        <v>-1.8622026718800915E-4</v>
      </c>
      <c r="V66" s="75" t="s">
        <v>351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</row>
    <row r="67" spans="1:492" s="76" customFormat="1" x14ac:dyDescent="0.2">
      <c r="A67" s="69"/>
      <c r="B67" s="69"/>
      <c r="C67" s="69"/>
      <c r="D67" s="82" t="s">
        <v>352</v>
      </c>
      <c r="E67" s="85">
        <v>2.2333333333333339E-4</v>
      </c>
      <c r="F67" s="69" t="s">
        <v>353</v>
      </c>
      <c r="G67" s="69">
        <v>15</v>
      </c>
      <c r="H67" s="69">
        <v>23</v>
      </c>
      <c r="I67" s="69">
        <v>6</v>
      </c>
      <c r="J67" s="69">
        <v>5</v>
      </c>
      <c r="K67" s="69">
        <v>0</v>
      </c>
      <c r="L67" s="69">
        <v>1</v>
      </c>
      <c r="M67" s="69">
        <f t="shared" si="21"/>
        <v>399.452</v>
      </c>
      <c r="N67" s="69"/>
      <c r="O67" s="69">
        <f t="shared" si="12"/>
        <v>399.452</v>
      </c>
      <c r="P67" s="69"/>
      <c r="Q67" s="69"/>
      <c r="R67" s="69"/>
      <c r="S67" s="71"/>
      <c r="T67" s="85">
        <f t="shared" si="19"/>
        <v>1.8622026718800915E-4</v>
      </c>
      <c r="U67" s="74">
        <f t="shared" si="20"/>
        <v>-1.8622026718800915E-4</v>
      </c>
      <c r="V67" s="83" t="s">
        <v>354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</row>
    <row r="68" spans="1:492" s="76" customFormat="1" x14ac:dyDescent="0.2">
      <c r="A68" s="69"/>
      <c r="B68" s="69"/>
      <c r="C68" s="69"/>
      <c r="D68" s="82" t="s">
        <v>355</v>
      </c>
      <c r="E68" s="85">
        <v>2.2333333333333339E-4</v>
      </c>
      <c r="F68" s="69" t="s">
        <v>356</v>
      </c>
      <c r="G68" s="69">
        <v>17</v>
      </c>
      <c r="H68" s="69">
        <v>20</v>
      </c>
      <c r="I68" s="69">
        <v>4</v>
      </c>
      <c r="J68" s="69">
        <v>6</v>
      </c>
      <c r="K68" s="69">
        <v>0</v>
      </c>
      <c r="L68" s="69">
        <v>0</v>
      </c>
      <c r="M68" s="69">
        <f t="shared" si="21"/>
        <v>376.36900000000003</v>
      </c>
      <c r="N68" s="69"/>
      <c r="O68" s="69">
        <f t="shared" si="12"/>
        <v>376.36900000000003</v>
      </c>
      <c r="P68" s="69"/>
      <c r="Q68" s="69"/>
      <c r="R68" s="69"/>
      <c r="S68" s="71"/>
      <c r="T68" s="85">
        <f t="shared" si="19"/>
        <v>1.8622026718800915E-4</v>
      </c>
      <c r="U68" s="74">
        <f t="shared" si="20"/>
        <v>-1.8622026718800915E-4</v>
      </c>
      <c r="V68" s="83" t="s">
        <v>357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</row>
    <row r="69" spans="1:492" s="88" customFormat="1" x14ac:dyDescent="0.2">
      <c r="A69" s="58"/>
      <c r="B69" s="58" t="s">
        <v>358</v>
      </c>
      <c r="C69" s="58">
        <v>5.6399999999999999E-2</v>
      </c>
      <c r="D69" s="58" t="s">
        <v>191</v>
      </c>
      <c r="E69" s="58">
        <f>0.0062/C69</f>
        <v>0.10992907801418439</v>
      </c>
      <c r="F69" s="60" t="s">
        <v>21</v>
      </c>
      <c r="G69" s="60">
        <v>5</v>
      </c>
      <c r="H69" s="60">
        <v>10</v>
      </c>
      <c r="I69" s="60">
        <v>2</v>
      </c>
      <c r="J69" s="60">
        <v>3</v>
      </c>
      <c r="K69" s="60">
        <v>0</v>
      </c>
      <c r="L69" s="60">
        <v>0</v>
      </c>
      <c r="M69" s="60">
        <v>146.14599999999999</v>
      </c>
      <c r="N69" s="60"/>
      <c r="O69" s="60">
        <f>M69</f>
        <v>146.14599999999999</v>
      </c>
      <c r="P69" s="58">
        <f>E69*O69</f>
        <v>16.06569503546099</v>
      </c>
      <c r="Q69" s="58">
        <f>SUM(P69:P70)</f>
        <v>146.12463829787237</v>
      </c>
      <c r="R69" s="58">
        <f>P69/$Q$69</f>
        <v>0.10994514835144617</v>
      </c>
      <c r="S69" s="87">
        <f>R69*$C$69</f>
        <v>6.2009063670215641E-3</v>
      </c>
      <c r="T69" s="62">
        <f>S69/O69*1000</f>
        <v>4.2429531886069849E-2</v>
      </c>
      <c r="U69" s="63"/>
      <c r="V69" s="64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  <c r="LJ69" s="45"/>
      <c r="LK69" s="45"/>
      <c r="LL69" s="45"/>
      <c r="LM69" s="45"/>
      <c r="LN69" s="45"/>
      <c r="LO69" s="45"/>
      <c r="LP69" s="45"/>
      <c r="LQ69" s="45"/>
      <c r="LR69" s="45"/>
      <c r="LS69" s="45"/>
      <c r="LT69" s="45"/>
      <c r="LU69" s="45"/>
      <c r="LV69" s="45"/>
      <c r="LW69" s="45"/>
      <c r="LX69" s="45"/>
      <c r="LY69" s="45"/>
      <c r="LZ69" s="45"/>
      <c r="MA69" s="45"/>
      <c r="MB69" s="45"/>
      <c r="MC69" s="45"/>
      <c r="MD69" s="45"/>
      <c r="ME69" s="45"/>
      <c r="MF69" s="45"/>
      <c r="MG69" s="45"/>
      <c r="MH69" s="45"/>
      <c r="MI69" s="45"/>
      <c r="MJ69" s="45"/>
      <c r="MK69" s="45"/>
      <c r="ML69" s="45"/>
      <c r="MM69" s="45"/>
      <c r="MN69" s="45"/>
      <c r="MO69" s="45"/>
      <c r="MP69" s="45"/>
      <c r="MQ69" s="45"/>
      <c r="MR69" s="45"/>
      <c r="MS69" s="45"/>
      <c r="MT69" s="45"/>
      <c r="MU69" s="45"/>
      <c r="MV69" s="45"/>
      <c r="MW69" s="45"/>
      <c r="MX69" s="45"/>
      <c r="MY69" s="45"/>
      <c r="MZ69" s="45"/>
      <c r="NA69" s="45"/>
      <c r="NB69" s="45"/>
      <c r="NC69" s="45"/>
      <c r="ND69" s="45"/>
      <c r="NE69" s="45"/>
      <c r="NF69" s="45"/>
      <c r="NG69" s="45"/>
      <c r="NH69" s="45"/>
      <c r="NI69" s="45"/>
      <c r="NJ69" s="45"/>
      <c r="NK69" s="45"/>
      <c r="NL69" s="45"/>
      <c r="NM69" s="45"/>
      <c r="NN69" s="45"/>
      <c r="NO69" s="45"/>
      <c r="NP69" s="45"/>
      <c r="NQ69" s="45"/>
      <c r="NR69" s="45"/>
      <c r="NS69" s="45"/>
      <c r="NT69" s="45"/>
      <c r="NU69" s="45"/>
      <c r="NV69" s="45"/>
      <c r="NW69" s="45"/>
      <c r="NX69" s="45"/>
      <c r="NY69" s="45"/>
      <c r="NZ69" s="45"/>
      <c r="OA69" s="45"/>
      <c r="OB69" s="45"/>
      <c r="OC69" s="45"/>
      <c r="OD69" s="45"/>
      <c r="OE69" s="45"/>
      <c r="OF69" s="45"/>
      <c r="OG69" s="45"/>
      <c r="OH69" s="45"/>
      <c r="OI69" s="45"/>
      <c r="OJ69" s="45"/>
      <c r="OK69" s="45"/>
      <c r="OL69" s="45"/>
      <c r="OM69" s="45"/>
      <c r="ON69" s="45"/>
      <c r="OO69" s="45"/>
      <c r="OP69" s="45"/>
      <c r="OQ69" s="45"/>
      <c r="OR69" s="45"/>
      <c r="OS69" s="45"/>
      <c r="OT69" s="45"/>
      <c r="OU69" s="45"/>
      <c r="OV69" s="45"/>
      <c r="OW69" s="45"/>
      <c r="OX69" s="45"/>
      <c r="OY69" s="45"/>
      <c r="OZ69" s="45"/>
      <c r="PA69" s="45"/>
      <c r="PB69" s="45"/>
      <c r="PC69" s="45"/>
      <c r="PD69" s="45"/>
      <c r="PE69" s="45"/>
      <c r="PF69" s="45"/>
      <c r="PG69" s="45"/>
      <c r="PH69" s="45"/>
      <c r="PI69" s="45"/>
      <c r="PJ69" s="45"/>
      <c r="PK69" s="45"/>
      <c r="PL69" s="45"/>
      <c r="PM69" s="45"/>
      <c r="PN69" s="45"/>
      <c r="PO69" s="45"/>
      <c r="PP69" s="45"/>
      <c r="PQ69" s="45"/>
      <c r="PR69" s="45"/>
      <c r="PS69" s="45"/>
      <c r="PT69" s="45"/>
      <c r="PU69" s="45"/>
      <c r="PV69" s="45"/>
      <c r="PW69" s="45"/>
      <c r="PX69" s="45"/>
      <c r="PY69" s="45"/>
      <c r="PZ69" s="45"/>
      <c r="QA69" s="45"/>
      <c r="QB69" s="45"/>
      <c r="QC69" s="45"/>
      <c r="QD69" s="45"/>
      <c r="QE69" s="45"/>
      <c r="QF69" s="45"/>
      <c r="QG69" s="45"/>
      <c r="QH69" s="45"/>
      <c r="QI69" s="45"/>
      <c r="QJ69" s="45"/>
      <c r="QK69" s="45"/>
      <c r="QL69" s="45"/>
      <c r="QM69" s="45"/>
      <c r="QN69" s="45"/>
      <c r="QO69" s="45"/>
      <c r="QP69" s="45"/>
      <c r="QQ69" s="45"/>
      <c r="QR69" s="45"/>
      <c r="QS69" s="45"/>
      <c r="QT69" s="45"/>
      <c r="QU69" s="45"/>
      <c r="QV69" s="45"/>
      <c r="QW69" s="45"/>
      <c r="QX69" s="45"/>
      <c r="QY69" s="45"/>
      <c r="QZ69" s="45"/>
      <c r="RA69" s="45"/>
      <c r="RB69" s="45"/>
      <c r="RC69" s="45"/>
      <c r="RD69" s="45"/>
      <c r="RE69" s="45"/>
      <c r="RF69" s="45"/>
      <c r="RG69" s="45"/>
      <c r="RH69" s="45"/>
      <c r="RI69" s="45"/>
      <c r="RJ69" s="45"/>
      <c r="RK69" s="45"/>
      <c r="RL69" s="45"/>
      <c r="RM69" s="45"/>
      <c r="RN69" s="45"/>
      <c r="RO69" s="45"/>
      <c r="RP69" s="45"/>
      <c r="RQ69" s="45"/>
      <c r="RR69" s="45"/>
      <c r="RS69" s="45"/>
      <c r="RT69" s="45"/>
      <c r="RU69" s="45"/>
      <c r="RV69" s="45"/>
      <c r="RW69" s="45"/>
      <c r="RX69" s="45"/>
    </row>
    <row r="70" spans="1:492" s="88" customFormat="1" x14ac:dyDescent="0.2">
      <c r="A70" s="58"/>
      <c r="B70" s="58"/>
      <c r="C70" s="58"/>
      <c r="D70" s="58" t="s">
        <v>192</v>
      </c>
      <c r="E70" s="58">
        <f>0.0502/C69</f>
        <v>0.89007092198581561</v>
      </c>
      <c r="F70" s="60" t="s">
        <v>193</v>
      </c>
      <c r="G70" s="60">
        <v>5</v>
      </c>
      <c r="H70" s="60">
        <v>8</v>
      </c>
      <c r="I70" s="60">
        <v>1</v>
      </c>
      <c r="J70" s="60">
        <v>4</v>
      </c>
      <c r="K70" s="60">
        <v>0</v>
      </c>
      <c r="L70" s="60">
        <v>0</v>
      </c>
      <c r="M70" s="60">
        <v>146.12200000000001</v>
      </c>
      <c r="N70" s="60"/>
      <c r="O70" s="60">
        <f>M70</f>
        <v>146.12200000000001</v>
      </c>
      <c r="P70" s="58">
        <f>E70*O70</f>
        <v>130.05894326241136</v>
      </c>
      <c r="Q70" s="58"/>
      <c r="R70" s="58">
        <f>P70/$Q$69</f>
        <v>0.89005485164855369</v>
      </c>
      <c r="S70" s="87">
        <f>R70*$C$69</f>
        <v>5.0199093632978427E-2</v>
      </c>
      <c r="T70" s="62">
        <f>S70/O70*1000</f>
        <v>0.34354233881946883</v>
      </c>
      <c r="U70" s="63"/>
      <c r="V70" s="64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  <c r="LJ70" s="45"/>
      <c r="LK70" s="45"/>
      <c r="LL70" s="45"/>
      <c r="LM70" s="45"/>
      <c r="LN70" s="45"/>
      <c r="LO70" s="45"/>
      <c r="LP70" s="45"/>
      <c r="LQ70" s="45"/>
      <c r="LR70" s="45"/>
      <c r="LS70" s="45"/>
      <c r="LT70" s="45"/>
      <c r="LU70" s="45"/>
      <c r="LV70" s="45"/>
      <c r="LW70" s="45"/>
      <c r="LX70" s="45"/>
      <c r="LY70" s="45"/>
      <c r="LZ70" s="45"/>
      <c r="MA70" s="45"/>
      <c r="MB70" s="45"/>
      <c r="MC70" s="45"/>
      <c r="MD70" s="45"/>
      <c r="ME70" s="45"/>
      <c r="MF70" s="45"/>
      <c r="MG70" s="45"/>
      <c r="MH70" s="45"/>
      <c r="MI70" s="45"/>
      <c r="MJ70" s="45"/>
      <c r="MK70" s="45"/>
      <c r="ML70" s="45"/>
      <c r="MM70" s="45"/>
      <c r="MN70" s="45"/>
      <c r="MO70" s="45"/>
      <c r="MP70" s="45"/>
      <c r="MQ70" s="45"/>
      <c r="MR70" s="45"/>
      <c r="MS70" s="45"/>
      <c r="MT70" s="45"/>
      <c r="MU70" s="45"/>
      <c r="MV70" s="45"/>
      <c r="MW70" s="45"/>
      <c r="MX70" s="45"/>
      <c r="MY70" s="45"/>
      <c r="MZ70" s="45"/>
      <c r="NA70" s="45"/>
      <c r="NB70" s="45"/>
      <c r="NC70" s="45"/>
      <c r="ND70" s="45"/>
      <c r="NE70" s="45"/>
      <c r="NF70" s="45"/>
      <c r="NG70" s="45"/>
      <c r="NH70" s="45"/>
      <c r="NI70" s="45"/>
      <c r="NJ70" s="45"/>
      <c r="NK70" s="45"/>
      <c r="NL70" s="45"/>
      <c r="NM70" s="45"/>
      <c r="NN70" s="45"/>
      <c r="NO70" s="45"/>
      <c r="NP70" s="45"/>
      <c r="NQ70" s="45"/>
      <c r="NR70" s="45"/>
      <c r="NS70" s="45"/>
      <c r="NT70" s="45"/>
      <c r="NU70" s="45"/>
      <c r="NV70" s="45"/>
      <c r="NW70" s="45"/>
      <c r="NX70" s="45"/>
      <c r="NY70" s="45"/>
      <c r="NZ70" s="45"/>
      <c r="OA70" s="45"/>
      <c r="OB70" s="45"/>
      <c r="OC70" s="45"/>
      <c r="OD70" s="45"/>
      <c r="OE70" s="45"/>
      <c r="OF70" s="45"/>
      <c r="OG70" s="45"/>
      <c r="OH70" s="45"/>
      <c r="OI70" s="45"/>
      <c r="OJ70" s="45"/>
      <c r="OK70" s="45"/>
      <c r="OL70" s="45"/>
      <c r="OM70" s="45"/>
      <c r="ON70" s="45"/>
      <c r="OO70" s="45"/>
      <c r="OP70" s="45"/>
      <c r="OQ70" s="45"/>
      <c r="OR70" s="45"/>
      <c r="OS70" s="45"/>
      <c r="OT70" s="45"/>
      <c r="OU70" s="45"/>
      <c r="OV70" s="45"/>
      <c r="OW70" s="45"/>
      <c r="OX70" s="45"/>
      <c r="OY70" s="45"/>
      <c r="OZ70" s="45"/>
      <c r="PA70" s="45"/>
      <c r="PB70" s="45"/>
      <c r="PC70" s="45"/>
      <c r="PD70" s="45"/>
      <c r="PE70" s="45"/>
      <c r="PF70" s="45"/>
      <c r="PG70" s="45"/>
      <c r="PH70" s="45"/>
      <c r="PI70" s="45"/>
      <c r="PJ70" s="45"/>
      <c r="PK70" s="45"/>
      <c r="PL70" s="45"/>
      <c r="PM70" s="45"/>
      <c r="PN70" s="45"/>
      <c r="PO70" s="45"/>
      <c r="PP70" s="45"/>
      <c r="PQ70" s="45"/>
      <c r="PR70" s="45"/>
      <c r="PS70" s="45"/>
      <c r="PT70" s="45"/>
      <c r="PU70" s="45"/>
      <c r="PV70" s="45"/>
      <c r="PW70" s="45"/>
      <c r="PX70" s="45"/>
      <c r="PY70" s="45"/>
      <c r="PZ70" s="45"/>
      <c r="QA70" s="45"/>
      <c r="QB70" s="45"/>
      <c r="QC70" s="45"/>
      <c r="QD70" s="45"/>
      <c r="QE70" s="45"/>
      <c r="QF70" s="45"/>
      <c r="QG70" s="45"/>
      <c r="QH70" s="45"/>
      <c r="QI70" s="45"/>
      <c r="QJ70" s="45"/>
      <c r="QK70" s="45"/>
      <c r="QL70" s="45"/>
      <c r="QM70" s="45"/>
      <c r="QN70" s="45"/>
      <c r="QO70" s="45"/>
      <c r="QP70" s="45"/>
      <c r="QQ70" s="45"/>
      <c r="QR70" s="45"/>
      <c r="QS70" s="45"/>
      <c r="QT70" s="45"/>
      <c r="QU70" s="45"/>
      <c r="QV70" s="45"/>
      <c r="QW70" s="45"/>
      <c r="QX70" s="45"/>
      <c r="QY70" s="45"/>
      <c r="QZ70" s="45"/>
      <c r="RA70" s="45"/>
      <c r="RB70" s="45"/>
      <c r="RC70" s="45"/>
      <c r="RD70" s="45"/>
      <c r="RE70" s="45"/>
      <c r="RF70" s="45"/>
      <c r="RG70" s="45"/>
      <c r="RH70" s="45"/>
      <c r="RI70" s="45"/>
      <c r="RJ70" s="45"/>
      <c r="RK70" s="45"/>
      <c r="RL70" s="45"/>
      <c r="RM70" s="45"/>
      <c r="RN70" s="45"/>
      <c r="RO70" s="45"/>
      <c r="RP70" s="45"/>
      <c r="RQ70" s="45"/>
      <c r="RR70" s="45"/>
      <c r="RS70" s="45"/>
      <c r="RT70" s="45"/>
      <c r="RU70" s="45"/>
      <c r="RV70" s="45"/>
      <c r="RW70" s="45"/>
      <c r="RX70" s="45"/>
    </row>
    <row r="71" spans="1:492" x14ac:dyDescent="0.2">
      <c r="A71" s="76"/>
      <c r="B71" s="69" t="s">
        <v>359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89"/>
      <c r="T71" s="85">
        <f>T77+T31</f>
        <v>17.470645721244299</v>
      </c>
      <c r="U71" s="74">
        <f>-T71</f>
        <v>-17.470645721244299</v>
      </c>
      <c r="V71" s="75" t="s">
        <v>360</v>
      </c>
    </row>
    <row r="72" spans="1:492" x14ac:dyDescent="0.2">
      <c r="A72" s="76"/>
      <c r="B72" s="69" t="s">
        <v>361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89"/>
      <c r="T72" s="85">
        <f>T69+T9</f>
        <v>0.27779920021672577</v>
      </c>
      <c r="U72" s="74">
        <f>-T72</f>
        <v>-0.27779920021672577</v>
      </c>
      <c r="V72" s="75" t="s">
        <v>362</v>
      </c>
    </row>
    <row r="73" spans="1:492" x14ac:dyDescent="0.2">
      <c r="A73" s="76"/>
      <c r="B73" s="69" t="s">
        <v>361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89"/>
      <c r="T73" s="85">
        <f>T70+T10</f>
        <v>0.6844445242859496</v>
      </c>
      <c r="U73" s="74">
        <f>-T73</f>
        <v>-0.6844445242859496</v>
      </c>
      <c r="V73" s="75" t="s">
        <v>363</v>
      </c>
    </row>
    <row r="74" spans="1:492" x14ac:dyDescent="0.2">
      <c r="A74" s="76"/>
      <c r="B74" s="69" t="s">
        <v>364</v>
      </c>
      <c r="C74" s="69"/>
      <c r="D74" s="69" t="s">
        <v>365</v>
      </c>
      <c r="E74" s="69"/>
      <c r="F74" s="90" t="s">
        <v>179</v>
      </c>
      <c r="G74" s="90">
        <v>0</v>
      </c>
      <c r="H74" s="90">
        <v>2</v>
      </c>
      <c r="I74" s="90">
        <v>0</v>
      </c>
      <c r="J74" s="90">
        <v>1</v>
      </c>
      <c r="K74" s="90">
        <v>0</v>
      </c>
      <c r="L74" s="90">
        <v>0</v>
      </c>
      <c r="M74" s="90">
        <f t="shared" ref="M74" si="22">(G74*12.011)+(H74*1.008)+(J74*15.999)+(14.007*I74)+(K74*30.974)+(L74*32.066)</f>
        <v>18.015000000000001</v>
      </c>
      <c r="N74" s="69"/>
      <c r="O74" s="69"/>
      <c r="P74" s="69"/>
      <c r="Q74" s="69"/>
      <c r="R74" s="69"/>
      <c r="S74" s="89"/>
      <c r="T74" s="85">
        <f>T77-T81</f>
        <v>12.082369658987608</v>
      </c>
      <c r="U74" s="74">
        <f>-T74</f>
        <v>-12.082369658987608</v>
      </c>
      <c r="V74" s="75" t="s">
        <v>366</v>
      </c>
    </row>
    <row r="75" spans="1:492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91"/>
      <c r="T75" s="48"/>
      <c r="U75" s="92"/>
      <c r="V75" s="93"/>
    </row>
    <row r="76" spans="1:492" ht="17" x14ac:dyDescent="0.2">
      <c r="A76" s="94" t="s">
        <v>367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91"/>
      <c r="T76" s="43"/>
      <c r="U76" s="92"/>
      <c r="V76" s="93"/>
    </row>
    <row r="77" spans="1:492" s="76" customFormat="1" x14ac:dyDescent="0.2">
      <c r="B77" s="69" t="s">
        <v>368</v>
      </c>
      <c r="C77" s="69"/>
      <c r="D77" s="95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85">
        <v>17.309999999999999</v>
      </c>
      <c r="U77" s="74">
        <f>T77</f>
        <v>17.309999999999999</v>
      </c>
      <c r="V77" s="96" t="s">
        <v>369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</row>
    <row r="78" spans="1:492" s="76" customFormat="1" x14ac:dyDescent="0.2">
      <c r="B78" s="69" t="s">
        <v>368</v>
      </c>
      <c r="C78" s="69"/>
      <c r="D78" s="95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85">
        <v>17.309999999999999</v>
      </c>
      <c r="U78" s="74">
        <f>T78</f>
        <v>17.309999999999999</v>
      </c>
      <c r="V78" s="96" t="s">
        <v>370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</row>
    <row r="79" spans="1:492" s="65" customFormat="1" x14ac:dyDescent="0.2">
      <c r="B79" s="58" t="s">
        <v>371</v>
      </c>
      <c r="C79" s="58"/>
      <c r="D79" s="9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87"/>
      <c r="T79" s="77">
        <f>SUM(T24:T27)</f>
        <v>8.8679031164781957E-2</v>
      </c>
      <c r="U79" s="98"/>
      <c r="V79" s="9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</row>
    <row r="80" spans="1:492" s="76" customFormat="1" x14ac:dyDescent="0.2">
      <c r="B80" s="69" t="s">
        <v>372</v>
      </c>
      <c r="C80" s="69"/>
      <c r="D80" s="73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89"/>
      <c r="T80" s="73">
        <f>SUM(T28:T31)</f>
        <v>0.59767804254539381</v>
      </c>
      <c r="U80" s="100"/>
      <c r="V80" s="10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</row>
    <row r="81" spans="1:492" s="65" customFormat="1" x14ac:dyDescent="0.2">
      <c r="B81" s="58" t="s">
        <v>373</v>
      </c>
      <c r="C81" s="58"/>
      <c r="D81" s="62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87"/>
      <c r="T81" s="62">
        <f>SUM(T4:T23)</f>
        <v>5.2276303410123912</v>
      </c>
      <c r="U81" s="101"/>
      <c r="V81" s="10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</row>
    <row r="82" spans="1:492" s="76" customFormat="1" x14ac:dyDescent="0.2">
      <c r="B82" s="69" t="s">
        <v>374</v>
      </c>
      <c r="C82" s="69"/>
      <c r="D82" s="95" t="s">
        <v>375</v>
      </c>
      <c r="E82" s="69"/>
      <c r="F82" s="90" t="s">
        <v>376</v>
      </c>
      <c r="G82" s="90">
        <v>0</v>
      </c>
      <c r="H82" s="90">
        <v>1</v>
      </c>
      <c r="I82" s="90">
        <v>0</v>
      </c>
      <c r="J82" s="90">
        <v>7</v>
      </c>
      <c r="K82" s="90">
        <v>2</v>
      </c>
      <c r="L82" s="90">
        <v>0</v>
      </c>
      <c r="M82" s="90">
        <f t="shared" ref="M82" si="23">(G82*12.011)+(H82*1.008)+(J82*15.999)+(14.007*I82)+(K82*30.974)+(L82*32.066)</f>
        <v>174.94900000000001</v>
      </c>
      <c r="N82" s="69"/>
      <c r="O82" s="69"/>
      <c r="P82" s="69"/>
      <c r="Q82" s="69"/>
      <c r="R82" s="69"/>
      <c r="S82" s="71"/>
      <c r="T82" s="85">
        <f>T80+T79</f>
        <v>0.68635707371017574</v>
      </c>
      <c r="U82" s="74">
        <f>T82</f>
        <v>0.68635707371017574</v>
      </c>
      <c r="V82" s="96" t="s">
        <v>377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</row>
    <row r="83" spans="1:492" s="76" customFormat="1" ht="17" thickBot="1" x14ac:dyDescent="0.25">
      <c r="B83" s="69" t="s">
        <v>378</v>
      </c>
      <c r="C83" s="69"/>
      <c r="D83" s="95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71"/>
      <c r="T83" s="85">
        <f>T77-T51</f>
        <v>17.306708356913759</v>
      </c>
      <c r="U83" s="102">
        <f>T83</f>
        <v>17.306708356913759</v>
      </c>
      <c r="V83" s="103" t="s">
        <v>379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</row>
    <row r="85" spans="1:492" x14ac:dyDescent="0.2">
      <c r="A85" s="104" t="s">
        <v>380</v>
      </c>
      <c r="B85" s="17"/>
      <c r="C85" s="105"/>
      <c r="E85" s="16"/>
      <c r="V85" s="108"/>
    </row>
    <row r="86" spans="1:492" x14ac:dyDescent="0.2">
      <c r="A86" s="17"/>
      <c r="B86" s="17"/>
      <c r="C86" s="17"/>
      <c r="E86" s="16"/>
      <c r="U86" s="109"/>
      <c r="V86" s="108"/>
    </row>
    <row r="87" spans="1:492" x14ac:dyDescent="0.2">
      <c r="A87" s="17"/>
      <c r="B87" s="17"/>
      <c r="C87" s="17"/>
      <c r="E87" s="16"/>
      <c r="U87" s="45"/>
      <c r="V87" s="108"/>
    </row>
    <row r="88" spans="1:492" x14ac:dyDescent="0.2">
      <c r="A88" s="16"/>
      <c r="B88" s="16"/>
      <c r="C88" s="16"/>
      <c r="E88" s="16"/>
      <c r="U88" s="45"/>
    </row>
    <row r="89" spans="1:492" x14ac:dyDescent="0.2">
      <c r="A89" s="16"/>
      <c r="B89" s="16"/>
      <c r="C89" s="16"/>
      <c r="E89" s="16"/>
      <c r="U89" s="45"/>
    </row>
    <row r="90" spans="1:492" x14ac:dyDescent="0.2">
      <c r="A90" s="16"/>
      <c r="B90" s="16"/>
      <c r="C90" s="16"/>
      <c r="E90" s="16"/>
      <c r="U90" s="45"/>
    </row>
    <row r="91" spans="1:492" x14ac:dyDescent="0.2">
      <c r="A91" s="16"/>
      <c r="B91" s="16"/>
      <c r="C91" s="16"/>
      <c r="E91" s="16"/>
      <c r="U91" s="45"/>
    </row>
    <row r="92" spans="1:492" x14ac:dyDescent="0.2">
      <c r="A92" s="16"/>
      <c r="B92" s="16"/>
      <c r="C92" s="16"/>
      <c r="E92" s="16"/>
      <c r="N92"/>
      <c r="O92"/>
      <c r="U92" s="45"/>
      <c r="V92" s="110"/>
    </row>
    <row r="93" spans="1:492" x14ac:dyDescent="0.2">
      <c r="A93" s="16"/>
      <c r="B93" s="16"/>
      <c r="C93" s="16"/>
      <c r="E93" s="16"/>
      <c r="N93"/>
      <c r="O93"/>
      <c r="U93" s="110"/>
      <c r="V93" s="110"/>
    </row>
    <row r="94" spans="1:492" x14ac:dyDescent="0.2">
      <c r="A94" s="16"/>
      <c r="B94" s="16"/>
      <c r="C94" s="16"/>
      <c r="E94" s="16"/>
    </row>
    <row r="95" spans="1:492" x14ac:dyDescent="0.2">
      <c r="A95" s="16"/>
      <c r="B95" s="16"/>
      <c r="C95" s="16"/>
      <c r="E95" s="16"/>
    </row>
    <row r="96" spans="1:492" x14ac:dyDescent="0.2">
      <c r="A96" s="16"/>
      <c r="B96" s="16"/>
      <c r="C96" s="16"/>
      <c r="E96" s="16"/>
    </row>
    <row r="97" spans="1:22" x14ac:dyDescent="0.2">
      <c r="A97" s="16"/>
      <c r="B97" s="16"/>
      <c r="C97" s="16"/>
      <c r="E97" s="16"/>
    </row>
    <row r="98" spans="1:22" x14ac:dyDescent="0.2">
      <c r="N98"/>
      <c r="S98"/>
      <c r="T98" s="111"/>
      <c r="U98" s="45"/>
      <c r="V98" s="45"/>
    </row>
    <row r="99" spans="1:22" x14ac:dyDescent="0.2">
      <c r="N99"/>
      <c r="S99"/>
      <c r="T99" s="111"/>
      <c r="U99" s="45"/>
      <c r="V99" s="45"/>
    </row>
    <row r="100" spans="1:22" x14ac:dyDescent="0.2">
      <c r="N100"/>
      <c r="S100"/>
      <c r="T100" s="111"/>
      <c r="U100" s="45"/>
      <c r="V100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69B7-313D-C04C-A05B-259A5669F72C}">
  <dimension ref="A1:K7"/>
  <sheetViews>
    <sheetView zoomScale="167" workbookViewId="0"/>
  </sheetViews>
  <sheetFormatPr baseColWidth="10" defaultRowHeight="16" x14ac:dyDescent="0.2"/>
  <cols>
    <col min="1" max="3" width="10.83203125" style="112"/>
    <col min="4" max="4" width="12.1640625" style="112" customWidth="1"/>
    <col min="5" max="9" width="10.83203125" style="112"/>
    <col min="10" max="10" width="13.5" style="112" customWidth="1"/>
    <col min="11" max="11" width="13.6640625" style="112" customWidth="1"/>
  </cols>
  <sheetData>
    <row r="1" spans="1:11" x14ac:dyDescent="0.2">
      <c r="A1" s="1" t="s">
        <v>381</v>
      </c>
    </row>
    <row r="3" spans="1:11" ht="56" x14ac:dyDescent="0.2">
      <c r="A3" s="113" t="s">
        <v>382</v>
      </c>
      <c r="B3" s="113" t="s">
        <v>383</v>
      </c>
      <c r="C3" s="113" t="s">
        <v>384</v>
      </c>
      <c r="D3" s="113" t="s">
        <v>385</v>
      </c>
      <c r="E3" s="113" t="s">
        <v>386</v>
      </c>
      <c r="F3" s="114" t="s">
        <v>387</v>
      </c>
      <c r="G3" s="114" t="s">
        <v>388</v>
      </c>
      <c r="H3" s="114" t="s">
        <v>389</v>
      </c>
      <c r="I3" s="114" t="s">
        <v>390</v>
      </c>
      <c r="J3" s="114" t="s">
        <v>391</v>
      </c>
      <c r="K3" s="114" t="s">
        <v>392</v>
      </c>
    </row>
    <row r="4" spans="1:11" x14ac:dyDescent="0.2">
      <c r="A4" s="115" t="s">
        <v>149</v>
      </c>
      <c r="B4" s="116">
        <v>8</v>
      </c>
      <c r="C4" s="117">
        <v>0.82</v>
      </c>
      <c r="D4" s="116">
        <v>5.8</v>
      </c>
      <c r="E4" s="116">
        <v>8.6</v>
      </c>
      <c r="F4" s="116">
        <f>D4*B4-E4*2</f>
        <v>29.2</v>
      </c>
      <c r="G4" s="118">
        <f>F4*C4</f>
        <v>23.943999999999999</v>
      </c>
      <c r="H4" s="118">
        <f>1000*0.001*(G4/I4)</f>
        <v>45.931325532323036</v>
      </c>
      <c r="I4" s="118">
        <f>0.632 - (0.135*C4)</f>
        <v>0.52129999999999999</v>
      </c>
      <c r="J4" s="119">
        <f>0.001*1000*(E4*C4)/I4</f>
        <v>13.527719163629389</v>
      </c>
      <c r="K4" s="119">
        <f>0.001*1000*(D4*C4)/I4</f>
        <v>9.1233454824477267</v>
      </c>
    </row>
    <row r="5" spans="1:11" x14ac:dyDescent="0.2">
      <c r="A5" s="115" t="s">
        <v>153</v>
      </c>
      <c r="B5" s="116">
        <v>6</v>
      </c>
      <c r="C5" s="117">
        <v>0.79</v>
      </c>
      <c r="D5" s="116">
        <v>5.5</v>
      </c>
      <c r="E5" s="116">
        <v>2.2000000000000002</v>
      </c>
      <c r="F5" s="116">
        <f t="shared" ref="F5" si="0">D5*B5-E5*2</f>
        <v>28.6</v>
      </c>
      <c r="G5" s="118">
        <f t="shared" ref="G5" si="1">F5*C5</f>
        <v>22.594000000000001</v>
      </c>
      <c r="H5" s="118">
        <f t="shared" ref="H5:H7" si="2">1000*0.001*(G5/I5)</f>
        <v>43.007518796992485</v>
      </c>
      <c r="I5" s="118">
        <f t="shared" ref="I5:I7" si="3">0.632 - (0.135*C5)</f>
        <v>0.52534999999999998</v>
      </c>
      <c r="J5" s="119">
        <f>0.001*1000*(E5*C5)/I5</f>
        <v>3.30827067669173</v>
      </c>
      <c r="K5" s="119">
        <f>0.001*1000*(D5*C5)/I5</f>
        <v>8.2706766917293244</v>
      </c>
    </row>
    <row r="6" spans="1:11" x14ac:dyDescent="0.2">
      <c r="A6" s="115" t="s">
        <v>152</v>
      </c>
      <c r="B6" s="116">
        <v>6</v>
      </c>
      <c r="C6" s="117">
        <v>0.28999999999999998</v>
      </c>
      <c r="D6" s="116">
        <v>6.3</v>
      </c>
      <c r="E6" s="116">
        <v>0</v>
      </c>
      <c r="F6" s="116">
        <f>D6*B6-E6*2</f>
        <v>37.799999999999997</v>
      </c>
      <c r="G6" s="118">
        <f>F6*C6</f>
        <v>10.961999999999998</v>
      </c>
      <c r="H6" s="118">
        <f t="shared" si="2"/>
        <v>18.490343257147675</v>
      </c>
      <c r="I6" s="118">
        <f t="shared" si="3"/>
        <v>0.59284999999999999</v>
      </c>
      <c r="J6" s="119">
        <f>0.001*1000*(E6*C6)/I6</f>
        <v>0</v>
      </c>
      <c r="K6" s="119">
        <f>0.001*1000*(D6*C6)/I6</f>
        <v>3.0817238761912789</v>
      </c>
    </row>
    <row r="7" spans="1:11" x14ac:dyDescent="0.2">
      <c r="A7" s="115" t="s">
        <v>393</v>
      </c>
      <c r="B7" s="116">
        <v>3</v>
      </c>
      <c r="C7" s="117">
        <v>0.22</v>
      </c>
      <c r="D7" s="116">
        <v>22.1</v>
      </c>
      <c r="E7" s="116">
        <v>3.8</v>
      </c>
      <c r="F7" s="116">
        <f>D7*B7-E7*2</f>
        <v>58.70000000000001</v>
      </c>
      <c r="G7" s="118">
        <f>F7*C7</f>
        <v>12.914000000000001</v>
      </c>
      <c r="H7" s="118">
        <f t="shared" si="2"/>
        <v>21.441142287896398</v>
      </c>
      <c r="I7" s="118">
        <f t="shared" si="3"/>
        <v>0.60230000000000006</v>
      </c>
      <c r="J7" s="119">
        <f>0.001*1000*(E7*C7)/I7</f>
        <v>1.3880126182965298</v>
      </c>
      <c r="K7" s="119">
        <f>0.001*1000*(D7*C7)/I7</f>
        <v>8.0723891748298175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 Iffland-Stettner</dc:creator>
  <cp:lastModifiedBy>Arion Iffland-Stettner</cp:lastModifiedBy>
  <dcterms:created xsi:type="dcterms:W3CDTF">2022-11-29T20:42:05Z</dcterms:created>
  <dcterms:modified xsi:type="dcterms:W3CDTF">2022-11-29T20:44:43Z</dcterms:modified>
</cp:coreProperties>
</file>