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74" documentId="8_{E5C6DC0F-2FB3-4062-8007-EEBE02D3E8B5}" xr6:coauthVersionLast="47" xr6:coauthVersionMax="47" xr10:uidLastSave="{57F78871-4853-4275-95D2-499AAAA45917}"/>
  <bookViews>
    <workbookView xWindow="2775" yWindow="2415" windowWidth="21600" windowHeight="11295" activeTab="1" xr2:uid="{00000000-000D-0000-FFFF-FFFF00000000}"/>
  </bookViews>
  <sheets>
    <sheet name="Sheet1" sheetId="1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N100" i="1"/>
  <c r="N3" i="1"/>
  <c r="H99" i="1" l="1"/>
  <c r="I99" i="1" s="1"/>
  <c r="H90" i="1"/>
  <c r="I90" i="1" s="1"/>
  <c r="H72" i="1"/>
  <c r="I72" i="1" s="1"/>
  <c r="H54" i="1"/>
  <c r="I54" i="1" s="1"/>
  <c r="H45" i="1"/>
  <c r="I45" i="1" s="1"/>
  <c r="H36" i="1"/>
  <c r="I36" i="1" s="1"/>
  <c r="H27" i="1"/>
  <c r="I27" i="1" s="1"/>
  <c r="H9" i="1"/>
  <c r="I9" i="1" s="1"/>
  <c r="G97" i="1" l="1"/>
  <c r="G96" i="1"/>
  <c r="G95" i="1"/>
  <c r="G94" i="1"/>
  <c r="G88" i="1"/>
  <c r="G87" i="1"/>
  <c r="G86" i="1"/>
  <c r="G85" i="1"/>
  <c r="G78" i="1"/>
  <c r="G77" i="1"/>
  <c r="G76" i="1"/>
  <c r="G69" i="1"/>
  <c r="G68" i="1"/>
  <c r="G67" i="1"/>
  <c r="G61" i="1"/>
  <c r="G60" i="1"/>
  <c r="G59" i="1"/>
  <c r="G58" i="1"/>
  <c r="G52" i="1"/>
  <c r="G51" i="1"/>
  <c r="G50" i="1"/>
  <c r="G49" i="1"/>
  <c r="G42" i="1"/>
  <c r="G41" i="1"/>
  <c r="G40" i="1"/>
  <c r="G34" i="1"/>
  <c r="G33" i="1"/>
  <c r="G32" i="1"/>
  <c r="G31" i="1"/>
  <c r="G24" i="1"/>
  <c r="G23" i="1"/>
  <c r="G22" i="1"/>
  <c r="G16" i="1"/>
  <c r="G15" i="1"/>
  <c r="G14" i="1"/>
  <c r="G7" i="1"/>
  <c r="G6" i="1"/>
  <c r="G5" i="1"/>
  <c r="G4" i="1"/>
  <c r="H16" i="1" l="1"/>
  <c r="I16" i="1" s="1"/>
  <c r="H59" i="1"/>
  <c r="I59" i="1" s="1"/>
  <c r="H78" i="1"/>
  <c r="I78" i="1" s="1"/>
  <c r="H61" i="1"/>
  <c r="I61" i="1" s="1"/>
  <c r="H6" i="1"/>
  <c r="I6" i="1" s="1"/>
  <c r="H50" i="1"/>
  <c r="I50" i="1" s="1"/>
  <c r="H23" i="1"/>
  <c r="I23" i="1" s="1"/>
  <c r="H86" i="1"/>
  <c r="I86" i="1" s="1"/>
  <c r="H68" i="1"/>
  <c r="I68" i="1" s="1"/>
  <c r="H15" i="1"/>
  <c r="I15" i="1" s="1"/>
  <c r="H77" i="1"/>
  <c r="I77" i="1" s="1"/>
  <c r="H96" i="1"/>
  <c r="I96" i="1" s="1"/>
  <c r="H41" i="1"/>
  <c r="I41" i="1" s="1"/>
  <c r="H60" i="1"/>
  <c r="I60" i="1" s="1"/>
  <c r="H5" i="1"/>
  <c r="I5" i="1" s="1"/>
  <c r="H24" i="1"/>
  <c r="I24" i="1" s="1"/>
  <c r="H87" i="1"/>
  <c r="I87" i="1" s="1"/>
  <c r="H89" i="1"/>
  <c r="I89" i="1" s="1"/>
  <c r="H88" i="1"/>
  <c r="I88" i="1" s="1"/>
  <c r="H51" i="1"/>
  <c r="I51" i="1" s="1"/>
  <c r="H42" i="1"/>
  <c r="I42" i="1" s="1"/>
  <c r="H8" i="1"/>
  <c r="I8" i="1" s="1"/>
  <c r="H7" i="1"/>
  <c r="I7" i="1" s="1"/>
  <c r="H32" i="1"/>
  <c r="I32" i="1" s="1"/>
  <c r="H69" i="1"/>
  <c r="I69" i="1" s="1"/>
  <c r="H33" i="1"/>
  <c r="I33" i="1" s="1"/>
  <c r="H52" i="1"/>
  <c r="I52" i="1" s="1"/>
  <c r="H53" i="1"/>
  <c r="I53" i="1" s="1"/>
  <c r="H95" i="1"/>
  <c r="I95" i="1" s="1"/>
  <c r="H35" i="1"/>
  <c r="I35" i="1" s="1"/>
  <c r="H34" i="1"/>
  <c r="I34" i="1" s="1"/>
  <c r="H98" i="1"/>
  <c r="I98" i="1" s="1"/>
  <c r="H97" i="1"/>
  <c r="I97" i="1" s="1"/>
  <c r="E92" i="1"/>
  <c r="E19" i="1"/>
  <c r="E28" i="1"/>
  <c r="E37" i="1"/>
  <c r="E46" i="1"/>
  <c r="E55" i="1"/>
  <c r="E64" i="1"/>
  <c r="E73" i="1"/>
  <c r="E82" i="1"/>
  <c r="E91" i="1"/>
  <c r="E100" i="1"/>
  <c r="E10" i="1"/>
  <c r="E3" i="1" l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3" i="1"/>
  <c r="E94" i="1"/>
  <c r="E95" i="1"/>
  <c r="E96" i="1"/>
  <c r="E97" i="1"/>
  <c r="E98" i="1"/>
  <c r="E99" i="1"/>
  <c r="E2" i="1"/>
  <c r="F16" i="1" l="1"/>
  <c r="F34" i="1"/>
  <c r="F97" i="1"/>
  <c r="F7" i="1"/>
  <c r="F61" i="1"/>
  <c r="G62" i="1" s="1"/>
  <c r="F52" i="1"/>
  <c r="F88" i="1"/>
  <c r="F15" i="1"/>
  <c r="F33" i="1"/>
  <c r="F96" i="1"/>
  <c r="F24" i="1"/>
  <c r="G25" i="1" s="1"/>
  <c r="F42" i="1"/>
  <c r="G43" i="1" s="1"/>
  <c r="F6" i="1"/>
  <c r="F60" i="1"/>
  <c r="F51" i="1"/>
  <c r="F78" i="1"/>
  <c r="F87" i="1"/>
  <c r="F69" i="1"/>
  <c r="G70" i="1" s="1"/>
  <c r="F14" i="1"/>
  <c r="F32" i="1"/>
  <c r="F95" i="1"/>
  <c r="F23" i="1"/>
  <c r="F41" i="1"/>
  <c r="F5" i="1"/>
  <c r="F59" i="1"/>
  <c r="F50" i="1"/>
  <c r="F77" i="1"/>
  <c r="F86" i="1"/>
  <c r="F68" i="1"/>
  <c r="F31" i="1"/>
  <c r="G30" i="1" s="1"/>
  <c r="F94" i="1"/>
  <c r="G93" i="1" s="1"/>
  <c r="F22" i="1"/>
  <c r="G21" i="1" s="1"/>
  <c r="F40" i="1"/>
  <c r="G39" i="1" s="1"/>
  <c r="F4" i="1"/>
  <c r="G3" i="1" s="1"/>
  <c r="F58" i="1"/>
  <c r="G57" i="1" s="1"/>
  <c r="F49" i="1"/>
  <c r="G48" i="1" s="1"/>
  <c r="F76" i="1"/>
  <c r="G75" i="1" s="1"/>
  <c r="F85" i="1"/>
  <c r="G84" i="1" s="1"/>
  <c r="F67" i="1"/>
  <c r="G66" i="1" s="1"/>
  <c r="H26" i="1" l="1"/>
  <c r="I26" i="1" s="1"/>
  <c r="H25" i="1"/>
  <c r="I25" i="1" s="1"/>
  <c r="H44" i="1"/>
  <c r="I44" i="1" s="1"/>
  <c r="H43" i="1"/>
  <c r="I43" i="1" s="1"/>
  <c r="H84" i="1"/>
  <c r="I84" i="1" s="1"/>
  <c r="H85" i="1"/>
  <c r="I85" i="1" s="1"/>
  <c r="H30" i="1"/>
  <c r="I30" i="1" s="1"/>
  <c r="H31" i="1"/>
  <c r="I31" i="1" s="1"/>
  <c r="G79" i="1"/>
  <c r="H79" i="1" s="1"/>
  <c r="I79" i="1" s="1"/>
  <c r="H75" i="1"/>
  <c r="I75" i="1" s="1"/>
  <c r="H76" i="1"/>
  <c r="I76" i="1" s="1"/>
  <c r="G12" i="1"/>
  <c r="H12" i="1" s="1"/>
  <c r="I12" i="1" s="1"/>
  <c r="H66" i="1"/>
  <c r="I66" i="1" s="1"/>
  <c r="H67" i="1"/>
  <c r="I67" i="1" s="1"/>
  <c r="H48" i="1"/>
  <c r="I48" i="1" s="1"/>
  <c r="H49" i="1"/>
  <c r="I49" i="1" s="1"/>
  <c r="H57" i="1"/>
  <c r="I57" i="1" s="1"/>
  <c r="H58" i="1"/>
  <c r="I58" i="1" s="1"/>
  <c r="H71" i="1"/>
  <c r="I71" i="1" s="1"/>
  <c r="H70" i="1"/>
  <c r="I70" i="1" s="1"/>
  <c r="H21" i="1"/>
  <c r="I21" i="1" s="1"/>
  <c r="H22" i="1"/>
  <c r="I22" i="1" s="1"/>
  <c r="H93" i="1"/>
  <c r="I93" i="1" s="1"/>
  <c r="H94" i="1"/>
  <c r="I94" i="1" s="1"/>
  <c r="H62" i="1"/>
  <c r="I62" i="1" s="1"/>
  <c r="H63" i="1"/>
  <c r="I63" i="1" s="1"/>
  <c r="H3" i="1"/>
  <c r="I3" i="1" s="1"/>
  <c r="H4" i="1"/>
  <c r="I4" i="1" s="1"/>
  <c r="H39" i="1"/>
  <c r="I39" i="1" s="1"/>
  <c r="H40" i="1"/>
  <c r="I40" i="1" s="1"/>
  <c r="G80" i="1" l="1"/>
  <c r="H81" i="1"/>
  <c r="I81" i="1" s="1"/>
  <c r="H80" i="1"/>
  <c r="I80" i="1" s="1"/>
  <c r="G13" i="1"/>
  <c r="H13" i="1" l="1"/>
  <c r="I13" i="1" s="1"/>
  <c r="H14" i="1"/>
  <c r="I14" i="1" s="1"/>
</calcChain>
</file>

<file path=xl/sharedStrings.xml><?xml version="1.0" encoding="utf-8"?>
<sst xmlns="http://schemas.openxmlformats.org/spreadsheetml/2006/main" count="279" uniqueCount="67">
  <si>
    <t>Id</t>
  </si>
  <si>
    <t>Gender</t>
  </si>
  <si>
    <t>Age</t>
  </si>
  <si>
    <t>Change in body mass</t>
  </si>
  <si>
    <t>Date</t>
  </si>
  <si>
    <t>Tb_mean</t>
  </si>
  <si>
    <t>Tb_min</t>
  </si>
  <si>
    <t>Tb_max</t>
  </si>
  <si>
    <t>Ta_mean</t>
  </si>
  <si>
    <t>Ta_min</t>
  </si>
  <si>
    <t>Ta_max</t>
  </si>
  <si>
    <t>Rainfall</t>
  </si>
  <si>
    <t>NDVI</t>
  </si>
  <si>
    <t>C19</t>
  </si>
  <si>
    <t>C17</t>
  </si>
  <si>
    <t>C11</t>
  </si>
  <si>
    <t>C12</t>
  </si>
  <si>
    <t>C20</t>
  </si>
  <si>
    <t>C15</t>
  </si>
  <si>
    <t>B12</t>
  </si>
  <si>
    <t>B42</t>
  </si>
  <si>
    <t>B56</t>
  </si>
  <si>
    <t>B23</t>
  </si>
  <si>
    <t>female</t>
  </si>
  <si>
    <t>male</t>
  </si>
  <si>
    <t>DPM</t>
  </si>
  <si>
    <t>C07</t>
  </si>
  <si>
    <t>Birth</t>
  </si>
  <si>
    <t>BM</t>
  </si>
  <si>
    <t>CBM</t>
  </si>
  <si>
    <t>BC</t>
  </si>
  <si>
    <t>Leptin</t>
  </si>
  <si>
    <t>Grass_height</t>
  </si>
  <si>
    <t>Date of birth</t>
  </si>
  <si>
    <t>Age (months)</t>
  </si>
  <si>
    <t>Body condition score, average of 4 scores out of 5 (5 being the best body condition, 0 the worst)</t>
  </si>
  <si>
    <t>Biomass</t>
  </si>
  <si>
    <t>C%BM</t>
  </si>
  <si>
    <t>Grass_height_sd</t>
  </si>
  <si>
    <t>DPM_sd</t>
  </si>
  <si>
    <t>Biomass_sd</t>
  </si>
  <si>
    <t>BM_IN</t>
  </si>
  <si>
    <t>Buffalo identity</t>
  </si>
  <si>
    <t>Capture date</t>
  </si>
  <si>
    <t>body mass (kg)</t>
  </si>
  <si>
    <t>Body mass (kg) with interpolated values</t>
  </si>
  <si>
    <t>% change in body mass</t>
  </si>
  <si>
    <t>Tb_range</t>
  </si>
  <si>
    <t>Ta_range</t>
  </si>
  <si>
    <r>
      <t>Average daily mean body temperature (</t>
    </r>
    <r>
      <rPr>
        <sz val="11"/>
        <color theme="1"/>
        <rFont val="Calibri"/>
        <family val="2"/>
      </rPr>
      <t>°C)</t>
    </r>
  </si>
  <si>
    <t>Average daily minimum body temperature (°C)</t>
  </si>
  <si>
    <t>Average daily maximum body temperature (°C)</t>
  </si>
  <si>
    <t>Average daily range in body temperature (°C)</t>
  </si>
  <si>
    <t>Serum leptin levels (ng/ml)</t>
  </si>
  <si>
    <t>Average daily mean air temperature (°C)</t>
  </si>
  <si>
    <t>Average daily minimum air temperature (°C)</t>
  </si>
  <si>
    <t>Average daily maximum air temperature (°C)</t>
  </si>
  <si>
    <t>Average daily range in air temperature (°C)</t>
  </si>
  <si>
    <t>Total rainfall</t>
  </si>
  <si>
    <t>Average grass height (cm)</t>
  </si>
  <si>
    <t>Grass height standard deviation</t>
  </si>
  <si>
    <t>Average disk pasture meter reading</t>
  </si>
  <si>
    <t>Disk pasture meter reading standard deviation</t>
  </si>
  <si>
    <t>Average grass biomass (1 000kg/ha)</t>
  </si>
  <si>
    <t>Grass biomass standard deviation</t>
  </si>
  <si>
    <t>Normalized difference vegetation index</t>
  </si>
  <si>
    <t>Buffalo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</si>
</sst>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</cellXfs>
  <cellStyles count="8">
    <cellStyle name="Comma 2" xfId="7" xr:uid="{F2BC1798-9F2E-4E9E-8059-12E3E003DF98}"/>
    <cellStyle name="Normal" xfId="0" builtinId="0"/>
    <cellStyle name="Normal 2" xfId="2" xr:uid="{99BDBA15-7EC6-4DF7-84F3-9826EB863526}"/>
    <cellStyle name="Normal 3" xfId="3" xr:uid="{2DD6F10C-9141-4451-92D7-B6730B02955A}"/>
    <cellStyle name="Normal 4" xfId="1" xr:uid="{585F9282-6A84-4321-9494-447C3710A7E8}"/>
    <cellStyle name="Normal 5" xfId="4" xr:uid="{9446F211-7E88-4142-813A-6EB94639C8B5}"/>
    <cellStyle name="Normal 6" xfId="5" xr:uid="{64268133-74E5-40A2-BA95-F2413BB47351}"/>
    <cellStyle name="Normal 7" xfId="6" xr:uid="{3F7FB82A-1451-47B1-A758-D8FC12AB29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9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U7" sqref="U7"/>
    </sheetView>
  </sheetViews>
  <sheetFormatPr defaultRowHeight="15" x14ac:dyDescent="0.25"/>
  <cols>
    <col min="1" max="1" width="4.140625" bestFit="1" customWidth="1"/>
    <col min="3" max="3" width="10.7109375" bestFit="1" customWidth="1"/>
    <col min="4" max="4" width="10.7109375" style="5" customWidth="1"/>
    <col min="5" max="5" width="8.42578125" bestFit="1" customWidth="1"/>
    <col min="6" max="6" width="10.28515625" bestFit="1" customWidth="1"/>
    <col min="7" max="7" width="10.28515625" style="3" customWidth="1"/>
    <col min="8" max="8" width="6" bestFit="1" customWidth="1"/>
    <col min="9" max="9" width="8.7109375" style="4" customWidth="1"/>
    <col min="10" max="10" width="6" bestFit="1" customWidth="1"/>
    <col min="14" max="14" width="9.140625" style="4"/>
    <col min="15" max="15" width="11" bestFit="1" customWidth="1"/>
    <col min="21" max="21" width="12.7109375" customWidth="1"/>
    <col min="22" max="22" width="12.7109375" style="4" customWidth="1"/>
    <col min="23" max="23" width="12.7109375" customWidth="1"/>
    <col min="24" max="26" width="12.7109375" style="4" customWidth="1"/>
  </cols>
  <sheetData>
    <row r="1" spans="1:28" x14ac:dyDescent="0.25">
      <c r="A1" t="s">
        <v>0</v>
      </c>
      <c r="B1" t="s">
        <v>1</v>
      </c>
      <c r="C1" t="s">
        <v>4</v>
      </c>
      <c r="D1" s="5" t="s">
        <v>27</v>
      </c>
      <c r="E1" t="s">
        <v>2</v>
      </c>
      <c r="F1" s="3" t="s">
        <v>28</v>
      </c>
      <c r="G1" s="3" t="s">
        <v>41</v>
      </c>
      <c r="H1" t="s">
        <v>29</v>
      </c>
      <c r="I1" s="4" t="s">
        <v>37</v>
      </c>
      <c r="J1" t="s">
        <v>30</v>
      </c>
      <c r="K1" t="s">
        <v>5</v>
      </c>
      <c r="L1" t="s">
        <v>6</v>
      </c>
      <c r="M1" t="s">
        <v>7</v>
      </c>
      <c r="N1" s="4" t="s">
        <v>47</v>
      </c>
      <c r="O1" t="s">
        <v>31</v>
      </c>
      <c r="P1" t="s">
        <v>8</v>
      </c>
      <c r="Q1" t="s">
        <v>9</v>
      </c>
      <c r="R1" t="s">
        <v>10</v>
      </c>
      <c r="S1" t="s">
        <v>48</v>
      </c>
      <c r="T1" t="s">
        <v>11</v>
      </c>
      <c r="U1" t="s">
        <v>32</v>
      </c>
      <c r="V1" s="4" t="s">
        <v>38</v>
      </c>
      <c r="W1" t="s">
        <v>25</v>
      </c>
      <c r="X1" s="4" t="s">
        <v>39</v>
      </c>
      <c r="Y1" s="4" t="s">
        <v>36</v>
      </c>
      <c r="Z1" s="4" t="s">
        <v>40</v>
      </c>
      <c r="AA1" t="s">
        <v>12</v>
      </c>
      <c r="AB1" s="2"/>
    </row>
    <row r="2" spans="1:28" x14ac:dyDescent="0.25">
      <c r="A2" t="s">
        <v>19</v>
      </c>
      <c r="B2" t="s">
        <v>24</v>
      </c>
      <c r="C2" s="1">
        <v>42431</v>
      </c>
      <c r="D2" s="6">
        <v>41334</v>
      </c>
      <c r="E2">
        <f>DATEDIF(D2, C2, "M")</f>
        <v>36</v>
      </c>
      <c r="F2">
        <v>368</v>
      </c>
      <c r="G2" s="3">
        <v>368</v>
      </c>
      <c r="J2">
        <v>2.75</v>
      </c>
      <c r="O2">
        <v>6.3126418014891597</v>
      </c>
      <c r="U2">
        <v>29.56</v>
      </c>
      <c r="V2" s="4">
        <v>8.93</v>
      </c>
      <c r="W2">
        <v>3.94</v>
      </c>
      <c r="X2" s="4">
        <v>1.58</v>
      </c>
      <c r="Y2" s="4">
        <v>1.1567000000000001</v>
      </c>
      <c r="Z2" s="4">
        <v>0.49786999999999998</v>
      </c>
      <c r="AA2">
        <v>0.24459999999999998</v>
      </c>
    </row>
    <row r="3" spans="1:28" x14ac:dyDescent="0.25">
      <c r="A3" t="s">
        <v>19</v>
      </c>
      <c r="B3" t="s">
        <v>24</v>
      </c>
      <c r="C3" s="1">
        <v>42520</v>
      </c>
      <c r="D3" s="6">
        <v>41334</v>
      </c>
      <c r="E3" s="4">
        <f t="shared" ref="E3:E74" si="0">DATEDIF(D3, C3, "M")</f>
        <v>38</v>
      </c>
      <c r="F3" s="2"/>
      <c r="G3" s="3">
        <f>AVERAGE(F2:F4)</f>
        <v>371</v>
      </c>
      <c r="H3">
        <f t="shared" ref="H3:H9" si="1">G3-G2</f>
        <v>3</v>
      </c>
      <c r="I3" s="4">
        <f t="shared" ref="I3:I9" si="2">(H3/G2)*100</f>
        <v>0.81521739130434778</v>
      </c>
      <c r="J3">
        <v>3</v>
      </c>
      <c r="K3" s="4">
        <v>38.167477378739299</v>
      </c>
      <c r="L3" s="4">
        <v>37.121905384615403</v>
      </c>
      <c r="M3" s="4">
        <v>39.323241461538501</v>
      </c>
      <c r="N3" s="4">
        <f>M3-L3</f>
        <v>2.2013360769230985</v>
      </c>
      <c r="O3">
        <v>6.7564056747982901</v>
      </c>
      <c r="P3" s="4">
        <v>25.1251896806227</v>
      </c>
      <c r="Q3" s="4">
        <v>17.836691358024702</v>
      </c>
      <c r="R3" s="4">
        <v>34.762370370370398</v>
      </c>
      <c r="S3" s="4">
        <v>16.9256790123457</v>
      </c>
      <c r="T3">
        <v>54.6</v>
      </c>
      <c r="AA3">
        <v>0.27728888888888892</v>
      </c>
    </row>
    <row r="4" spans="1:28" x14ac:dyDescent="0.25">
      <c r="A4" t="s">
        <v>19</v>
      </c>
      <c r="B4" t="s">
        <v>24</v>
      </c>
      <c r="C4" s="1">
        <v>42583</v>
      </c>
      <c r="D4" s="6">
        <v>41334</v>
      </c>
      <c r="E4" s="4">
        <f t="shared" si="0"/>
        <v>41</v>
      </c>
      <c r="F4">
        <f>450-76</f>
        <v>374</v>
      </c>
      <c r="G4" s="3">
        <f>450-76</f>
        <v>374</v>
      </c>
      <c r="H4">
        <f t="shared" si="1"/>
        <v>3</v>
      </c>
      <c r="I4" s="4">
        <f t="shared" si="2"/>
        <v>0.80862533692722371</v>
      </c>
      <c r="J4">
        <v>2.875</v>
      </c>
      <c r="K4" s="4">
        <v>37.382891572010898</v>
      </c>
      <c r="L4" s="4">
        <v>35.4823983913044</v>
      </c>
      <c r="M4" s="4">
        <v>39.212715521739099</v>
      </c>
      <c r="N4" s="4">
        <f t="shared" ref="N4:N67" si="3">M4-L4</f>
        <v>3.7303171304346989</v>
      </c>
      <c r="O4">
        <v>5.7517105852423001</v>
      </c>
      <c r="P4" s="4">
        <v>19.149532608695701</v>
      </c>
      <c r="Q4" s="4">
        <v>11.016782608695699</v>
      </c>
      <c r="R4" s="4">
        <v>29.297847826087001</v>
      </c>
      <c r="S4" s="4">
        <v>18.281065217391301</v>
      </c>
      <c r="T4">
        <v>0</v>
      </c>
      <c r="W4">
        <v>3.98</v>
      </c>
      <c r="X4" s="4">
        <v>1.4</v>
      </c>
      <c r="Y4" s="4">
        <v>1.1932499999999999</v>
      </c>
      <c r="Z4" s="4">
        <v>0.44338</v>
      </c>
      <c r="AA4">
        <v>0.23230000000000003</v>
      </c>
    </row>
    <row r="5" spans="1:28" x14ac:dyDescent="0.25">
      <c r="A5" t="s">
        <v>19</v>
      </c>
      <c r="B5" t="s">
        <v>24</v>
      </c>
      <c r="C5" s="1">
        <v>42646</v>
      </c>
      <c r="D5" s="6">
        <v>41334</v>
      </c>
      <c r="E5" s="4">
        <f t="shared" si="0"/>
        <v>43</v>
      </c>
      <c r="F5">
        <f>433-70</f>
        <v>363</v>
      </c>
      <c r="G5" s="3">
        <f>433-70</f>
        <v>363</v>
      </c>
      <c r="H5">
        <f t="shared" si="1"/>
        <v>-11</v>
      </c>
      <c r="I5" s="4">
        <f t="shared" si="2"/>
        <v>-2.9411764705882351</v>
      </c>
      <c r="J5">
        <v>2.625</v>
      </c>
      <c r="K5" s="4">
        <v>37.725324748724503</v>
      </c>
      <c r="L5" s="4">
        <v>35.934277346938799</v>
      </c>
      <c r="M5" s="4">
        <v>39.374174448979602</v>
      </c>
      <c r="N5" s="4">
        <f t="shared" si="3"/>
        <v>3.4398971020408027</v>
      </c>
      <c r="O5">
        <v>7.0749503958134801</v>
      </c>
      <c r="P5" s="4">
        <v>22.938100340136099</v>
      </c>
      <c r="Q5" s="4">
        <v>13.9858571428571</v>
      </c>
      <c r="R5" s="4">
        <v>33.606489795918399</v>
      </c>
      <c r="S5" s="4">
        <v>19.6206326530612</v>
      </c>
      <c r="T5">
        <v>2.4</v>
      </c>
      <c r="U5">
        <v>16.78</v>
      </c>
      <c r="V5" s="4">
        <v>7.34</v>
      </c>
      <c r="W5">
        <v>2.81</v>
      </c>
      <c r="X5" s="4">
        <v>0.89</v>
      </c>
      <c r="Y5" s="4">
        <v>0.81944000000000006</v>
      </c>
      <c r="Z5" s="4">
        <v>0.28558999999999996</v>
      </c>
      <c r="AA5">
        <v>0.17127499999999996</v>
      </c>
    </row>
    <row r="6" spans="1:28" x14ac:dyDescent="0.25">
      <c r="A6" t="s">
        <v>19</v>
      </c>
      <c r="B6" t="s">
        <v>24</v>
      </c>
      <c r="C6" s="1">
        <v>42710</v>
      </c>
      <c r="D6" s="6">
        <v>41334</v>
      </c>
      <c r="E6" s="4">
        <f t="shared" si="0"/>
        <v>45</v>
      </c>
      <c r="F6">
        <f>470-70</f>
        <v>400</v>
      </c>
      <c r="G6" s="3">
        <f>470-70</f>
        <v>400</v>
      </c>
      <c r="H6">
        <f t="shared" si="1"/>
        <v>37</v>
      </c>
      <c r="I6" s="4">
        <f t="shared" si="2"/>
        <v>10.192837465564738</v>
      </c>
      <c r="J6">
        <v>2.875</v>
      </c>
      <c r="K6" s="4">
        <v>37.699694172222202</v>
      </c>
      <c r="L6" s="4">
        <v>36.059410533333299</v>
      </c>
      <c r="M6" s="4">
        <v>39.298582000000003</v>
      </c>
      <c r="N6" s="4">
        <f t="shared" si="3"/>
        <v>3.2391714666667042</v>
      </c>
      <c r="O6">
        <v>10.597585079214401</v>
      </c>
      <c r="P6" s="4">
        <v>26.7561111111111</v>
      </c>
      <c r="Q6" s="4">
        <v>19.863333333333301</v>
      </c>
      <c r="R6" s="4">
        <v>35.377977777777801</v>
      </c>
      <c r="S6" s="4">
        <v>15.5146444444444</v>
      </c>
      <c r="T6">
        <v>31.2</v>
      </c>
      <c r="U6">
        <v>23.34</v>
      </c>
      <c r="V6" s="4">
        <v>3.06</v>
      </c>
      <c r="W6">
        <v>2.93</v>
      </c>
      <c r="X6" s="4">
        <v>0.73</v>
      </c>
      <c r="Y6" s="4">
        <v>0.83996000000000004</v>
      </c>
      <c r="Z6" s="4">
        <v>0.25044</v>
      </c>
      <c r="AA6">
        <v>0.18026</v>
      </c>
    </row>
    <row r="7" spans="1:28" x14ac:dyDescent="0.25">
      <c r="A7" t="s">
        <v>19</v>
      </c>
      <c r="B7" t="s">
        <v>24</v>
      </c>
      <c r="C7" s="1">
        <v>42795</v>
      </c>
      <c r="D7" s="6">
        <v>41334</v>
      </c>
      <c r="E7" s="4">
        <f t="shared" si="0"/>
        <v>48</v>
      </c>
      <c r="F7">
        <f>536-70</f>
        <v>466</v>
      </c>
      <c r="G7" s="3">
        <f>536-70</f>
        <v>466</v>
      </c>
      <c r="H7">
        <f t="shared" si="1"/>
        <v>66</v>
      </c>
      <c r="I7" s="4">
        <f t="shared" si="2"/>
        <v>16.5</v>
      </c>
      <c r="J7">
        <v>3.75</v>
      </c>
      <c r="K7" s="4">
        <v>38.548892735190798</v>
      </c>
      <c r="L7" s="4">
        <v>37.539082698795198</v>
      </c>
      <c r="M7" s="4">
        <v>39.525798795180698</v>
      </c>
      <c r="N7" s="4">
        <f t="shared" si="3"/>
        <v>1.9867160963855</v>
      </c>
      <c r="O7">
        <v>11.5344195032329</v>
      </c>
      <c r="P7" s="4">
        <v>26.7615687751004</v>
      </c>
      <c r="Q7" s="4">
        <v>20.769421686746998</v>
      </c>
      <c r="R7" s="4">
        <v>34.686626506024098</v>
      </c>
      <c r="S7" s="4">
        <v>13.917204819277099</v>
      </c>
      <c r="T7">
        <v>369.8</v>
      </c>
      <c r="U7">
        <v>72.099999999999994</v>
      </c>
      <c r="V7" s="4">
        <v>9.4</v>
      </c>
      <c r="W7">
        <v>12.22</v>
      </c>
      <c r="X7" s="4">
        <v>2.96</v>
      </c>
      <c r="Y7" s="4">
        <v>3.26105</v>
      </c>
      <c r="Z7" s="4">
        <v>0.63415999999999995</v>
      </c>
      <c r="AA7">
        <v>0.53029999999999999</v>
      </c>
    </row>
    <row r="8" spans="1:28" x14ac:dyDescent="0.25">
      <c r="A8" t="s">
        <v>19</v>
      </c>
      <c r="B8" t="s">
        <v>24</v>
      </c>
      <c r="C8" s="1">
        <v>42887</v>
      </c>
      <c r="D8" s="6">
        <v>41334</v>
      </c>
      <c r="E8" s="4">
        <f t="shared" si="0"/>
        <v>51</v>
      </c>
      <c r="F8">
        <v>512</v>
      </c>
      <c r="G8" s="3">
        <v>512</v>
      </c>
      <c r="H8">
        <f t="shared" si="1"/>
        <v>46</v>
      </c>
      <c r="I8" s="4">
        <f t="shared" si="2"/>
        <v>9.8712446351931327</v>
      </c>
      <c r="J8">
        <v>4</v>
      </c>
      <c r="K8" s="4">
        <v>38.326773300047897</v>
      </c>
      <c r="L8" s="4">
        <v>37.313056965517198</v>
      </c>
      <c r="M8" s="4">
        <v>39.347610137930999</v>
      </c>
      <c r="N8" s="4">
        <f t="shared" si="3"/>
        <v>2.0345531724138013</v>
      </c>
      <c r="O8" s="3">
        <v>14.6134056289836</v>
      </c>
      <c r="P8" s="4">
        <v>23.338535919540199</v>
      </c>
      <c r="Q8" s="4">
        <v>16.067333333333298</v>
      </c>
      <c r="R8" s="4">
        <v>33.816597701149398</v>
      </c>
      <c r="S8" s="4">
        <v>17.7492643678161</v>
      </c>
      <c r="T8">
        <v>131.6</v>
      </c>
      <c r="U8">
        <v>52.4</v>
      </c>
      <c r="V8" s="4">
        <v>9.1300000000000008</v>
      </c>
      <c r="W8">
        <v>9.33</v>
      </c>
      <c r="X8" s="4">
        <v>1.1299999999999999</v>
      </c>
      <c r="Y8" s="4">
        <v>2.6351900000000001</v>
      </c>
      <c r="Z8" s="4">
        <v>0.31968000000000002</v>
      </c>
      <c r="AA8">
        <v>0.68862500000000004</v>
      </c>
    </row>
    <row r="9" spans="1:28" x14ac:dyDescent="0.25">
      <c r="A9" t="s">
        <v>19</v>
      </c>
      <c r="B9" t="s">
        <v>24</v>
      </c>
      <c r="C9" s="1">
        <v>42948</v>
      </c>
      <c r="D9" s="6">
        <v>41334</v>
      </c>
      <c r="E9" s="4">
        <f t="shared" si="0"/>
        <v>53</v>
      </c>
      <c r="F9">
        <v>520</v>
      </c>
      <c r="G9" s="3">
        <v>520</v>
      </c>
      <c r="H9">
        <f t="shared" si="1"/>
        <v>8</v>
      </c>
      <c r="I9" s="4">
        <f t="shared" si="2"/>
        <v>1.5625</v>
      </c>
      <c r="J9">
        <v>3.75</v>
      </c>
      <c r="K9" s="4">
        <v>37.890106232704397</v>
      </c>
      <c r="L9" s="4">
        <v>36.6042519622642</v>
      </c>
      <c r="M9" s="4">
        <v>39.034827735849099</v>
      </c>
      <c r="N9" s="4">
        <f t="shared" si="3"/>
        <v>2.4305757735848985</v>
      </c>
      <c r="O9" s="2"/>
      <c r="P9" s="4">
        <v>19.578744018321</v>
      </c>
      <c r="Q9" s="4">
        <v>10.532999999999999</v>
      </c>
      <c r="R9" s="4">
        <v>31.658509433962301</v>
      </c>
      <c r="S9" s="4">
        <v>21.1255094339623</v>
      </c>
      <c r="T9">
        <v>1.4</v>
      </c>
      <c r="AA9">
        <v>0.40872857142857139</v>
      </c>
    </row>
    <row r="10" spans="1:28" s="4" customFormat="1" x14ac:dyDescent="0.25">
      <c r="A10" s="4" t="s">
        <v>19</v>
      </c>
      <c r="B10" s="4" t="s">
        <v>24</v>
      </c>
      <c r="C10" s="1">
        <v>43025</v>
      </c>
      <c r="D10" s="6">
        <v>41334</v>
      </c>
      <c r="E10" s="4">
        <f t="shared" si="0"/>
        <v>55</v>
      </c>
      <c r="G10" s="3"/>
      <c r="K10" s="4">
        <v>37.775133094876097</v>
      </c>
      <c r="L10" s="4">
        <v>36.270578999999998</v>
      </c>
      <c r="M10" s="4">
        <v>39.104828594594601</v>
      </c>
      <c r="N10" s="4">
        <f t="shared" si="3"/>
        <v>2.8342495945946027</v>
      </c>
      <c r="O10" s="2"/>
      <c r="P10" s="4">
        <v>21.9875692567568</v>
      </c>
      <c r="Q10" s="4">
        <v>13.3952432432432</v>
      </c>
      <c r="R10" s="4">
        <v>32.264445945945901</v>
      </c>
      <c r="S10" s="4">
        <v>18.869202702702701</v>
      </c>
      <c r="T10" s="4">
        <v>46.4</v>
      </c>
      <c r="AA10" s="4">
        <v>0.29736666666666661</v>
      </c>
    </row>
    <row r="11" spans="1:28" x14ac:dyDescent="0.25">
      <c r="A11" t="s">
        <v>22</v>
      </c>
      <c r="B11" t="s">
        <v>24</v>
      </c>
      <c r="C11" s="1">
        <v>42431</v>
      </c>
      <c r="D11" s="6">
        <v>41151</v>
      </c>
      <c r="E11" s="4">
        <f t="shared" si="0"/>
        <v>42</v>
      </c>
      <c r="F11">
        <v>354</v>
      </c>
      <c r="G11" s="3">
        <v>354</v>
      </c>
      <c r="H11" s="4"/>
      <c r="J11">
        <v>3.25</v>
      </c>
      <c r="O11">
        <v>6.7887206049233502</v>
      </c>
      <c r="P11" s="4"/>
      <c r="Q11" s="4"/>
      <c r="R11" s="4"/>
      <c r="S11" s="4"/>
      <c r="T11" s="4"/>
      <c r="U11" s="4">
        <v>29.56</v>
      </c>
      <c r="V11" s="4">
        <v>8.93</v>
      </c>
      <c r="W11" s="4">
        <v>3.94</v>
      </c>
      <c r="X11" s="4">
        <v>1.58</v>
      </c>
      <c r="Y11" s="4">
        <v>1.1567000000000001</v>
      </c>
      <c r="Z11" s="4">
        <v>0.49786999999999998</v>
      </c>
      <c r="AA11" s="4">
        <v>0.24459999999999998</v>
      </c>
    </row>
    <row r="12" spans="1:28" x14ac:dyDescent="0.25">
      <c r="A12" t="s">
        <v>22</v>
      </c>
      <c r="B12" t="s">
        <v>24</v>
      </c>
      <c r="C12" s="1">
        <v>42520</v>
      </c>
      <c r="D12" s="6">
        <v>41151</v>
      </c>
      <c r="E12" s="4">
        <f t="shared" si="0"/>
        <v>45</v>
      </c>
      <c r="F12" s="2"/>
      <c r="G12" s="3">
        <f>(($F$14-$F$11)/3) +G11</f>
        <v>347.5</v>
      </c>
      <c r="H12" s="4">
        <f>G12-G11</f>
        <v>-6.5</v>
      </c>
      <c r="I12" s="4">
        <f>(H12/G11)*100</f>
        <v>-1.8361581920903955</v>
      </c>
      <c r="J12">
        <v>3.25</v>
      </c>
      <c r="K12">
        <v>38.082643231867301</v>
      </c>
      <c r="L12" s="4">
        <v>36.876145666666702</v>
      </c>
      <c r="M12" s="4">
        <v>39.334294888888898</v>
      </c>
      <c r="N12" s="4">
        <f t="shared" si="3"/>
        <v>2.4581492222221968</v>
      </c>
      <c r="O12">
        <v>6.7443625000476501</v>
      </c>
      <c r="P12" s="4">
        <v>25.1251896806227</v>
      </c>
      <c r="Q12" s="4">
        <v>17.836691358024702</v>
      </c>
      <c r="R12" s="4">
        <v>34.762370370370398</v>
      </c>
      <c r="S12" s="4">
        <v>16.9256790123457</v>
      </c>
      <c r="T12" s="4">
        <v>54.6</v>
      </c>
      <c r="U12" s="4"/>
      <c r="W12" s="4"/>
      <c r="AA12" s="4">
        <v>0.27728888888888892</v>
      </c>
    </row>
    <row r="13" spans="1:28" x14ac:dyDescent="0.25">
      <c r="A13" t="s">
        <v>22</v>
      </c>
      <c r="B13" t="s">
        <v>24</v>
      </c>
      <c r="C13" s="1">
        <v>42583</v>
      </c>
      <c r="D13" s="6">
        <v>41151</v>
      </c>
      <c r="E13" s="4">
        <f t="shared" si="0"/>
        <v>47</v>
      </c>
      <c r="G13" s="3">
        <f>(($F$14-$F$11)/3) +G12</f>
        <v>341</v>
      </c>
      <c r="H13" s="4">
        <f>G13-G12</f>
        <v>-6.5</v>
      </c>
      <c r="I13" s="4">
        <f>(H13/G12)*100</f>
        <v>-1.8705035971223021</v>
      </c>
      <c r="J13">
        <v>2.875</v>
      </c>
      <c r="K13">
        <v>37.434034970787998</v>
      </c>
      <c r="L13" s="4">
        <v>35.540610956521697</v>
      </c>
      <c r="M13" s="4">
        <v>39.318059260869603</v>
      </c>
      <c r="N13" s="4">
        <f t="shared" si="3"/>
        <v>3.7774483043479066</v>
      </c>
      <c r="O13">
        <v>9.1984238191343</v>
      </c>
      <c r="P13" s="4">
        <v>19.149532608695701</v>
      </c>
      <c r="Q13" s="4">
        <v>11.016782608695699</v>
      </c>
      <c r="R13" s="4">
        <v>29.297847826087001</v>
      </c>
      <c r="S13" s="4">
        <v>18.281065217391301</v>
      </c>
      <c r="T13" s="4">
        <v>0</v>
      </c>
      <c r="U13" s="4"/>
      <c r="W13" s="4">
        <v>3.98</v>
      </c>
      <c r="X13" s="4">
        <v>1.4</v>
      </c>
      <c r="Y13" s="4">
        <v>1.1932499999999999</v>
      </c>
      <c r="Z13" s="4">
        <v>0.44338</v>
      </c>
      <c r="AA13" s="4">
        <v>0.23230000000000003</v>
      </c>
    </row>
    <row r="14" spans="1:28" x14ac:dyDescent="0.25">
      <c r="A14" t="s">
        <v>22</v>
      </c>
      <c r="B14" t="s">
        <v>24</v>
      </c>
      <c r="C14" s="1">
        <v>42646</v>
      </c>
      <c r="D14" s="6">
        <v>41151</v>
      </c>
      <c r="E14" s="4">
        <f t="shared" si="0"/>
        <v>49</v>
      </c>
      <c r="F14" s="4">
        <f>404.5-70</f>
        <v>334.5</v>
      </c>
      <c r="G14" s="3">
        <f>404.5-70</f>
        <v>334.5</v>
      </c>
      <c r="H14" s="4">
        <f>G14-G13</f>
        <v>-6.5</v>
      </c>
      <c r="I14" s="4">
        <f>(H14/G13)*100</f>
        <v>-1.9061583577712611</v>
      </c>
      <c r="J14">
        <v>2.625</v>
      </c>
      <c r="K14">
        <v>37.547229817602002</v>
      </c>
      <c r="L14" s="4">
        <v>35.602743163265302</v>
      </c>
      <c r="M14" s="4">
        <v>39.2650299591837</v>
      </c>
      <c r="N14" s="4">
        <f t="shared" si="3"/>
        <v>3.6622867959183978</v>
      </c>
      <c r="O14">
        <v>7.0728330281472198</v>
      </c>
      <c r="P14" s="4">
        <v>22.938100340136099</v>
      </c>
      <c r="Q14" s="4">
        <v>13.9858571428571</v>
      </c>
      <c r="R14" s="4">
        <v>33.606489795918399</v>
      </c>
      <c r="S14" s="4">
        <v>19.6206326530612</v>
      </c>
      <c r="T14" s="4">
        <v>2.4</v>
      </c>
      <c r="U14" s="4">
        <v>16.78</v>
      </c>
      <c r="V14" s="4">
        <v>7.34</v>
      </c>
      <c r="W14" s="4">
        <v>2.81</v>
      </c>
      <c r="X14" s="4">
        <v>0.89</v>
      </c>
      <c r="Y14" s="4">
        <v>0.81944000000000006</v>
      </c>
      <c r="Z14" s="4">
        <v>0.28558999999999996</v>
      </c>
      <c r="AA14" s="4">
        <v>0.17127499999999996</v>
      </c>
    </row>
    <row r="15" spans="1:28" x14ac:dyDescent="0.25">
      <c r="A15" t="s">
        <v>22</v>
      </c>
      <c r="B15" t="s">
        <v>24</v>
      </c>
      <c r="C15" s="1">
        <v>42710</v>
      </c>
      <c r="D15" s="6">
        <v>41151</v>
      </c>
      <c r="E15" s="4">
        <f t="shared" si="0"/>
        <v>51</v>
      </c>
      <c r="F15" s="4">
        <f>442-70</f>
        <v>372</v>
      </c>
      <c r="G15" s="3">
        <f>442-70</f>
        <v>372</v>
      </c>
      <c r="H15" s="4">
        <f>G15-G14</f>
        <v>37.5</v>
      </c>
      <c r="I15" s="4">
        <f>(H15/G14)*100</f>
        <v>11.210762331838566</v>
      </c>
      <c r="J15">
        <v>2.875</v>
      </c>
      <c r="K15">
        <v>37.662842452083297</v>
      </c>
      <c r="L15" s="4">
        <v>35.946609000000002</v>
      </c>
      <c r="M15" s="4">
        <v>39.140511799999999</v>
      </c>
      <c r="N15" s="4">
        <f t="shared" si="3"/>
        <v>3.1939027999999965</v>
      </c>
      <c r="O15">
        <v>9.3123869337007505</v>
      </c>
      <c r="P15" s="4">
        <v>26.7561111111111</v>
      </c>
      <c r="Q15" s="4">
        <v>19.863333333333301</v>
      </c>
      <c r="R15" s="4">
        <v>35.377977777777801</v>
      </c>
      <c r="S15" s="4">
        <v>15.5146444444444</v>
      </c>
      <c r="T15" s="4">
        <v>31.2</v>
      </c>
      <c r="U15" s="4">
        <v>23.34</v>
      </c>
      <c r="V15" s="4">
        <v>3.06</v>
      </c>
      <c r="W15" s="4">
        <v>2.93</v>
      </c>
      <c r="X15" s="4">
        <v>0.73</v>
      </c>
      <c r="Y15" s="4">
        <v>0.83996000000000004</v>
      </c>
      <c r="Z15" s="4">
        <v>0.25044</v>
      </c>
      <c r="AA15" s="4">
        <v>0.18026</v>
      </c>
    </row>
    <row r="16" spans="1:28" x14ac:dyDescent="0.25">
      <c r="A16" t="s">
        <v>22</v>
      </c>
      <c r="B16" t="s">
        <v>24</v>
      </c>
      <c r="C16" s="1">
        <v>42795</v>
      </c>
      <c r="D16" s="6">
        <v>41151</v>
      </c>
      <c r="E16" s="4">
        <f t="shared" si="0"/>
        <v>54</v>
      </c>
      <c r="F16" s="4">
        <f>466-70.5</f>
        <v>395.5</v>
      </c>
      <c r="G16" s="3">
        <f>466-70.5</f>
        <v>395.5</v>
      </c>
      <c r="H16" s="4">
        <f>G16-G15</f>
        <v>23.5</v>
      </c>
      <c r="I16" s="4">
        <f>(H16/G15)*100</f>
        <v>6.317204301075269</v>
      </c>
      <c r="J16" s="4">
        <v>3.75</v>
      </c>
      <c r="K16">
        <v>38.3281747018072</v>
      </c>
      <c r="L16" s="4">
        <v>37.159673759036103</v>
      </c>
      <c r="M16" s="4">
        <v>39.477514240963899</v>
      </c>
      <c r="N16" s="4">
        <f t="shared" si="3"/>
        <v>2.3178404819277958</v>
      </c>
      <c r="O16" s="4">
        <v>9.5401328511938299</v>
      </c>
      <c r="P16" s="4">
        <v>26.7615687751004</v>
      </c>
      <c r="Q16" s="4">
        <v>20.769421686746998</v>
      </c>
      <c r="R16" s="4">
        <v>34.686626506024098</v>
      </c>
      <c r="S16" s="4">
        <v>13.917204819277099</v>
      </c>
      <c r="T16" s="4">
        <v>369.8</v>
      </c>
      <c r="U16" s="4">
        <v>72.099999999999994</v>
      </c>
      <c r="V16" s="4">
        <v>9.4</v>
      </c>
      <c r="W16" s="4">
        <v>12.22</v>
      </c>
      <c r="X16" s="4">
        <v>2.96</v>
      </c>
      <c r="Y16" s="4">
        <v>3.26105</v>
      </c>
      <c r="Z16" s="4">
        <v>0.63415999999999995</v>
      </c>
      <c r="AA16" s="4">
        <v>0.53029999999999999</v>
      </c>
    </row>
    <row r="17" spans="1:27" x14ac:dyDescent="0.25">
      <c r="A17" t="s">
        <v>22</v>
      </c>
      <c r="B17" t="s">
        <v>24</v>
      </c>
      <c r="C17" s="1">
        <v>42887</v>
      </c>
      <c r="D17" s="6">
        <v>41151</v>
      </c>
      <c r="E17" s="4">
        <f t="shared" si="0"/>
        <v>57</v>
      </c>
      <c r="F17" s="4"/>
      <c r="H17" s="4"/>
      <c r="J17">
        <v>4.5</v>
      </c>
      <c r="K17">
        <v>38.062293802442497</v>
      </c>
      <c r="L17" s="4">
        <v>36.793803965517199</v>
      </c>
      <c r="M17" s="4">
        <v>39.409289517241398</v>
      </c>
      <c r="N17" s="4">
        <f t="shared" si="3"/>
        <v>2.6154855517241984</v>
      </c>
      <c r="O17" s="3">
        <v>16.950362294633798</v>
      </c>
      <c r="P17" s="4">
        <v>23.338535919540199</v>
      </c>
      <c r="Q17" s="4">
        <v>16.067333333333298</v>
      </c>
      <c r="R17" s="4">
        <v>33.816597701149398</v>
      </c>
      <c r="S17" s="4">
        <v>17.7492643678161</v>
      </c>
      <c r="T17" s="4">
        <v>131.6</v>
      </c>
      <c r="U17" s="4">
        <v>52.4</v>
      </c>
      <c r="V17" s="4">
        <v>9.1300000000000008</v>
      </c>
      <c r="W17" s="4">
        <v>9.33</v>
      </c>
      <c r="X17" s="4">
        <v>1.1299999999999999</v>
      </c>
      <c r="Y17" s="4">
        <v>2.6351900000000001</v>
      </c>
      <c r="Z17" s="4">
        <v>0.31968000000000002</v>
      </c>
      <c r="AA17" s="4">
        <v>0.68862500000000004</v>
      </c>
    </row>
    <row r="18" spans="1:27" x14ac:dyDescent="0.25">
      <c r="A18" t="s">
        <v>22</v>
      </c>
      <c r="B18" t="s">
        <v>24</v>
      </c>
      <c r="C18" s="1">
        <v>42948</v>
      </c>
      <c r="D18" s="6">
        <v>41151</v>
      </c>
      <c r="E18" s="4">
        <f t="shared" si="0"/>
        <v>59</v>
      </c>
      <c r="F18" s="4"/>
      <c r="H18" s="4"/>
      <c r="J18">
        <v>3.625</v>
      </c>
      <c r="K18">
        <v>37.5386189392689</v>
      </c>
      <c r="L18" s="4">
        <v>35.9537361698113</v>
      </c>
      <c r="M18" s="4">
        <v>39.137568698113199</v>
      </c>
      <c r="N18" s="4">
        <f t="shared" si="3"/>
        <v>3.1838325283018989</v>
      </c>
      <c r="O18" s="3">
        <v>14.0221598339946</v>
      </c>
      <c r="P18" s="4">
        <v>19.578744018321</v>
      </c>
      <c r="Q18" s="4">
        <v>10.532999999999999</v>
      </c>
      <c r="R18" s="4">
        <v>31.658509433962301</v>
      </c>
      <c r="S18" s="4">
        <v>21.1255094339623</v>
      </c>
      <c r="T18" s="4">
        <v>1.4</v>
      </c>
      <c r="U18" s="4"/>
      <c r="W18" s="4"/>
      <c r="AA18" s="4">
        <v>0.40872857142857139</v>
      </c>
    </row>
    <row r="19" spans="1:27" s="4" customFormat="1" x14ac:dyDescent="0.25">
      <c r="A19" s="4" t="s">
        <v>22</v>
      </c>
      <c r="B19" s="4" t="s">
        <v>24</v>
      </c>
      <c r="C19" s="1">
        <v>43025</v>
      </c>
      <c r="D19" s="6">
        <v>41151</v>
      </c>
      <c r="E19" s="4">
        <f t="shared" si="0"/>
        <v>61</v>
      </c>
      <c r="G19" s="3"/>
      <c r="K19" s="4">
        <v>37.495992334459501</v>
      </c>
      <c r="L19" s="4">
        <v>35.737771027027001</v>
      </c>
      <c r="M19" s="4">
        <v>39.075275081081102</v>
      </c>
      <c r="N19" s="4">
        <f t="shared" si="3"/>
        <v>3.3375040540541008</v>
      </c>
      <c r="O19" s="3"/>
      <c r="P19" s="4">
        <v>21.9875692567568</v>
      </c>
      <c r="Q19" s="4">
        <v>13.3952432432432</v>
      </c>
      <c r="R19" s="4">
        <v>32.264445945945901</v>
      </c>
      <c r="S19" s="4">
        <v>18.869202702702701</v>
      </c>
      <c r="T19" s="4">
        <v>46.4</v>
      </c>
      <c r="AA19" s="4">
        <v>0.29736666666666661</v>
      </c>
    </row>
    <row r="20" spans="1:27" x14ac:dyDescent="0.25">
      <c r="A20" t="s">
        <v>20</v>
      </c>
      <c r="B20" t="s">
        <v>23</v>
      </c>
      <c r="C20" s="1">
        <v>42431</v>
      </c>
      <c r="D20" s="6">
        <v>41151</v>
      </c>
      <c r="E20" s="4">
        <f t="shared" si="0"/>
        <v>42</v>
      </c>
      <c r="F20" s="4">
        <v>366</v>
      </c>
      <c r="G20" s="3">
        <v>366</v>
      </c>
      <c r="H20" s="4"/>
      <c r="J20">
        <v>3</v>
      </c>
      <c r="O20">
        <v>7.4364391357503701</v>
      </c>
      <c r="P20" s="4"/>
      <c r="Q20" s="4"/>
      <c r="R20" s="4"/>
      <c r="S20" s="4"/>
      <c r="T20" s="4"/>
      <c r="U20" s="4">
        <v>29.56</v>
      </c>
      <c r="V20" s="4">
        <v>8.93</v>
      </c>
      <c r="W20" s="4">
        <v>3.94</v>
      </c>
      <c r="X20" s="4">
        <v>1.58</v>
      </c>
      <c r="Y20" s="4">
        <v>1.1567000000000001</v>
      </c>
      <c r="Z20" s="4">
        <v>0.49786999999999998</v>
      </c>
      <c r="AA20" s="4">
        <v>0.24459999999999998</v>
      </c>
    </row>
    <row r="21" spans="1:27" x14ac:dyDescent="0.25">
      <c r="A21" t="s">
        <v>20</v>
      </c>
      <c r="B21" t="s">
        <v>23</v>
      </c>
      <c r="C21" s="1">
        <v>42520</v>
      </c>
      <c r="D21" s="6">
        <v>41151</v>
      </c>
      <c r="E21" s="4">
        <f t="shared" si="0"/>
        <v>45</v>
      </c>
      <c r="F21" s="2"/>
      <c r="G21" s="3">
        <f>AVERAGE(F20:F22)</f>
        <v>365.5</v>
      </c>
      <c r="H21" s="4">
        <f t="shared" ref="H21:H27" si="4">G21-G20</f>
        <v>-0.5</v>
      </c>
      <c r="I21" s="4">
        <f t="shared" ref="I21:I27" si="5">(H21/G20)*100</f>
        <v>-0.13661202185792351</v>
      </c>
      <c r="J21" s="2"/>
      <c r="K21" s="4">
        <v>38.2946800944787</v>
      </c>
      <c r="L21" s="4">
        <v>37.278628691358001</v>
      </c>
      <c r="M21" s="4">
        <v>39.419467728395098</v>
      </c>
      <c r="N21" s="4">
        <f t="shared" si="3"/>
        <v>2.1408390370370967</v>
      </c>
      <c r="O21" s="2"/>
      <c r="P21" s="4">
        <v>25.1251896806227</v>
      </c>
      <c r="Q21" s="4">
        <v>17.836691358024702</v>
      </c>
      <c r="R21" s="4">
        <v>34.762370370370398</v>
      </c>
      <c r="S21" s="4">
        <v>16.9256790123457</v>
      </c>
      <c r="T21" s="4">
        <v>54.6</v>
      </c>
      <c r="U21" s="4"/>
      <c r="W21" s="4"/>
      <c r="AA21" s="4">
        <v>0.27728888888888892</v>
      </c>
    </row>
    <row r="22" spans="1:27" x14ac:dyDescent="0.25">
      <c r="A22" t="s">
        <v>20</v>
      </c>
      <c r="B22" t="s">
        <v>23</v>
      </c>
      <c r="C22" s="1">
        <v>42583</v>
      </c>
      <c r="D22" s="6">
        <v>41151</v>
      </c>
      <c r="E22" s="4">
        <f t="shared" si="0"/>
        <v>47</v>
      </c>
      <c r="F22" s="4">
        <f>441-76</f>
        <v>365</v>
      </c>
      <c r="G22" s="3">
        <f>441-76</f>
        <v>365</v>
      </c>
      <c r="H22" s="4">
        <f t="shared" si="4"/>
        <v>-0.5</v>
      </c>
      <c r="I22" s="4">
        <f t="shared" si="5"/>
        <v>-0.13679890560875513</v>
      </c>
      <c r="J22">
        <v>2.875</v>
      </c>
      <c r="K22" s="4">
        <v>37.780355811896101</v>
      </c>
      <c r="L22" s="4">
        <v>36.1913731086957</v>
      </c>
      <c r="M22" s="4">
        <v>39.410407108695701</v>
      </c>
      <c r="N22" s="4">
        <f t="shared" si="3"/>
        <v>3.2190340000000006</v>
      </c>
      <c r="O22">
        <v>7.2934241961274102</v>
      </c>
      <c r="P22" s="4">
        <v>19.149532608695701</v>
      </c>
      <c r="Q22" s="4">
        <v>11.016782608695699</v>
      </c>
      <c r="R22" s="4">
        <v>29.297847826087001</v>
      </c>
      <c r="S22" s="4">
        <v>18.281065217391301</v>
      </c>
      <c r="T22" s="4">
        <v>0</v>
      </c>
      <c r="U22" s="4"/>
      <c r="W22" s="4">
        <v>3.98</v>
      </c>
      <c r="X22" s="4">
        <v>1.4</v>
      </c>
      <c r="Y22" s="4">
        <v>1.1932499999999999</v>
      </c>
      <c r="Z22" s="4">
        <v>0.44338</v>
      </c>
      <c r="AA22" s="4">
        <v>0.23230000000000003</v>
      </c>
    </row>
    <row r="23" spans="1:27" x14ac:dyDescent="0.25">
      <c r="A23" t="s">
        <v>20</v>
      </c>
      <c r="B23" t="s">
        <v>23</v>
      </c>
      <c r="C23" s="1">
        <v>42646</v>
      </c>
      <c r="D23" s="6">
        <v>41151</v>
      </c>
      <c r="E23" s="4">
        <f t="shared" si="0"/>
        <v>49</v>
      </c>
      <c r="F23" s="4">
        <f>403-70</f>
        <v>333</v>
      </c>
      <c r="G23" s="3">
        <f>403-70</f>
        <v>333</v>
      </c>
      <c r="H23" s="4">
        <f t="shared" si="4"/>
        <v>-32</v>
      </c>
      <c r="I23" s="4">
        <f t="shared" si="5"/>
        <v>-8.7671232876712324</v>
      </c>
      <c r="J23">
        <v>1.75</v>
      </c>
      <c r="K23" s="4">
        <v>38.034408282738099</v>
      </c>
      <c r="L23" s="4">
        <v>36.394368979591803</v>
      </c>
      <c r="M23" s="4">
        <v>39.571782816326497</v>
      </c>
      <c r="N23" s="4">
        <f t="shared" si="3"/>
        <v>3.1774138367346936</v>
      </c>
      <c r="O23">
        <v>7.4454763706254701</v>
      </c>
      <c r="P23" s="4">
        <v>22.938100340136099</v>
      </c>
      <c r="Q23" s="4">
        <v>13.9858571428571</v>
      </c>
      <c r="R23" s="4">
        <v>33.606489795918399</v>
      </c>
      <c r="S23" s="4">
        <v>19.6206326530612</v>
      </c>
      <c r="T23" s="4">
        <v>2.4</v>
      </c>
      <c r="U23" s="4">
        <v>16.78</v>
      </c>
      <c r="V23" s="4">
        <v>7.34</v>
      </c>
      <c r="W23" s="4">
        <v>2.81</v>
      </c>
      <c r="X23" s="4">
        <v>0.89</v>
      </c>
      <c r="Y23" s="4">
        <v>0.81944000000000006</v>
      </c>
      <c r="Z23" s="4">
        <v>0.28558999999999996</v>
      </c>
      <c r="AA23" s="4">
        <v>0.17127499999999996</v>
      </c>
    </row>
    <row r="24" spans="1:27" x14ac:dyDescent="0.25">
      <c r="A24" t="s">
        <v>20</v>
      </c>
      <c r="B24" t="s">
        <v>23</v>
      </c>
      <c r="C24" s="1">
        <v>42710</v>
      </c>
      <c r="D24" s="6">
        <v>41151</v>
      </c>
      <c r="E24" s="4">
        <f t="shared" si="0"/>
        <v>51</v>
      </c>
      <c r="F24" s="4">
        <f>406-70</f>
        <v>336</v>
      </c>
      <c r="G24" s="3">
        <f>406-70</f>
        <v>336</v>
      </c>
      <c r="H24" s="4">
        <f t="shared" si="4"/>
        <v>3</v>
      </c>
      <c r="I24" s="4">
        <f t="shared" si="5"/>
        <v>0.90090090090090091</v>
      </c>
      <c r="J24">
        <v>3.125</v>
      </c>
      <c r="K24" s="4">
        <v>38.030735553317903</v>
      </c>
      <c r="L24" s="4">
        <v>36.456776555555599</v>
      </c>
      <c r="M24" s="4">
        <v>39.499641199999999</v>
      </c>
      <c r="N24" s="4">
        <f t="shared" si="3"/>
        <v>3.0428646444443999</v>
      </c>
      <c r="O24">
        <v>14.749149381707401</v>
      </c>
      <c r="P24" s="4">
        <v>26.7561111111111</v>
      </c>
      <c r="Q24" s="4">
        <v>19.863333333333301</v>
      </c>
      <c r="R24" s="4">
        <v>35.377977777777801</v>
      </c>
      <c r="S24" s="4">
        <v>15.5146444444444</v>
      </c>
      <c r="T24" s="4">
        <v>31.2</v>
      </c>
      <c r="U24" s="4">
        <v>23.34</v>
      </c>
      <c r="V24" s="4">
        <v>3.06</v>
      </c>
      <c r="W24" s="4">
        <v>2.93</v>
      </c>
      <c r="X24" s="4">
        <v>0.73</v>
      </c>
      <c r="Y24" s="4">
        <v>0.83996000000000004</v>
      </c>
      <c r="Z24" s="4">
        <v>0.25044</v>
      </c>
      <c r="AA24" s="4">
        <v>0.18026</v>
      </c>
    </row>
    <row r="25" spans="1:27" x14ac:dyDescent="0.25">
      <c r="A25" t="s">
        <v>20</v>
      </c>
      <c r="B25" t="s">
        <v>23</v>
      </c>
      <c r="C25" s="1">
        <v>42795</v>
      </c>
      <c r="D25" s="6">
        <v>41151</v>
      </c>
      <c r="E25" s="4">
        <f t="shared" si="0"/>
        <v>54</v>
      </c>
      <c r="F25" s="2"/>
      <c r="G25" s="3">
        <f>AVERAGE(F24,F26)</f>
        <v>400</v>
      </c>
      <c r="H25" s="4">
        <f t="shared" si="4"/>
        <v>64</v>
      </c>
      <c r="I25" s="4">
        <f t="shared" si="5"/>
        <v>19.047619047619047</v>
      </c>
      <c r="J25">
        <v>3.875</v>
      </c>
      <c r="K25" s="4">
        <v>38.609531221427403</v>
      </c>
      <c r="L25" s="4">
        <v>37.576989253012101</v>
      </c>
      <c r="M25" s="4">
        <v>39.570246518072302</v>
      </c>
      <c r="N25" s="4">
        <f t="shared" si="3"/>
        <v>1.9932572650602012</v>
      </c>
      <c r="O25">
        <v>9.7332237180374097</v>
      </c>
      <c r="P25" s="4">
        <v>26.7615687751004</v>
      </c>
      <c r="Q25" s="4">
        <v>20.769421686746998</v>
      </c>
      <c r="R25" s="4">
        <v>34.686626506024098</v>
      </c>
      <c r="S25" s="4">
        <v>13.917204819277099</v>
      </c>
      <c r="T25" s="4">
        <v>369.8</v>
      </c>
      <c r="U25" s="4">
        <v>72.099999999999994</v>
      </c>
      <c r="V25" s="4">
        <v>9.4</v>
      </c>
      <c r="W25" s="4">
        <v>12.22</v>
      </c>
      <c r="X25" s="4">
        <v>2.96</v>
      </c>
      <c r="Y25" s="4">
        <v>3.26105</v>
      </c>
      <c r="Z25" s="4">
        <v>0.63415999999999995</v>
      </c>
      <c r="AA25" s="4">
        <v>0.53029999999999999</v>
      </c>
    </row>
    <row r="26" spans="1:27" x14ac:dyDescent="0.25">
      <c r="A26" t="s">
        <v>20</v>
      </c>
      <c r="B26" t="s">
        <v>23</v>
      </c>
      <c r="C26" s="1">
        <v>42887</v>
      </c>
      <c r="D26" s="6">
        <v>41151</v>
      </c>
      <c r="E26" s="4">
        <f t="shared" si="0"/>
        <v>57</v>
      </c>
      <c r="F26">
        <v>464</v>
      </c>
      <c r="G26" s="3">
        <v>464</v>
      </c>
      <c r="H26" s="4">
        <f t="shared" si="4"/>
        <v>64</v>
      </c>
      <c r="I26" s="4">
        <f t="shared" si="5"/>
        <v>16</v>
      </c>
      <c r="J26">
        <v>4</v>
      </c>
      <c r="K26" s="4">
        <v>38.395477577226998</v>
      </c>
      <c r="L26" s="4">
        <v>37.311539206896597</v>
      </c>
      <c r="M26" s="4">
        <v>39.388387229885097</v>
      </c>
      <c r="N26" s="4">
        <f t="shared" si="3"/>
        <v>2.0768480229885</v>
      </c>
      <c r="O26" s="3">
        <v>14.2403145712903</v>
      </c>
      <c r="P26" s="4">
        <v>23.338535919540199</v>
      </c>
      <c r="Q26" s="4">
        <v>16.067333333333298</v>
      </c>
      <c r="R26" s="4">
        <v>33.816597701149398</v>
      </c>
      <c r="S26" s="4">
        <v>17.7492643678161</v>
      </c>
      <c r="T26" s="4">
        <v>131.6</v>
      </c>
      <c r="U26" s="4">
        <v>52.4</v>
      </c>
      <c r="V26" s="4">
        <v>9.1300000000000008</v>
      </c>
      <c r="W26" s="4">
        <v>9.33</v>
      </c>
      <c r="X26" s="4">
        <v>1.1299999999999999</v>
      </c>
      <c r="Y26" s="4">
        <v>2.6351900000000001</v>
      </c>
      <c r="Z26" s="4">
        <v>0.31968000000000002</v>
      </c>
      <c r="AA26" s="4">
        <v>0.68862500000000004</v>
      </c>
    </row>
    <row r="27" spans="1:27" x14ac:dyDescent="0.25">
      <c r="A27" t="s">
        <v>20</v>
      </c>
      <c r="B27" t="s">
        <v>23</v>
      </c>
      <c r="C27" s="1">
        <v>42948</v>
      </c>
      <c r="D27" s="6">
        <v>41151</v>
      </c>
      <c r="E27" s="4">
        <f t="shared" si="0"/>
        <v>59</v>
      </c>
      <c r="F27">
        <v>482</v>
      </c>
      <c r="G27" s="3">
        <v>482</v>
      </c>
      <c r="H27" s="4">
        <f t="shared" si="4"/>
        <v>18</v>
      </c>
      <c r="I27" s="4">
        <f t="shared" si="5"/>
        <v>3.8793103448275863</v>
      </c>
      <c r="J27">
        <v>3.875</v>
      </c>
      <c r="K27" s="4">
        <v>38.216251830254201</v>
      </c>
      <c r="L27" s="4">
        <v>37.000617547169803</v>
      </c>
      <c r="M27" s="4">
        <v>39.315771849056603</v>
      </c>
      <c r="N27" s="4">
        <f t="shared" si="3"/>
        <v>2.3151543018867997</v>
      </c>
      <c r="O27" s="3">
        <v>15.3443074010278</v>
      </c>
      <c r="P27" s="4">
        <v>19.578744018321</v>
      </c>
      <c r="Q27" s="4">
        <v>10.532999999999999</v>
      </c>
      <c r="R27" s="4">
        <v>31.658509433962301</v>
      </c>
      <c r="S27" s="4">
        <v>21.1255094339623</v>
      </c>
      <c r="T27" s="4">
        <v>1.4</v>
      </c>
      <c r="U27" s="4"/>
      <c r="W27" s="4"/>
      <c r="AA27" s="4">
        <v>0.40872857142857139</v>
      </c>
    </row>
    <row r="28" spans="1:27" s="4" customFormat="1" x14ac:dyDescent="0.25">
      <c r="A28" s="4" t="s">
        <v>20</v>
      </c>
      <c r="B28" s="4" t="s">
        <v>23</v>
      </c>
      <c r="C28" s="1">
        <v>43025</v>
      </c>
      <c r="D28" s="6">
        <v>41151</v>
      </c>
      <c r="E28" s="4">
        <f t="shared" si="0"/>
        <v>61</v>
      </c>
      <c r="G28" s="3"/>
      <c r="K28" s="4">
        <v>38.365306208474102</v>
      </c>
      <c r="L28" s="4">
        <v>37.091796202702703</v>
      </c>
      <c r="M28" s="4">
        <v>39.559163878378399</v>
      </c>
      <c r="N28" s="4">
        <f t="shared" si="3"/>
        <v>2.4673676756756961</v>
      </c>
      <c r="O28" s="3"/>
      <c r="P28" s="4">
        <v>21.9875692567568</v>
      </c>
      <c r="Q28" s="4">
        <v>13.3952432432432</v>
      </c>
      <c r="R28" s="4">
        <v>32.264445945945901</v>
      </c>
      <c r="S28" s="4">
        <v>18.869202702702701</v>
      </c>
      <c r="T28" s="4">
        <v>46.4</v>
      </c>
      <c r="AA28" s="4">
        <v>0.29736666666666661</v>
      </c>
    </row>
    <row r="29" spans="1:27" x14ac:dyDescent="0.25">
      <c r="A29" t="s">
        <v>21</v>
      </c>
      <c r="B29" t="s">
        <v>23</v>
      </c>
      <c r="C29" s="1">
        <v>42431</v>
      </c>
      <c r="D29" s="6">
        <v>41334</v>
      </c>
      <c r="E29" s="4">
        <f t="shared" si="0"/>
        <v>36</v>
      </c>
      <c r="F29">
        <v>366</v>
      </c>
      <c r="G29" s="3">
        <v>366</v>
      </c>
      <c r="H29" s="4"/>
      <c r="J29">
        <v>3.5</v>
      </c>
      <c r="O29">
        <v>6.8315822094448002</v>
      </c>
      <c r="P29" s="4"/>
      <c r="Q29" s="4"/>
      <c r="R29" s="4"/>
      <c r="S29" s="4"/>
      <c r="T29" s="4"/>
      <c r="U29" s="4">
        <v>29.56</v>
      </c>
      <c r="V29" s="4">
        <v>8.93</v>
      </c>
      <c r="W29" s="4">
        <v>3.94</v>
      </c>
      <c r="X29" s="4">
        <v>1.58</v>
      </c>
      <c r="Y29" s="4">
        <v>1.1567000000000001</v>
      </c>
      <c r="Z29" s="4">
        <v>0.49786999999999998</v>
      </c>
      <c r="AA29" s="4">
        <v>0.24459999999999998</v>
      </c>
    </row>
    <row r="30" spans="1:27" x14ac:dyDescent="0.25">
      <c r="A30" t="s">
        <v>21</v>
      </c>
      <c r="B30" t="s">
        <v>23</v>
      </c>
      <c r="C30" s="1">
        <v>42520</v>
      </c>
      <c r="D30" s="6">
        <v>41334</v>
      </c>
      <c r="E30" s="4">
        <f t="shared" si="0"/>
        <v>38</v>
      </c>
      <c r="F30" s="2"/>
      <c r="G30" s="3">
        <f>AVERAGE(F29:F31)</f>
        <v>357.25</v>
      </c>
      <c r="H30" s="4">
        <f t="shared" ref="H30:H36" si="6">G30-G29</f>
        <v>-8.75</v>
      </c>
      <c r="I30" s="4">
        <f t="shared" ref="I30:I36" si="7">(H30/G29)*100</f>
        <v>-2.3907103825136611</v>
      </c>
      <c r="J30">
        <v>3.25</v>
      </c>
      <c r="K30" s="4">
        <v>38.381543759430699</v>
      </c>
      <c r="L30" s="4">
        <v>37.372299703703703</v>
      </c>
      <c r="M30" s="4">
        <v>39.506573925925899</v>
      </c>
      <c r="N30" s="4">
        <f t="shared" si="3"/>
        <v>2.1342742222221958</v>
      </c>
      <c r="O30">
        <v>7.3121654532272604</v>
      </c>
      <c r="P30" s="4">
        <v>25.1251896806227</v>
      </c>
      <c r="Q30" s="4">
        <v>17.836691358024702</v>
      </c>
      <c r="R30" s="4">
        <v>34.762370370370398</v>
      </c>
      <c r="S30" s="4">
        <v>16.9256790123457</v>
      </c>
      <c r="T30" s="4">
        <v>54.6</v>
      </c>
      <c r="U30" s="4"/>
      <c r="W30" s="4"/>
      <c r="AA30" s="4">
        <v>0.27728888888888892</v>
      </c>
    </row>
    <row r="31" spans="1:27" x14ac:dyDescent="0.25">
      <c r="A31" t="s">
        <v>21</v>
      </c>
      <c r="B31" t="s">
        <v>23</v>
      </c>
      <c r="C31" s="1">
        <v>42583</v>
      </c>
      <c r="D31" s="6">
        <v>41334</v>
      </c>
      <c r="E31" s="4">
        <f t="shared" si="0"/>
        <v>41</v>
      </c>
      <c r="F31">
        <f>424.5-76</f>
        <v>348.5</v>
      </c>
      <c r="G31" s="3">
        <f>424.5-76</f>
        <v>348.5</v>
      </c>
      <c r="H31" s="4">
        <f t="shared" si="6"/>
        <v>-8.75</v>
      </c>
      <c r="I31" s="4">
        <f t="shared" si="7"/>
        <v>-2.4492652204338698</v>
      </c>
      <c r="J31">
        <v>3.375</v>
      </c>
      <c r="K31" s="4">
        <v>37.724195424214997</v>
      </c>
      <c r="L31" s="4">
        <v>36.142908956521701</v>
      </c>
      <c r="M31" s="4">
        <v>39.632118521739102</v>
      </c>
      <c r="N31" s="4">
        <f t="shared" si="3"/>
        <v>3.4892095652174007</v>
      </c>
      <c r="O31">
        <v>6.5779715327708503</v>
      </c>
      <c r="P31" s="4">
        <v>19.149532608695701</v>
      </c>
      <c r="Q31" s="4">
        <v>11.016782608695699</v>
      </c>
      <c r="R31" s="4">
        <v>29.297847826087001</v>
      </c>
      <c r="S31" s="4">
        <v>18.281065217391301</v>
      </c>
      <c r="T31" s="4">
        <v>0</v>
      </c>
      <c r="U31" s="4"/>
      <c r="W31" s="4">
        <v>3.98</v>
      </c>
      <c r="X31" s="4">
        <v>1.4</v>
      </c>
      <c r="Y31" s="4">
        <v>1.1932499999999999</v>
      </c>
      <c r="Z31" s="4">
        <v>0.44338</v>
      </c>
      <c r="AA31" s="4">
        <v>0.23230000000000003</v>
      </c>
    </row>
    <row r="32" spans="1:27" x14ac:dyDescent="0.25">
      <c r="A32" t="s">
        <v>21</v>
      </c>
      <c r="B32" t="s">
        <v>23</v>
      </c>
      <c r="C32" s="1">
        <v>42646</v>
      </c>
      <c r="D32" s="6">
        <v>41334</v>
      </c>
      <c r="E32" s="4">
        <f t="shared" si="0"/>
        <v>43</v>
      </c>
      <c r="F32">
        <f>406-70</f>
        <v>336</v>
      </c>
      <c r="G32" s="3">
        <f>406-70</f>
        <v>336</v>
      </c>
      <c r="H32" s="4">
        <f t="shared" si="6"/>
        <v>-12.5</v>
      </c>
      <c r="I32" s="4">
        <f t="shared" si="7"/>
        <v>-3.5868005738880915</v>
      </c>
      <c r="J32">
        <v>2.875</v>
      </c>
      <c r="K32" s="4">
        <v>37.713362186366197</v>
      </c>
      <c r="L32" s="4">
        <v>36.0695368571429</v>
      </c>
      <c r="M32" s="4">
        <v>39.543165714285699</v>
      </c>
      <c r="N32" s="4">
        <f t="shared" si="3"/>
        <v>3.4736288571427991</v>
      </c>
      <c r="O32">
        <v>7.6480033207330802</v>
      </c>
      <c r="P32" s="4">
        <v>22.938100340136099</v>
      </c>
      <c r="Q32" s="4">
        <v>13.9858571428571</v>
      </c>
      <c r="R32" s="4">
        <v>33.606489795918399</v>
      </c>
      <c r="S32" s="4">
        <v>19.6206326530612</v>
      </c>
      <c r="T32" s="4">
        <v>2.4</v>
      </c>
      <c r="U32" s="4">
        <v>16.78</v>
      </c>
      <c r="V32" s="4">
        <v>7.34</v>
      </c>
      <c r="W32" s="4">
        <v>2.81</v>
      </c>
      <c r="X32" s="4">
        <v>0.89</v>
      </c>
      <c r="Y32" s="4">
        <v>0.81944000000000006</v>
      </c>
      <c r="Z32" s="4">
        <v>0.28558999999999996</v>
      </c>
      <c r="AA32" s="4">
        <v>0.17127499999999996</v>
      </c>
    </row>
    <row r="33" spans="1:27" x14ac:dyDescent="0.25">
      <c r="A33" t="s">
        <v>21</v>
      </c>
      <c r="B33" t="s">
        <v>23</v>
      </c>
      <c r="C33" s="1">
        <v>42710</v>
      </c>
      <c r="D33" s="6">
        <v>41334</v>
      </c>
      <c r="E33" s="4">
        <f t="shared" si="0"/>
        <v>45</v>
      </c>
      <c r="F33">
        <f>422-70</f>
        <v>352</v>
      </c>
      <c r="G33" s="3">
        <f>422-70</f>
        <v>352</v>
      </c>
      <c r="H33" s="4">
        <f t="shared" si="6"/>
        <v>16</v>
      </c>
      <c r="I33" s="4">
        <f t="shared" si="7"/>
        <v>4.7619047619047619</v>
      </c>
      <c r="J33">
        <v>3.5</v>
      </c>
      <c r="K33" s="4">
        <v>37.797087116512301</v>
      </c>
      <c r="L33" s="4">
        <v>36.344768444444398</v>
      </c>
      <c r="M33" s="4">
        <v>39.356960044444399</v>
      </c>
      <c r="N33" s="4">
        <f t="shared" si="3"/>
        <v>3.0121916000000013</v>
      </c>
      <c r="O33">
        <v>10.826175167061001</v>
      </c>
      <c r="P33" s="4">
        <v>26.7561111111111</v>
      </c>
      <c r="Q33" s="4">
        <v>19.863333333333301</v>
      </c>
      <c r="R33" s="4">
        <v>35.377977777777801</v>
      </c>
      <c r="S33" s="4">
        <v>15.5146444444444</v>
      </c>
      <c r="T33" s="4">
        <v>31.2</v>
      </c>
      <c r="U33" s="4">
        <v>23.34</v>
      </c>
      <c r="V33" s="4">
        <v>3.06</v>
      </c>
      <c r="W33" s="4">
        <v>2.93</v>
      </c>
      <c r="X33" s="4">
        <v>0.73</v>
      </c>
      <c r="Y33" s="4">
        <v>0.83996000000000004</v>
      </c>
      <c r="Z33" s="4">
        <v>0.25044</v>
      </c>
      <c r="AA33" s="4">
        <v>0.18026</v>
      </c>
    </row>
    <row r="34" spans="1:27" x14ac:dyDescent="0.25">
      <c r="A34" t="s">
        <v>21</v>
      </c>
      <c r="B34" t="s">
        <v>23</v>
      </c>
      <c r="C34" s="1">
        <v>42795</v>
      </c>
      <c r="D34" s="6">
        <v>41334</v>
      </c>
      <c r="E34" s="4">
        <f t="shared" si="0"/>
        <v>48</v>
      </c>
      <c r="F34" s="2">
        <f>484-70.5</f>
        <v>413.5</v>
      </c>
      <c r="G34" s="3">
        <f>484-70.5</f>
        <v>413.5</v>
      </c>
      <c r="H34" s="4">
        <f t="shared" si="6"/>
        <v>61.5</v>
      </c>
      <c r="I34" s="4">
        <f t="shared" si="7"/>
        <v>17.47159090909091</v>
      </c>
      <c r="J34">
        <v>4</v>
      </c>
      <c r="K34" s="4">
        <v>38.557837814340701</v>
      </c>
      <c r="L34" s="4">
        <v>37.6967011084337</v>
      </c>
      <c r="M34" s="4">
        <v>39.496704795180698</v>
      </c>
      <c r="N34" s="4">
        <f t="shared" si="3"/>
        <v>1.8000036867469973</v>
      </c>
      <c r="O34">
        <v>8.8296541570226399</v>
      </c>
      <c r="P34" s="4">
        <v>26.7615687751004</v>
      </c>
      <c r="Q34" s="4">
        <v>20.769421686746998</v>
      </c>
      <c r="R34" s="4">
        <v>34.686626506024098</v>
      </c>
      <c r="S34" s="4">
        <v>13.917204819277099</v>
      </c>
      <c r="T34" s="4">
        <v>369.8</v>
      </c>
      <c r="U34" s="4">
        <v>72.099999999999994</v>
      </c>
      <c r="V34" s="4">
        <v>9.4</v>
      </c>
      <c r="W34" s="4">
        <v>12.22</v>
      </c>
      <c r="X34" s="4">
        <v>2.96</v>
      </c>
      <c r="Y34" s="4">
        <v>3.26105</v>
      </c>
      <c r="Z34" s="4">
        <v>0.63415999999999995</v>
      </c>
      <c r="AA34" s="4">
        <v>0.53029999999999999</v>
      </c>
    </row>
    <row r="35" spans="1:27" x14ac:dyDescent="0.25">
      <c r="A35" t="s">
        <v>21</v>
      </c>
      <c r="B35" t="s">
        <v>23</v>
      </c>
      <c r="C35" s="1">
        <v>42887</v>
      </c>
      <c r="D35" s="6">
        <v>41334</v>
      </c>
      <c r="E35" s="4">
        <f t="shared" si="0"/>
        <v>51</v>
      </c>
      <c r="F35">
        <v>434</v>
      </c>
      <c r="G35" s="3">
        <v>434</v>
      </c>
      <c r="H35" s="4">
        <f t="shared" si="6"/>
        <v>20.5</v>
      </c>
      <c r="I35" s="4">
        <f t="shared" si="7"/>
        <v>4.9576783555018133</v>
      </c>
      <c r="J35">
        <v>4.25</v>
      </c>
      <c r="K35" s="4">
        <v>38.537882261893401</v>
      </c>
      <c r="L35" s="4">
        <v>37.6557438390805</v>
      </c>
      <c r="M35" s="4">
        <v>39.584356091954</v>
      </c>
      <c r="N35" s="4">
        <f t="shared" si="3"/>
        <v>1.9286122528734992</v>
      </c>
      <c r="O35" s="3">
        <v>14.7583142002225</v>
      </c>
      <c r="P35" s="4">
        <v>23.338535919540199</v>
      </c>
      <c r="Q35" s="4">
        <v>16.067333333333298</v>
      </c>
      <c r="R35" s="4">
        <v>33.816597701149398</v>
      </c>
      <c r="S35" s="4">
        <v>17.7492643678161</v>
      </c>
      <c r="T35" s="4">
        <v>131.6</v>
      </c>
      <c r="U35" s="4">
        <v>52.4</v>
      </c>
      <c r="V35" s="4">
        <v>9.1300000000000008</v>
      </c>
      <c r="W35" s="4">
        <v>9.33</v>
      </c>
      <c r="X35" s="4">
        <v>1.1299999999999999</v>
      </c>
      <c r="Y35" s="4">
        <v>2.6351900000000001</v>
      </c>
      <c r="Z35" s="4">
        <v>0.31968000000000002</v>
      </c>
      <c r="AA35" s="4">
        <v>0.68862500000000004</v>
      </c>
    </row>
    <row r="36" spans="1:27" x14ac:dyDescent="0.25">
      <c r="A36" t="s">
        <v>21</v>
      </c>
      <c r="B36" t="s">
        <v>23</v>
      </c>
      <c r="C36" s="1">
        <v>42948</v>
      </c>
      <c r="D36" s="6">
        <v>41334</v>
      </c>
      <c r="E36" s="4">
        <f t="shared" si="0"/>
        <v>53</v>
      </c>
      <c r="F36">
        <v>458</v>
      </c>
      <c r="G36" s="3">
        <v>458</v>
      </c>
      <c r="H36" s="4">
        <f t="shared" si="6"/>
        <v>24</v>
      </c>
      <c r="I36" s="4">
        <f t="shared" si="7"/>
        <v>5.5299539170506913</v>
      </c>
      <c r="J36">
        <v>3.875</v>
      </c>
      <c r="K36" s="4">
        <v>38.246305689334399</v>
      </c>
      <c r="L36" s="4">
        <v>37.063980264150899</v>
      </c>
      <c r="M36" s="4">
        <v>39.4129473962264</v>
      </c>
      <c r="N36" s="4">
        <f t="shared" si="3"/>
        <v>2.3489671320755008</v>
      </c>
      <c r="O36" s="3">
        <v>14.1414606541118</v>
      </c>
      <c r="P36" s="4">
        <v>19.578744018321</v>
      </c>
      <c r="Q36" s="4">
        <v>10.532999999999999</v>
      </c>
      <c r="R36" s="4">
        <v>31.658509433962301</v>
      </c>
      <c r="S36" s="4">
        <v>21.1255094339623</v>
      </c>
      <c r="T36" s="4">
        <v>1.4</v>
      </c>
      <c r="U36" s="4"/>
      <c r="W36" s="4"/>
      <c r="AA36" s="4">
        <v>0.40872857142857139</v>
      </c>
    </row>
    <row r="37" spans="1:27" s="4" customFormat="1" x14ac:dyDescent="0.25">
      <c r="A37" s="4" t="s">
        <v>21</v>
      </c>
      <c r="B37" s="4" t="s">
        <v>23</v>
      </c>
      <c r="C37" s="1">
        <v>43025</v>
      </c>
      <c r="D37" s="6">
        <v>41334</v>
      </c>
      <c r="E37" s="4">
        <f t="shared" si="0"/>
        <v>55</v>
      </c>
      <c r="G37" s="3"/>
      <c r="K37" s="4">
        <v>38.179313640578101</v>
      </c>
      <c r="L37" s="4">
        <v>36.740176702702698</v>
      </c>
      <c r="M37" s="4">
        <v>39.583334648648702</v>
      </c>
      <c r="N37" s="4">
        <f t="shared" si="3"/>
        <v>2.8431579459460039</v>
      </c>
      <c r="O37" s="3"/>
      <c r="P37" s="4">
        <v>21.9875692567568</v>
      </c>
      <c r="Q37" s="4">
        <v>13.3952432432432</v>
      </c>
      <c r="R37" s="4">
        <v>32.264445945945901</v>
      </c>
      <c r="S37" s="4">
        <v>18.869202702702701</v>
      </c>
      <c r="T37" s="4">
        <v>46.4</v>
      </c>
      <c r="AA37" s="4">
        <v>0.29736666666666661</v>
      </c>
    </row>
    <row r="38" spans="1:27" x14ac:dyDescent="0.25">
      <c r="A38" t="s">
        <v>26</v>
      </c>
      <c r="B38" t="s">
        <v>23</v>
      </c>
      <c r="C38" s="1">
        <v>42431</v>
      </c>
      <c r="D38" s="6">
        <v>41334</v>
      </c>
      <c r="E38" s="4">
        <f t="shared" si="0"/>
        <v>36</v>
      </c>
      <c r="F38">
        <v>338</v>
      </c>
      <c r="G38" s="3">
        <v>338</v>
      </c>
      <c r="H38" s="4"/>
      <c r="J38">
        <v>3.25</v>
      </c>
      <c r="O38">
        <v>6.8029507755974903</v>
      </c>
      <c r="P38" s="4"/>
      <c r="Q38" s="4"/>
      <c r="R38" s="4"/>
      <c r="S38" s="4"/>
      <c r="T38" s="4"/>
      <c r="U38" s="4">
        <v>29.56</v>
      </c>
      <c r="V38" s="4">
        <v>8.93</v>
      </c>
      <c r="W38" s="4">
        <v>3.94</v>
      </c>
      <c r="X38" s="4">
        <v>1.58</v>
      </c>
      <c r="Y38" s="4">
        <v>1.1567000000000001</v>
      </c>
      <c r="Z38" s="4">
        <v>0.49786999999999998</v>
      </c>
      <c r="AA38" s="4">
        <v>0.24459999999999998</v>
      </c>
    </row>
    <row r="39" spans="1:27" x14ac:dyDescent="0.25">
      <c r="A39" t="s">
        <v>26</v>
      </c>
      <c r="B39" t="s">
        <v>23</v>
      </c>
      <c r="C39" s="1">
        <v>42520</v>
      </c>
      <c r="D39" s="6">
        <v>41334</v>
      </c>
      <c r="E39" s="4">
        <f t="shared" si="0"/>
        <v>38</v>
      </c>
      <c r="F39" s="2"/>
      <c r="G39" s="3">
        <f>AVERAGE(F38:F40)</f>
        <v>344.75</v>
      </c>
      <c r="H39" s="4">
        <f t="shared" ref="H39:H45" si="8">G39-G38</f>
        <v>6.75</v>
      </c>
      <c r="I39" s="4">
        <f t="shared" ref="I39:I45" si="9">(H39/G38)*100</f>
        <v>1.9970414201183433</v>
      </c>
      <c r="J39">
        <v>3.5</v>
      </c>
      <c r="K39" s="4">
        <v>38.323159986282597</v>
      </c>
      <c r="L39" s="4">
        <v>36.991121086419803</v>
      </c>
      <c r="M39" s="4">
        <v>39.615178567901197</v>
      </c>
      <c r="N39" s="4">
        <f t="shared" si="3"/>
        <v>2.6240574814813939</v>
      </c>
      <c r="O39">
        <v>6.3002324660214102</v>
      </c>
      <c r="P39" s="4">
        <v>25.1251896806227</v>
      </c>
      <c r="Q39" s="4">
        <v>17.836691358024702</v>
      </c>
      <c r="R39" s="4">
        <v>34.762370370370398</v>
      </c>
      <c r="S39" s="4">
        <v>16.9256790123457</v>
      </c>
      <c r="T39" s="4">
        <v>54.6</v>
      </c>
      <c r="U39" s="4"/>
      <c r="W39" s="4"/>
      <c r="AA39" s="4">
        <v>0.27728888888888892</v>
      </c>
    </row>
    <row r="40" spans="1:27" x14ac:dyDescent="0.25">
      <c r="A40" t="s">
        <v>26</v>
      </c>
      <c r="B40" t="s">
        <v>23</v>
      </c>
      <c r="C40" s="1">
        <v>42583</v>
      </c>
      <c r="D40" s="6">
        <v>41334</v>
      </c>
      <c r="E40" s="4">
        <f t="shared" si="0"/>
        <v>41</v>
      </c>
      <c r="F40">
        <f>427.5-76</f>
        <v>351.5</v>
      </c>
      <c r="G40" s="3">
        <f>427.5-76</f>
        <v>351.5</v>
      </c>
      <c r="H40" s="4">
        <f t="shared" si="8"/>
        <v>6.75</v>
      </c>
      <c r="I40" s="4">
        <f t="shared" si="9"/>
        <v>1.9579405366207396</v>
      </c>
      <c r="J40">
        <v>3.625</v>
      </c>
      <c r="K40" s="4">
        <v>37.636358327898499</v>
      </c>
      <c r="L40" s="4">
        <v>35.685483304347798</v>
      </c>
      <c r="M40" s="4">
        <v>39.5492314782609</v>
      </c>
      <c r="N40" s="4">
        <f t="shared" si="3"/>
        <v>3.8637481739131019</v>
      </c>
      <c r="O40">
        <v>6.5817989364319898</v>
      </c>
      <c r="P40" s="4">
        <v>19.149532608695701</v>
      </c>
      <c r="Q40" s="4">
        <v>11.016782608695699</v>
      </c>
      <c r="R40" s="4">
        <v>29.297847826087001</v>
      </c>
      <c r="S40" s="4">
        <v>18.281065217391301</v>
      </c>
      <c r="T40" s="4">
        <v>0</v>
      </c>
      <c r="U40" s="4"/>
      <c r="W40" s="4">
        <v>3.98</v>
      </c>
      <c r="X40" s="4">
        <v>1.4</v>
      </c>
      <c r="Y40" s="4">
        <v>1.1932499999999999</v>
      </c>
      <c r="Z40" s="4">
        <v>0.44338</v>
      </c>
      <c r="AA40" s="4">
        <v>0.23230000000000003</v>
      </c>
    </row>
    <row r="41" spans="1:27" x14ac:dyDescent="0.25">
      <c r="A41" t="s">
        <v>26</v>
      </c>
      <c r="B41" t="s">
        <v>23</v>
      </c>
      <c r="C41" s="1">
        <v>42646</v>
      </c>
      <c r="D41" s="6">
        <v>41334</v>
      </c>
      <c r="E41" s="4">
        <f t="shared" si="0"/>
        <v>43</v>
      </c>
      <c r="F41">
        <f>413.5-70</f>
        <v>343.5</v>
      </c>
      <c r="G41" s="3">
        <f>413.5-70</f>
        <v>343.5</v>
      </c>
      <c r="H41" s="4">
        <f t="shared" si="8"/>
        <v>-8</v>
      </c>
      <c r="I41" s="4">
        <f t="shared" si="9"/>
        <v>-2.275960170697013</v>
      </c>
      <c r="J41">
        <v>3</v>
      </c>
      <c r="K41" s="4">
        <v>37.9165570487528</v>
      </c>
      <c r="L41" s="4">
        <v>35.915980244898002</v>
      </c>
      <c r="M41" s="4">
        <v>39.668584979591799</v>
      </c>
      <c r="N41" s="4">
        <f t="shared" si="3"/>
        <v>3.7526047346937972</v>
      </c>
      <c r="O41">
        <v>6.46536780065159</v>
      </c>
      <c r="P41" s="4">
        <v>22.938100340136099</v>
      </c>
      <c r="Q41" s="4">
        <v>13.9858571428571</v>
      </c>
      <c r="R41" s="4">
        <v>33.606489795918399</v>
      </c>
      <c r="S41" s="4">
        <v>19.6206326530612</v>
      </c>
      <c r="T41" s="4">
        <v>2.4</v>
      </c>
      <c r="U41" s="4">
        <v>16.78</v>
      </c>
      <c r="V41" s="4">
        <v>7.34</v>
      </c>
      <c r="W41" s="4">
        <v>2.81</v>
      </c>
      <c r="X41" s="4">
        <v>0.89</v>
      </c>
      <c r="Y41" s="4">
        <v>0.81944000000000006</v>
      </c>
      <c r="Z41" s="4">
        <v>0.28558999999999996</v>
      </c>
      <c r="AA41" s="4">
        <v>0.17127499999999996</v>
      </c>
    </row>
    <row r="42" spans="1:27" x14ac:dyDescent="0.25">
      <c r="A42" t="s">
        <v>26</v>
      </c>
      <c r="B42" t="s">
        <v>23</v>
      </c>
      <c r="C42" s="1">
        <v>42710</v>
      </c>
      <c r="D42" s="6">
        <v>41334</v>
      </c>
      <c r="E42" s="4">
        <f t="shared" si="0"/>
        <v>45</v>
      </c>
      <c r="F42">
        <f>416-70</f>
        <v>346</v>
      </c>
      <c r="G42" s="3">
        <f>416-70</f>
        <v>346</v>
      </c>
      <c r="H42" s="4">
        <f t="shared" si="8"/>
        <v>2.5</v>
      </c>
      <c r="I42" s="4">
        <f t="shared" si="9"/>
        <v>0.72780203784570596</v>
      </c>
      <c r="J42">
        <v>3.25</v>
      </c>
      <c r="K42" s="4">
        <v>38.018532083950603</v>
      </c>
      <c r="L42" s="4">
        <v>36.165059022222202</v>
      </c>
      <c r="M42" s="4">
        <v>39.5770727111111</v>
      </c>
      <c r="N42" s="4">
        <f t="shared" si="3"/>
        <v>3.4120136888888979</v>
      </c>
      <c r="O42">
        <v>11.9979045266103</v>
      </c>
      <c r="P42" s="4">
        <v>26.7561111111111</v>
      </c>
      <c r="Q42" s="4">
        <v>19.863333333333301</v>
      </c>
      <c r="R42" s="4">
        <v>35.377977777777801</v>
      </c>
      <c r="S42" s="4">
        <v>15.5146444444444</v>
      </c>
      <c r="T42" s="4">
        <v>31.2</v>
      </c>
      <c r="U42" s="4">
        <v>23.34</v>
      </c>
      <c r="V42" s="4">
        <v>3.06</v>
      </c>
      <c r="W42" s="4">
        <v>2.93</v>
      </c>
      <c r="X42" s="4">
        <v>0.73</v>
      </c>
      <c r="Y42" s="4">
        <v>0.83996000000000004</v>
      </c>
      <c r="Z42" s="4">
        <v>0.25044</v>
      </c>
      <c r="AA42" s="4">
        <v>0.18026</v>
      </c>
    </row>
    <row r="43" spans="1:27" x14ac:dyDescent="0.25">
      <c r="A43" t="s">
        <v>26</v>
      </c>
      <c r="B43" t="s">
        <v>23</v>
      </c>
      <c r="C43" s="1">
        <v>42795</v>
      </c>
      <c r="D43" s="6">
        <v>41334</v>
      </c>
      <c r="E43" s="4">
        <f t="shared" si="0"/>
        <v>48</v>
      </c>
      <c r="F43" s="2"/>
      <c r="G43" s="3">
        <f>AVERAGE(F42,F44)</f>
        <v>408</v>
      </c>
      <c r="H43" s="4">
        <f t="shared" si="8"/>
        <v>62</v>
      </c>
      <c r="I43" s="4">
        <f t="shared" si="9"/>
        <v>17.919075144508671</v>
      </c>
      <c r="J43">
        <v>4.25</v>
      </c>
      <c r="K43" s="4">
        <v>38.7399353189424</v>
      </c>
      <c r="L43" s="4">
        <v>37.548175999999998</v>
      </c>
      <c r="M43" s="4">
        <v>39.795179855421701</v>
      </c>
      <c r="N43" s="4">
        <f t="shared" si="3"/>
        <v>2.2470038554217027</v>
      </c>
      <c r="O43">
        <v>9.3123869337007505</v>
      </c>
      <c r="P43" s="4">
        <v>26.7615687751004</v>
      </c>
      <c r="Q43" s="4">
        <v>20.769421686746998</v>
      </c>
      <c r="R43" s="4">
        <v>34.686626506024098</v>
      </c>
      <c r="S43" s="4">
        <v>13.917204819277099</v>
      </c>
      <c r="T43" s="4">
        <v>369.8</v>
      </c>
      <c r="U43" s="4">
        <v>72.099999999999994</v>
      </c>
      <c r="V43" s="4">
        <v>9.4</v>
      </c>
      <c r="W43" s="4">
        <v>12.22</v>
      </c>
      <c r="X43" s="4">
        <v>2.96</v>
      </c>
      <c r="Y43" s="4">
        <v>3.26105</v>
      </c>
      <c r="Z43" s="4">
        <v>0.63415999999999995</v>
      </c>
      <c r="AA43" s="4">
        <v>0.53029999999999999</v>
      </c>
    </row>
    <row r="44" spans="1:27" x14ac:dyDescent="0.25">
      <c r="A44" t="s">
        <v>26</v>
      </c>
      <c r="B44" t="s">
        <v>23</v>
      </c>
      <c r="C44" s="1">
        <v>42887</v>
      </c>
      <c r="D44" s="6">
        <v>41334</v>
      </c>
      <c r="E44" s="4">
        <f t="shared" si="0"/>
        <v>51</v>
      </c>
      <c r="F44">
        <v>470</v>
      </c>
      <c r="G44" s="3">
        <v>470</v>
      </c>
      <c r="H44" s="4">
        <f t="shared" si="8"/>
        <v>62</v>
      </c>
      <c r="I44" s="4">
        <f t="shared" si="9"/>
        <v>15.196078431372548</v>
      </c>
      <c r="J44">
        <v>4.5</v>
      </c>
      <c r="K44" s="4">
        <v>38.4363792222222</v>
      </c>
      <c r="L44" s="4">
        <v>36.975989333333303</v>
      </c>
      <c r="M44" s="4">
        <v>39.666184000000001</v>
      </c>
      <c r="N44" s="4">
        <f t="shared" si="3"/>
        <v>2.6901946666666987</v>
      </c>
      <c r="O44" s="3">
        <v>12.224629094164101</v>
      </c>
      <c r="P44" s="4">
        <v>23.338535919540199</v>
      </c>
      <c r="Q44" s="4">
        <v>16.067333333333298</v>
      </c>
      <c r="R44" s="4">
        <v>33.816597701149398</v>
      </c>
      <c r="S44" s="4">
        <v>17.7492643678161</v>
      </c>
      <c r="T44" s="4">
        <v>131.6</v>
      </c>
      <c r="U44" s="4">
        <v>52.4</v>
      </c>
      <c r="V44" s="4">
        <v>9.1300000000000008</v>
      </c>
      <c r="W44" s="4">
        <v>9.33</v>
      </c>
      <c r="X44" s="4">
        <v>1.1299999999999999</v>
      </c>
      <c r="Y44" s="4">
        <v>2.6351900000000001</v>
      </c>
      <c r="Z44" s="4">
        <v>0.31968000000000002</v>
      </c>
      <c r="AA44" s="4">
        <v>0.68862500000000004</v>
      </c>
    </row>
    <row r="45" spans="1:27" x14ac:dyDescent="0.25">
      <c r="A45" t="s">
        <v>26</v>
      </c>
      <c r="B45" t="s">
        <v>23</v>
      </c>
      <c r="C45" s="1">
        <v>42948</v>
      </c>
      <c r="D45" s="6">
        <v>41334</v>
      </c>
      <c r="E45" s="4">
        <f t="shared" si="0"/>
        <v>53</v>
      </c>
      <c r="F45">
        <v>478</v>
      </c>
      <c r="G45" s="3">
        <v>478</v>
      </c>
      <c r="H45" s="4">
        <f t="shared" si="8"/>
        <v>8</v>
      </c>
      <c r="I45" s="4">
        <f t="shared" si="9"/>
        <v>1.7021276595744681</v>
      </c>
      <c r="J45">
        <v>3.5</v>
      </c>
      <c r="K45" s="4">
        <v>38.426421935185203</v>
      </c>
      <c r="L45" s="4">
        <v>36.687745999999997</v>
      </c>
      <c r="M45" s="4">
        <v>39.495158666666697</v>
      </c>
      <c r="N45" s="4">
        <f t="shared" si="3"/>
        <v>2.8074126666666999</v>
      </c>
      <c r="O45" s="2"/>
      <c r="P45" s="4">
        <v>19.578744018321</v>
      </c>
      <c r="Q45" s="4">
        <v>10.532999999999999</v>
      </c>
      <c r="R45" s="4">
        <v>31.658509433962301</v>
      </c>
      <c r="S45" s="4">
        <v>21.1255094339623</v>
      </c>
      <c r="T45" s="4">
        <v>1.4</v>
      </c>
      <c r="U45" s="4"/>
      <c r="W45" s="4"/>
      <c r="AA45" s="4">
        <v>0.40872857142857139</v>
      </c>
    </row>
    <row r="46" spans="1:27" s="4" customFormat="1" x14ac:dyDescent="0.25">
      <c r="A46" s="4" t="s">
        <v>26</v>
      </c>
      <c r="B46" s="4" t="s">
        <v>23</v>
      </c>
      <c r="C46" s="1">
        <v>43025</v>
      </c>
      <c r="D46" s="6">
        <v>41334</v>
      </c>
      <c r="E46" s="4">
        <f t="shared" si="0"/>
        <v>55</v>
      </c>
      <c r="G46" s="3"/>
      <c r="O46" s="2"/>
      <c r="P46" s="4">
        <v>21.9875692567568</v>
      </c>
      <c r="Q46" s="4">
        <v>13.3952432432432</v>
      </c>
      <c r="R46" s="4">
        <v>32.264445945945901</v>
      </c>
      <c r="S46" s="4">
        <v>18.869202702702701</v>
      </c>
      <c r="T46" s="4">
        <v>46.4</v>
      </c>
      <c r="AA46" s="4">
        <v>0.29736666666666661</v>
      </c>
    </row>
    <row r="47" spans="1:27" x14ac:dyDescent="0.25">
      <c r="A47" t="s">
        <v>15</v>
      </c>
      <c r="B47" t="s">
        <v>23</v>
      </c>
      <c r="C47" s="1">
        <v>42431</v>
      </c>
      <c r="D47" s="6">
        <v>41615.21146968667</v>
      </c>
      <c r="E47" s="4">
        <f t="shared" si="0"/>
        <v>26</v>
      </c>
      <c r="F47">
        <v>206</v>
      </c>
      <c r="G47" s="3">
        <v>206</v>
      </c>
      <c r="H47" s="4"/>
      <c r="J47">
        <v>2.5</v>
      </c>
      <c r="O47">
        <v>5.7699724029045898</v>
      </c>
      <c r="P47" s="4"/>
      <c r="Q47" s="4"/>
      <c r="R47" s="4"/>
      <c r="S47" s="4"/>
      <c r="T47" s="4"/>
      <c r="U47" s="4">
        <v>29.56</v>
      </c>
      <c r="V47" s="4">
        <v>8.93</v>
      </c>
      <c r="W47" s="4">
        <v>3.94</v>
      </c>
      <c r="X47" s="4">
        <v>1.58</v>
      </c>
      <c r="Y47" s="4">
        <v>1.1567000000000001</v>
      </c>
      <c r="Z47" s="4">
        <v>0.49786999999999998</v>
      </c>
      <c r="AA47" s="4">
        <v>0.24459999999999998</v>
      </c>
    </row>
    <row r="48" spans="1:27" x14ac:dyDescent="0.25">
      <c r="A48" t="s">
        <v>15</v>
      </c>
      <c r="B48" t="s">
        <v>23</v>
      </c>
      <c r="C48" s="1">
        <v>42520</v>
      </c>
      <c r="D48" s="6">
        <v>41615.21146968667</v>
      </c>
      <c r="E48" s="4">
        <f t="shared" si="0"/>
        <v>29</v>
      </c>
      <c r="F48" s="2"/>
      <c r="G48" s="3">
        <f>AVERAGE(F47:F49)</f>
        <v>222.5</v>
      </c>
      <c r="H48" s="4">
        <f t="shared" ref="H48:H54" si="10">G48-G47</f>
        <v>16.5</v>
      </c>
      <c r="I48" s="4">
        <f t="shared" ref="I48:I54" si="11">(H48/G47)*100</f>
        <v>8.009708737864079</v>
      </c>
      <c r="J48">
        <v>3</v>
      </c>
      <c r="K48" s="4">
        <v>38.496407416538098</v>
      </c>
      <c r="L48" s="4">
        <v>37.264099037036999</v>
      </c>
      <c r="M48" s="4">
        <v>39.853937740740697</v>
      </c>
      <c r="N48" s="4">
        <f t="shared" si="3"/>
        <v>2.5898387037036983</v>
      </c>
      <c r="O48">
        <v>5.81913166982768</v>
      </c>
      <c r="P48" s="4">
        <v>25.1251896806227</v>
      </c>
      <c r="Q48" s="4">
        <v>17.836691358024702</v>
      </c>
      <c r="R48" s="4">
        <v>34.762370370370398</v>
      </c>
      <c r="S48" s="4">
        <v>16.9256790123457</v>
      </c>
      <c r="T48" s="4">
        <v>54.6</v>
      </c>
      <c r="U48" s="4"/>
      <c r="W48" s="4"/>
      <c r="AA48" s="4">
        <v>0.27728888888888892</v>
      </c>
    </row>
    <row r="49" spans="1:27" x14ac:dyDescent="0.25">
      <c r="A49" t="s">
        <v>15</v>
      </c>
      <c r="B49" t="s">
        <v>23</v>
      </c>
      <c r="C49" s="1">
        <v>42583</v>
      </c>
      <c r="D49" s="6">
        <v>41615</v>
      </c>
      <c r="E49" s="4">
        <f t="shared" si="0"/>
        <v>31</v>
      </c>
      <c r="F49">
        <f>315-76</f>
        <v>239</v>
      </c>
      <c r="G49" s="3">
        <f>315-76</f>
        <v>239</v>
      </c>
      <c r="H49" s="4">
        <f t="shared" si="10"/>
        <v>16.5</v>
      </c>
      <c r="I49" s="4">
        <f t="shared" si="11"/>
        <v>7.415730337078652</v>
      </c>
      <c r="J49">
        <v>3</v>
      </c>
      <c r="K49" s="4">
        <v>37.830099563858703</v>
      </c>
      <c r="L49" s="4">
        <v>36.064141956521702</v>
      </c>
      <c r="M49" s="4">
        <v>39.7128706956522</v>
      </c>
      <c r="N49" s="4">
        <f t="shared" si="3"/>
        <v>3.6487287391304974</v>
      </c>
      <c r="O49">
        <v>5.9659624414360302</v>
      </c>
      <c r="P49" s="4">
        <v>19.149532608695701</v>
      </c>
      <c r="Q49" s="4">
        <v>11.016782608695699</v>
      </c>
      <c r="R49" s="4">
        <v>29.297847826087001</v>
      </c>
      <c r="S49" s="4">
        <v>18.281065217391301</v>
      </c>
      <c r="T49" s="4">
        <v>0</v>
      </c>
      <c r="U49" s="4"/>
      <c r="W49" s="4">
        <v>3.98</v>
      </c>
      <c r="X49" s="4">
        <v>1.4</v>
      </c>
      <c r="Y49" s="4">
        <v>1.1932499999999999</v>
      </c>
      <c r="Z49" s="4">
        <v>0.44338</v>
      </c>
      <c r="AA49" s="4">
        <v>0.23230000000000003</v>
      </c>
    </row>
    <row r="50" spans="1:27" x14ac:dyDescent="0.25">
      <c r="A50" t="s">
        <v>15</v>
      </c>
      <c r="B50" t="s">
        <v>23</v>
      </c>
      <c r="C50" s="1">
        <v>42646</v>
      </c>
      <c r="D50" s="6">
        <v>41615</v>
      </c>
      <c r="E50" s="4">
        <f t="shared" si="0"/>
        <v>33</v>
      </c>
      <c r="F50">
        <f>293.5-70</f>
        <v>223.5</v>
      </c>
      <c r="G50" s="3">
        <f>293.5-70</f>
        <v>223.5</v>
      </c>
      <c r="H50" s="4">
        <f t="shared" si="10"/>
        <v>-15.5</v>
      </c>
      <c r="I50" s="4">
        <f t="shared" si="11"/>
        <v>-6.485355648535565</v>
      </c>
      <c r="J50">
        <v>2.875</v>
      </c>
      <c r="K50" s="4">
        <v>38.283273535076503</v>
      </c>
      <c r="L50" s="4">
        <v>36.670256265306101</v>
      </c>
      <c r="M50" s="4">
        <v>39.9834944693878</v>
      </c>
      <c r="N50" s="4">
        <f t="shared" si="3"/>
        <v>3.3132382040816992</v>
      </c>
      <c r="O50">
        <v>6.3531067398597703</v>
      </c>
      <c r="P50" s="4">
        <v>22.938100340136099</v>
      </c>
      <c r="Q50" s="4">
        <v>13.9858571428571</v>
      </c>
      <c r="R50" s="4">
        <v>33.606489795918399</v>
      </c>
      <c r="S50" s="4">
        <v>19.6206326530612</v>
      </c>
      <c r="T50" s="4">
        <v>2.4</v>
      </c>
      <c r="U50" s="4">
        <v>16.78</v>
      </c>
      <c r="V50" s="4">
        <v>7.34</v>
      </c>
      <c r="W50" s="4">
        <v>2.81</v>
      </c>
      <c r="X50" s="4">
        <v>0.89</v>
      </c>
      <c r="Y50" s="4">
        <v>0.81944000000000006</v>
      </c>
      <c r="Z50" s="4">
        <v>0.28558999999999996</v>
      </c>
      <c r="AA50" s="4">
        <v>0.17127499999999996</v>
      </c>
    </row>
    <row r="51" spans="1:27" x14ac:dyDescent="0.25">
      <c r="A51" t="s">
        <v>15</v>
      </c>
      <c r="B51" t="s">
        <v>23</v>
      </c>
      <c r="C51" s="1">
        <v>42710</v>
      </c>
      <c r="D51" s="6">
        <v>41615</v>
      </c>
      <c r="E51" s="4">
        <f t="shared" si="0"/>
        <v>35</v>
      </c>
      <c r="F51">
        <f>298-70</f>
        <v>228</v>
      </c>
      <c r="G51" s="3">
        <f>298-70</f>
        <v>228</v>
      </c>
      <c r="H51" s="4">
        <f t="shared" si="10"/>
        <v>4.5</v>
      </c>
      <c r="I51" s="4">
        <f t="shared" si="11"/>
        <v>2.0134228187919461</v>
      </c>
      <c r="J51">
        <v>2.75</v>
      </c>
      <c r="K51" s="4">
        <v>38.307601828703703</v>
      </c>
      <c r="L51" s="4">
        <v>36.871400333333298</v>
      </c>
      <c r="M51" s="4">
        <v>39.800698400000002</v>
      </c>
      <c r="N51" s="4">
        <f t="shared" si="3"/>
        <v>2.9292980666667034</v>
      </c>
      <c r="O51">
        <v>10.454812552156</v>
      </c>
      <c r="P51" s="4">
        <v>26.7561111111111</v>
      </c>
      <c r="Q51" s="4">
        <v>19.863333333333301</v>
      </c>
      <c r="R51" s="4">
        <v>35.377977777777801</v>
      </c>
      <c r="S51" s="4">
        <v>15.5146444444444</v>
      </c>
      <c r="T51" s="4">
        <v>31.2</v>
      </c>
      <c r="U51" s="4">
        <v>23.34</v>
      </c>
      <c r="V51" s="4">
        <v>3.06</v>
      </c>
      <c r="W51" s="4">
        <v>2.93</v>
      </c>
      <c r="X51" s="4">
        <v>0.73</v>
      </c>
      <c r="Y51" s="4">
        <v>0.83996000000000004</v>
      </c>
      <c r="Z51" s="4">
        <v>0.25044</v>
      </c>
      <c r="AA51" s="4">
        <v>0.18026</v>
      </c>
    </row>
    <row r="52" spans="1:27" x14ac:dyDescent="0.25">
      <c r="A52" t="s">
        <v>15</v>
      </c>
      <c r="B52" t="s">
        <v>23</v>
      </c>
      <c r="C52" s="1">
        <v>42795</v>
      </c>
      <c r="D52" s="6">
        <v>41615</v>
      </c>
      <c r="E52" s="4">
        <f t="shared" si="0"/>
        <v>38</v>
      </c>
      <c r="F52">
        <f>377-70.5</f>
        <v>306.5</v>
      </c>
      <c r="G52" s="3">
        <f>377-70.5</f>
        <v>306.5</v>
      </c>
      <c r="H52" s="4">
        <f t="shared" si="10"/>
        <v>78.5</v>
      </c>
      <c r="I52" s="4">
        <f t="shared" si="11"/>
        <v>34.429824561403507</v>
      </c>
      <c r="J52">
        <v>4</v>
      </c>
      <c r="K52" s="4">
        <v>38.799090622113503</v>
      </c>
      <c r="L52" s="4">
        <v>37.990372156626499</v>
      </c>
      <c r="M52" s="4">
        <v>39.746038626506</v>
      </c>
      <c r="N52" s="4">
        <f t="shared" si="3"/>
        <v>1.7556664698795004</v>
      </c>
      <c r="O52">
        <v>7.4334355343808998</v>
      </c>
      <c r="P52" s="4">
        <v>26.7615687751004</v>
      </c>
      <c r="Q52" s="4">
        <v>20.769421686746998</v>
      </c>
      <c r="R52" s="4">
        <v>34.686626506024098</v>
      </c>
      <c r="S52" s="4">
        <v>13.917204819277099</v>
      </c>
      <c r="T52" s="4">
        <v>369.8</v>
      </c>
      <c r="U52" s="4">
        <v>72.099999999999994</v>
      </c>
      <c r="V52" s="4">
        <v>9.4</v>
      </c>
      <c r="W52" s="4">
        <v>12.22</v>
      </c>
      <c r="X52" s="4">
        <v>2.96</v>
      </c>
      <c r="Y52" s="4">
        <v>3.26105</v>
      </c>
      <c r="Z52" s="4">
        <v>0.63415999999999995</v>
      </c>
      <c r="AA52" s="4">
        <v>0.53029999999999999</v>
      </c>
    </row>
    <row r="53" spans="1:27" x14ac:dyDescent="0.25">
      <c r="A53" t="s">
        <v>15</v>
      </c>
      <c r="B53" t="s">
        <v>23</v>
      </c>
      <c r="C53" s="1">
        <v>42887</v>
      </c>
      <c r="D53" s="6">
        <v>41615</v>
      </c>
      <c r="E53" s="4">
        <f t="shared" si="0"/>
        <v>41</v>
      </c>
      <c r="F53">
        <v>448</v>
      </c>
      <c r="G53" s="3">
        <v>448</v>
      </c>
      <c r="H53" s="4">
        <f t="shared" si="10"/>
        <v>141.5</v>
      </c>
      <c r="I53" s="4">
        <f t="shared" si="11"/>
        <v>46.166394779771615</v>
      </c>
      <c r="J53">
        <v>4.375</v>
      </c>
      <c r="K53" s="4">
        <v>38.761642648246898</v>
      </c>
      <c r="L53" s="4">
        <v>38.125228939024403</v>
      </c>
      <c r="M53" s="4">
        <v>39.626689134146297</v>
      </c>
      <c r="N53" s="4">
        <f t="shared" si="3"/>
        <v>1.5014601951218935</v>
      </c>
      <c r="O53" s="3">
        <v>13.5456809598336</v>
      </c>
      <c r="P53" s="4">
        <v>23.338535919540199</v>
      </c>
      <c r="Q53" s="4">
        <v>16.067333333333298</v>
      </c>
      <c r="R53" s="4">
        <v>33.816597701149398</v>
      </c>
      <c r="S53" s="4">
        <v>17.7492643678161</v>
      </c>
      <c r="T53" s="4">
        <v>131.6</v>
      </c>
      <c r="U53" s="4">
        <v>52.4</v>
      </c>
      <c r="V53" s="4">
        <v>9.1300000000000008</v>
      </c>
      <c r="W53" s="4">
        <v>9.33</v>
      </c>
      <c r="X53" s="4">
        <v>1.1299999999999999</v>
      </c>
      <c r="Y53" s="4">
        <v>2.6351900000000001</v>
      </c>
      <c r="Z53" s="4">
        <v>0.31968000000000002</v>
      </c>
      <c r="AA53" s="4">
        <v>0.68862500000000004</v>
      </c>
    </row>
    <row r="54" spans="1:27" x14ac:dyDescent="0.25">
      <c r="A54" t="s">
        <v>15</v>
      </c>
      <c r="B54" t="s">
        <v>23</v>
      </c>
      <c r="C54" s="1">
        <v>42948</v>
      </c>
      <c r="D54" s="6">
        <v>41615</v>
      </c>
      <c r="E54" s="4">
        <f t="shared" si="0"/>
        <v>43</v>
      </c>
      <c r="F54">
        <v>344</v>
      </c>
      <c r="G54" s="3">
        <v>344</v>
      </c>
      <c r="H54" s="4">
        <f t="shared" si="10"/>
        <v>-104</v>
      </c>
      <c r="I54" s="4">
        <f t="shared" si="11"/>
        <v>-23.214285714285715</v>
      </c>
      <c r="J54">
        <v>3.25</v>
      </c>
      <c r="K54" s="4">
        <v>38.482245725432399</v>
      </c>
      <c r="L54" s="4">
        <v>37.660603641509397</v>
      </c>
      <c r="M54" s="4">
        <v>39.471454018867902</v>
      </c>
      <c r="N54" s="4">
        <f t="shared" si="3"/>
        <v>1.8108503773585056</v>
      </c>
      <c r="O54" s="2"/>
      <c r="P54" s="4">
        <v>19.578744018321</v>
      </c>
      <c r="Q54" s="4">
        <v>10.532999999999999</v>
      </c>
      <c r="R54" s="4">
        <v>31.658509433962301</v>
      </c>
      <c r="S54" s="4">
        <v>21.1255094339623</v>
      </c>
      <c r="T54" s="4">
        <v>1.4</v>
      </c>
      <c r="U54" s="4"/>
      <c r="W54" s="4"/>
      <c r="AA54" s="4">
        <v>0.40872857142857139</v>
      </c>
    </row>
    <row r="55" spans="1:27" s="4" customFormat="1" x14ac:dyDescent="0.25">
      <c r="A55" s="4" t="s">
        <v>15</v>
      </c>
      <c r="B55" s="4" t="s">
        <v>23</v>
      </c>
      <c r="C55" s="1">
        <v>43025</v>
      </c>
      <c r="D55" s="6">
        <v>41615</v>
      </c>
      <c r="E55" s="4">
        <f t="shared" si="0"/>
        <v>46</v>
      </c>
      <c r="G55" s="3"/>
      <c r="K55" s="4">
        <v>38.321265588823202</v>
      </c>
      <c r="L55" s="4">
        <v>37.324129337837803</v>
      </c>
      <c r="M55" s="4">
        <v>39.5185701486486</v>
      </c>
      <c r="N55" s="4">
        <f t="shared" si="3"/>
        <v>2.1944408108107964</v>
      </c>
      <c r="O55" s="2"/>
      <c r="P55" s="4">
        <v>21.9875692567568</v>
      </c>
      <c r="Q55" s="4">
        <v>13.3952432432432</v>
      </c>
      <c r="R55" s="4">
        <v>32.264445945945901</v>
      </c>
      <c r="S55" s="4">
        <v>18.869202702702701</v>
      </c>
      <c r="T55" s="4">
        <v>46.4</v>
      </c>
      <c r="AA55" s="4">
        <v>0.29736666666666661</v>
      </c>
    </row>
    <row r="56" spans="1:27" x14ac:dyDescent="0.25">
      <c r="A56" t="s">
        <v>16</v>
      </c>
      <c r="B56" t="s">
        <v>23</v>
      </c>
      <c r="C56" s="1">
        <v>42431</v>
      </c>
      <c r="D56" s="6">
        <v>41542.131409825997</v>
      </c>
      <c r="E56" s="4">
        <f t="shared" si="0"/>
        <v>29</v>
      </c>
      <c r="F56">
        <v>206</v>
      </c>
      <c r="G56" s="3">
        <v>206</v>
      </c>
      <c r="H56" s="4"/>
      <c r="J56">
        <v>2.75</v>
      </c>
      <c r="O56">
        <v>6.2024788264796697</v>
      </c>
      <c r="P56" s="4"/>
      <c r="Q56" s="4"/>
      <c r="R56" s="4"/>
      <c r="S56" s="4"/>
      <c r="T56" s="4"/>
      <c r="U56" s="4">
        <v>29.56</v>
      </c>
      <c r="V56" s="4">
        <v>8.93</v>
      </c>
      <c r="W56" s="4">
        <v>3.94</v>
      </c>
      <c r="X56" s="4">
        <v>1.58</v>
      </c>
      <c r="Y56" s="4">
        <v>1.1567000000000001</v>
      </c>
      <c r="Z56" s="4">
        <v>0.49786999999999998</v>
      </c>
      <c r="AA56" s="4">
        <v>0.24459999999999998</v>
      </c>
    </row>
    <row r="57" spans="1:27" x14ac:dyDescent="0.25">
      <c r="A57" t="s">
        <v>16</v>
      </c>
      <c r="B57" t="s">
        <v>23</v>
      </c>
      <c r="C57" s="1">
        <v>42520</v>
      </c>
      <c r="D57" s="6">
        <v>41542.131409825997</v>
      </c>
      <c r="E57" s="4">
        <f t="shared" si="0"/>
        <v>32</v>
      </c>
      <c r="F57" s="2"/>
      <c r="G57" s="3">
        <f>AVERAGE(F56:F58)</f>
        <v>216.5</v>
      </c>
      <c r="H57" s="4">
        <f t="shared" ref="H57:H63" si="12">G57-G56</f>
        <v>10.5</v>
      </c>
      <c r="I57" s="4">
        <f t="shared" ref="I57:I63" si="13">(H57/G56)*100</f>
        <v>5.0970873786407767</v>
      </c>
      <c r="J57">
        <v>2.75</v>
      </c>
      <c r="K57" s="4">
        <v>38.652854488297301</v>
      </c>
      <c r="L57" s="4">
        <v>37.351581851851897</v>
      </c>
      <c r="M57" s="4">
        <v>40.040614358024698</v>
      </c>
      <c r="N57" s="4">
        <f t="shared" si="3"/>
        <v>2.6890325061728007</v>
      </c>
      <c r="O57">
        <v>6.6474997777500198</v>
      </c>
      <c r="P57" s="4">
        <v>25.1251896806227</v>
      </c>
      <c r="Q57" s="4">
        <v>17.836691358024702</v>
      </c>
      <c r="R57" s="4">
        <v>34.762370370370398</v>
      </c>
      <c r="S57" s="4">
        <v>16.9256790123457</v>
      </c>
      <c r="T57" s="4">
        <v>54.6</v>
      </c>
      <c r="U57" s="4"/>
      <c r="W57" s="4"/>
      <c r="AA57" s="4">
        <v>0.27728888888888892</v>
      </c>
    </row>
    <row r="58" spans="1:27" x14ac:dyDescent="0.25">
      <c r="A58" t="s">
        <v>16</v>
      </c>
      <c r="B58" t="s">
        <v>23</v>
      </c>
      <c r="C58" s="1">
        <v>42583</v>
      </c>
      <c r="D58" s="6">
        <v>41542</v>
      </c>
      <c r="E58" s="4">
        <f t="shared" si="0"/>
        <v>34</v>
      </c>
      <c r="F58">
        <f>303-76</f>
        <v>227</v>
      </c>
      <c r="G58" s="3">
        <f>303-76</f>
        <v>227</v>
      </c>
      <c r="H58" s="4">
        <f t="shared" si="12"/>
        <v>10.5</v>
      </c>
      <c r="I58" s="4">
        <f t="shared" si="13"/>
        <v>4.8498845265588919</v>
      </c>
      <c r="J58">
        <v>2.375</v>
      </c>
      <c r="K58" s="4">
        <v>38.319731405721598</v>
      </c>
      <c r="L58" s="4">
        <v>36.665184130434803</v>
      </c>
      <c r="M58" s="4">
        <v>40.016609586956498</v>
      </c>
      <c r="N58" s="4">
        <f t="shared" si="3"/>
        <v>3.3514254565216959</v>
      </c>
      <c r="O58">
        <v>6.2861029202251997</v>
      </c>
      <c r="P58" s="4">
        <v>19.149532608695701</v>
      </c>
      <c r="Q58" s="4">
        <v>11.016782608695699</v>
      </c>
      <c r="R58" s="4">
        <v>29.297847826087001</v>
      </c>
      <c r="S58" s="4">
        <v>18.281065217391301</v>
      </c>
      <c r="T58" s="4">
        <v>0</v>
      </c>
      <c r="U58" s="4"/>
      <c r="W58" s="4">
        <v>3.98</v>
      </c>
      <c r="X58" s="4">
        <v>1.4</v>
      </c>
      <c r="Y58" s="4">
        <v>1.1932499999999999</v>
      </c>
      <c r="Z58" s="4">
        <v>0.44338</v>
      </c>
      <c r="AA58" s="4">
        <v>0.23230000000000003</v>
      </c>
    </row>
    <row r="59" spans="1:27" x14ac:dyDescent="0.25">
      <c r="A59" t="s">
        <v>16</v>
      </c>
      <c r="B59" t="s">
        <v>23</v>
      </c>
      <c r="C59" s="1">
        <v>42646</v>
      </c>
      <c r="D59" s="6">
        <v>41542</v>
      </c>
      <c r="E59" s="4">
        <f t="shared" si="0"/>
        <v>36</v>
      </c>
      <c r="F59">
        <f>207.5-7</f>
        <v>200.5</v>
      </c>
      <c r="G59" s="3">
        <f>207.5-7</f>
        <v>200.5</v>
      </c>
      <c r="H59" s="4">
        <f t="shared" si="12"/>
        <v>-26.5</v>
      </c>
      <c r="I59" s="4">
        <f t="shared" si="13"/>
        <v>-11.674008810572687</v>
      </c>
      <c r="J59">
        <v>1.625</v>
      </c>
      <c r="K59" s="4">
        <v>38.558361772604897</v>
      </c>
      <c r="L59" s="4">
        <v>36.944826346938797</v>
      </c>
      <c r="M59" s="4">
        <v>40.0880076938776</v>
      </c>
      <c r="N59" s="4">
        <f t="shared" si="3"/>
        <v>3.1431813469388032</v>
      </c>
      <c r="O59" s="4">
        <v>6.9730118518215001</v>
      </c>
      <c r="P59" s="4">
        <v>22.938100340136099</v>
      </c>
      <c r="Q59" s="4">
        <v>13.9858571428571</v>
      </c>
      <c r="R59" s="4">
        <v>33.606489795918399</v>
      </c>
      <c r="S59" s="4">
        <v>19.6206326530612</v>
      </c>
      <c r="T59" s="4">
        <v>2.4</v>
      </c>
      <c r="U59" s="4">
        <v>16.78</v>
      </c>
      <c r="V59" s="4">
        <v>7.34</v>
      </c>
      <c r="W59" s="4">
        <v>2.81</v>
      </c>
      <c r="X59" s="4">
        <v>0.89</v>
      </c>
      <c r="Y59" s="4">
        <v>0.81944000000000006</v>
      </c>
      <c r="Z59" s="4">
        <v>0.28558999999999996</v>
      </c>
      <c r="AA59" s="4">
        <v>0.17127499999999996</v>
      </c>
    </row>
    <row r="60" spans="1:27" x14ac:dyDescent="0.25">
      <c r="A60" t="s">
        <v>16</v>
      </c>
      <c r="B60" t="s">
        <v>23</v>
      </c>
      <c r="C60" s="1">
        <v>42710</v>
      </c>
      <c r="D60" s="6">
        <v>41542</v>
      </c>
      <c r="E60" s="4">
        <f t="shared" si="0"/>
        <v>38</v>
      </c>
      <c r="F60">
        <f>280-70</f>
        <v>210</v>
      </c>
      <c r="G60" s="3">
        <f>280-70</f>
        <v>210</v>
      </c>
      <c r="H60" s="4">
        <f t="shared" si="12"/>
        <v>9.5</v>
      </c>
      <c r="I60" s="4">
        <f t="shared" si="13"/>
        <v>4.7381546134663344</v>
      </c>
      <c r="J60">
        <v>2.75</v>
      </c>
      <c r="K60" s="4">
        <v>38.4183947006944</v>
      </c>
      <c r="L60" s="4">
        <v>36.811311400000001</v>
      </c>
      <c r="M60" s="4">
        <v>39.967558222222202</v>
      </c>
      <c r="N60" s="4">
        <f t="shared" si="3"/>
        <v>3.1562468222222009</v>
      </c>
      <c r="O60">
        <v>8.5034068723377807</v>
      </c>
      <c r="P60" s="4">
        <v>26.7561111111111</v>
      </c>
      <c r="Q60" s="4">
        <v>19.863333333333301</v>
      </c>
      <c r="R60" s="4">
        <v>35.377977777777801</v>
      </c>
      <c r="S60" s="4">
        <v>15.5146444444444</v>
      </c>
      <c r="T60" s="4">
        <v>31.2</v>
      </c>
      <c r="U60" s="4">
        <v>23.34</v>
      </c>
      <c r="V60" s="4">
        <v>3.06</v>
      </c>
      <c r="W60" s="4">
        <v>2.93</v>
      </c>
      <c r="X60" s="4">
        <v>0.73</v>
      </c>
      <c r="Y60" s="4">
        <v>0.83996000000000004</v>
      </c>
      <c r="Z60" s="4">
        <v>0.25044</v>
      </c>
      <c r="AA60" s="4">
        <v>0.18026</v>
      </c>
    </row>
    <row r="61" spans="1:27" x14ac:dyDescent="0.25">
      <c r="A61" t="s">
        <v>16</v>
      </c>
      <c r="B61" t="s">
        <v>23</v>
      </c>
      <c r="C61" s="1">
        <v>42795</v>
      </c>
      <c r="D61" s="6">
        <v>41542</v>
      </c>
      <c r="E61" s="4">
        <f t="shared" si="0"/>
        <v>41</v>
      </c>
      <c r="F61">
        <f>356-70.5</f>
        <v>285.5</v>
      </c>
      <c r="G61" s="3">
        <f>356-70.5</f>
        <v>285.5</v>
      </c>
      <c r="H61" s="4">
        <f t="shared" si="12"/>
        <v>75.5</v>
      </c>
      <c r="I61" s="4">
        <f t="shared" si="13"/>
        <v>35.952380952380949</v>
      </c>
      <c r="J61">
        <v>3.75</v>
      </c>
      <c r="K61" s="4">
        <v>38.955867381149602</v>
      </c>
      <c r="L61" s="4">
        <v>37.880050277108403</v>
      </c>
      <c r="M61" s="4">
        <v>39.996920795180699</v>
      </c>
      <c r="N61" s="4">
        <f t="shared" si="3"/>
        <v>2.1168705180722966</v>
      </c>
      <c r="O61">
        <v>8.6729805524593893</v>
      </c>
      <c r="P61" s="4">
        <v>26.7615687751004</v>
      </c>
      <c r="Q61" s="4">
        <v>20.769421686746998</v>
      </c>
      <c r="R61" s="4">
        <v>34.686626506024098</v>
      </c>
      <c r="S61" s="4">
        <v>13.917204819277099</v>
      </c>
      <c r="T61" s="4">
        <v>369.8</v>
      </c>
      <c r="U61" s="4">
        <v>72.099999999999994</v>
      </c>
      <c r="V61" s="4">
        <v>9.4</v>
      </c>
      <c r="W61" s="4">
        <v>12.22</v>
      </c>
      <c r="X61" s="4">
        <v>2.96</v>
      </c>
      <c r="Y61" s="4">
        <v>3.26105</v>
      </c>
      <c r="Z61" s="4">
        <v>0.63415999999999995</v>
      </c>
      <c r="AA61" s="4">
        <v>0.53029999999999999</v>
      </c>
    </row>
    <row r="62" spans="1:27" x14ac:dyDescent="0.25">
      <c r="A62" t="s">
        <v>16</v>
      </c>
      <c r="B62" t="s">
        <v>23</v>
      </c>
      <c r="C62" s="1">
        <v>42887</v>
      </c>
      <c r="D62" s="6">
        <v>41542</v>
      </c>
      <c r="E62" s="4">
        <f t="shared" si="0"/>
        <v>44</v>
      </c>
      <c r="G62" s="3">
        <f>AVERAGE(F61:F63)</f>
        <v>323.75</v>
      </c>
      <c r="H62" s="4">
        <f t="shared" si="12"/>
        <v>38.25</v>
      </c>
      <c r="I62" s="4">
        <f t="shared" si="13"/>
        <v>13.39754816112084</v>
      </c>
      <c r="J62">
        <v>4</v>
      </c>
      <c r="K62" s="4">
        <v>38.857406420258599</v>
      </c>
      <c r="L62" s="4">
        <v>37.896131931034503</v>
      </c>
      <c r="M62" s="4">
        <v>39.857980390804599</v>
      </c>
      <c r="N62" s="4">
        <f t="shared" si="3"/>
        <v>1.9618484597700956</v>
      </c>
      <c r="O62" s="2"/>
      <c r="P62" s="4">
        <v>23.338535919540199</v>
      </c>
      <c r="Q62" s="4">
        <v>16.067333333333298</v>
      </c>
      <c r="R62" s="4">
        <v>33.816597701149398</v>
      </c>
      <c r="S62" s="4">
        <v>17.7492643678161</v>
      </c>
      <c r="T62" s="4">
        <v>131.6</v>
      </c>
      <c r="U62" s="4">
        <v>52.4</v>
      </c>
      <c r="V62" s="4">
        <v>9.1300000000000008</v>
      </c>
      <c r="W62" s="4">
        <v>9.33</v>
      </c>
      <c r="X62" s="4">
        <v>1.1299999999999999</v>
      </c>
      <c r="Y62" s="4">
        <v>2.6351900000000001</v>
      </c>
      <c r="Z62" s="4">
        <v>0.31968000000000002</v>
      </c>
      <c r="AA62" s="4">
        <v>0.68862500000000004</v>
      </c>
    </row>
    <row r="63" spans="1:27" x14ac:dyDescent="0.25">
      <c r="A63" t="s">
        <v>16</v>
      </c>
      <c r="B63" t="s">
        <v>23</v>
      </c>
      <c r="C63" s="1">
        <v>42948</v>
      </c>
      <c r="D63" s="6">
        <v>41542</v>
      </c>
      <c r="E63" s="4">
        <f t="shared" si="0"/>
        <v>46</v>
      </c>
      <c r="F63">
        <v>362</v>
      </c>
      <c r="G63" s="3">
        <v>362</v>
      </c>
      <c r="H63" s="4">
        <f t="shared" si="12"/>
        <v>38.25</v>
      </c>
      <c r="I63" s="4">
        <f t="shared" si="13"/>
        <v>11.814671814671815</v>
      </c>
      <c r="J63">
        <v>3.125</v>
      </c>
      <c r="K63" s="4">
        <v>38.5419811899895</v>
      </c>
      <c r="L63" s="4">
        <v>37.424775132075503</v>
      </c>
      <c r="M63" s="4">
        <v>39.557833452830202</v>
      </c>
      <c r="N63" s="4">
        <f t="shared" si="3"/>
        <v>2.1330583207546994</v>
      </c>
      <c r="O63" s="3">
        <v>13.011994644416699</v>
      </c>
      <c r="P63" s="4">
        <v>19.578744018321</v>
      </c>
      <c r="Q63" s="4">
        <v>10.532999999999999</v>
      </c>
      <c r="R63" s="4">
        <v>31.658509433962301</v>
      </c>
      <c r="S63" s="4">
        <v>21.1255094339623</v>
      </c>
      <c r="T63" s="4">
        <v>1.4</v>
      </c>
      <c r="U63" s="4"/>
      <c r="W63" s="4"/>
      <c r="AA63" s="4">
        <v>0.40872857142857139</v>
      </c>
    </row>
    <row r="64" spans="1:27" s="4" customFormat="1" x14ac:dyDescent="0.25">
      <c r="A64" s="4" t="s">
        <v>16</v>
      </c>
      <c r="B64" s="4" t="s">
        <v>23</v>
      </c>
      <c r="C64" s="1">
        <v>43025</v>
      </c>
      <c r="D64" s="6">
        <v>41542</v>
      </c>
      <c r="E64" s="4">
        <f t="shared" si="0"/>
        <v>48</v>
      </c>
      <c r="G64" s="3"/>
      <c r="K64" s="4">
        <v>38.401948548282697</v>
      </c>
      <c r="L64" s="4">
        <v>37.047517027026998</v>
      </c>
      <c r="M64" s="4">
        <v>39.630459810810798</v>
      </c>
      <c r="N64" s="4">
        <f t="shared" si="3"/>
        <v>2.5829427837837997</v>
      </c>
      <c r="O64" s="3"/>
      <c r="P64" s="4">
        <v>21.9875692567568</v>
      </c>
      <c r="Q64" s="4">
        <v>13.3952432432432</v>
      </c>
      <c r="R64" s="4">
        <v>32.264445945945901</v>
      </c>
      <c r="S64" s="4">
        <v>18.869202702702701</v>
      </c>
      <c r="T64" s="4">
        <v>46.4</v>
      </c>
      <c r="AA64" s="4">
        <v>0.29736666666666661</v>
      </c>
    </row>
    <row r="65" spans="1:27" x14ac:dyDescent="0.25">
      <c r="A65" t="s">
        <v>18</v>
      </c>
      <c r="B65" t="s">
        <v>23</v>
      </c>
      <c r="C65" s="1">
        <v>42431</v>
      </c>
      <c r="D65" s="6">
        <v>41696</v>
      </c>
      <c r="E65" s="4">
        <f t="shared" si="0"/>
        <v>24</v>
      </c>
      <c r="F65">
        <v>172</v>
      </c>
      <c r="G65" s="3">
        <v>172</v>
      </c>
      <c r="H65" s="4"/>
      <c r="J65">
        <v>2</v>
      </c>
      <c r="O65">
        <v>6.57032899832212</v>
      </c>
      <c r="P65" s="4"/>
      <c r="Q65" s="4"/>
      <c r="R65" s="4"/>
      <c r="S65" s="4"/>
      <c r="T65" s="4"/>
      <c r="U65" s="4">
        <v>29.56</v>
      </c>
      <c r="V65" s="4">
        <v>8.93</v>
      </c>
      <c r="W65" s="4">
        <v>3.94</v>
      </c>
      <c r="X65" s="4">
        <v>1.58</v>
      </c>
      <c r="Y65" s="4">
        <v>1.1567000000000001</v>
      </c>
      <c r="Z65" s="4">
        <v>0.49786999999999998</v>
      </c>
      <c r="AA65" s="4">
        <v>0.24459999999999998</v>
      </c>
    </row>
    <row r="66" spans="1:27" x14ac:dyDescent="0.25">
      <c r="A66" t="s">
        <v>18</v>
      </c>
      <c r="B66" t="s">
        <v>23</v>
      </c>
      <c r="C66" s="1">
        <v>42520</v>
      </c>
      <c r="D66" s="6">
        <v>41696</v>
      </c>
      <c r="E66" s="4">
        <f t="shared" si="0"/>
        <v>27</v>
      </c>
      <c r="F66" s="2"/>
      <c r="G66" s="3">
        <f>AVERAGE(F65:F67)</f>
        <v>182.75</v>
      </c>
      <c r="H66" s="4">
        <f t="shared" ref="H66:H72" si="14">G66-G65</f>
        <v>10.75</v>
      </c>
      <c r="I66" s="4">
        <f t="shared" ref="I66:I72" si="15">(H66/G65)*100</f>
        <v>6.25</v>
      </c>
      <c r="J66">
        <v>2.5</v>
      </c>
      <c r="K66" s="4">
        <v>38.618046953060698</v>
      </c>
      <c r="L66" s="4">
        <v>37.437547444444398</v>
      </c>
      <c r="M66" s="4">
        <v>40.048042925925898</v>
      </c>
      <c r="N66" s="4">
        <f t="shared" si="3"/>
        <v>2.6104954814815002</v>
      </c>
      <c r="O66">
        <v>6.8254275659278898</v>
      </c>
      <c r="P66" s="4">
        <v>25.1251896806227</v>
      </c>
      <c r="Q66" s="4">
        <v>17.836691358024702</v>
      </c>
      <c r="R66" s="4">
        <v>34.762370370370398</v>
      </c>
      <c r="S66" s="4">
        <v>16.9256790123457</v>
      </c>
      <c r="T66" s="4">
        <v>54.6</v>
      </c>
      <c r="U66" s="4"/>
      <c r="W66" s="4"/>
      <c r="AA66" s="4">
        <v>0.27728888888888892</v>
      </c>
    </row>
    <row r="67" spans="1:27" x14ac:dyDescent="0.25">
      <c r="A67" t="s">
        <v>18</v>
      </c>
      <c r="B67" t="s">
        <v>23</v>
      </c>
      <c r="C67" s="1">
        <v>42583</v>
      </c>
      <c r="D67" s="6">
        <v>41696</v>
      </c>
      <c r="E67" s="4">
        <f t="shared" si="0"/>
        <v>29</v>
      </c>
      <c r="F67" s="4">
        <f>269.5-76</f>
        <v>193.5</v>
      </c>
      <c r="G67" s="3">
        <f>269.5-76</f>
        <v>193.5</v>
      </c>
      <c r="H67" s="4">
        <f t="shared" si="14"/>
        <v>10.75</v>
      </c>
      <c r="I67" s="4">
        <f t="shared" si="15"/>
        <v>5.8823529411764701</v>
      </c>
      <c r="J67">
        <v>2.375</v>
      </c>
      <c r="K67" s="4">
        <v>38.004399241696902</v>
      </c>
      <c r="L67" s="4">
        <v>36.2141768695652</v>
      </c>
      <c r="M67" s="4">
        <v>39.934043478260897</v>
      </c>
      <c r="N67" s="4">
        <f t="shared" si="3"/>
        <v>3.7198666086956962</v>
      </c>
      <c r="O67">
        <v>6.1928632577252607</v>
      </c>
      <c r="P67" s="4">
        <v>19.149532608695701</v>
      </c>
      <c r="Q67" s="4">
        <v>11.016782608695699</v>
      </c>
      <c r="R67" s="4">
        <v>29.297847826087001</v>
      </c>
      <c r="S67" s="4">
        <v>18.281065217391301</v>
      </c>
      <c r="T67" s="4">
        <v>0</v>
      </c>
      <c r="U67" s="4"/>
      <c r="W67" s="4">
        <v>3.98</v>
      </c>
      <c r="X67" s="4">
        <v>1.4</v>
      </c>
      <c r="Y67" s="4">
        <v>1.1932499999999999</v>
      </c>
      <c r="Z67" s="4">
        <v>0.44338</v>
      </c>
      <c r="AA67" s="4">
        <v>0.23230000000000003</v>
      </c>
    </row>
    <row r="68" spans="1:27" x14ac:dyDescent="0.25">
      <c r="A68" t="s">
        <v>18</v>
      </c>
      <c r="B68" t="s">
        <v>23</v>
      </c>
      <c r="C68" s="1">
        <v>42646</v>
      </c>
      <c r="D68" s="6">
        <v>41696</v>
      </c>
      <c r="E68" s="4">
        <f t="shared" si="0"/>
        <v>31</v>
      </c>
      <c r="F68" s="4">
        <f>261.5-70</f>
        <v>191.5</v>
      </c>
      <c r="G68" s="3">
        <f>261.5-70</f>
        <v>191.5</v>
      </c>
      <c r="H68" s="4">
        <f t="shared" si="14"/>
        <v>-2</v>
      </c>
      <c r="I68" s="4">
        <f t="shared" si="15"/>
        <v>-1.03359173126615</v>
      </c>
      <c r="J68">
        <v>2.5</v>
      </c>
      <c r="K68" s="4">
        <v>38.343942823908698</v>
      </c>
      <c r="L68" s="4">
        <v>36.601943469387798</v>
      </c>
      <c r="M68" s="4">
        <v>40.134099142857103</v>
      </c>
      <c r="N68" s="4">
        <f t="shared" ref="N68:N100" si="16">M68-L68</f>
        <v>3.5321556734693047</v>
      </c>
      <c r="O68">
        <v>7.1348866856666699</v>
      </c>
      <c r="P68" s="4">
        <v>22.938100340136099</v>
      </c>
      <c r="Q68" s="4">
        <v>13.9858571428571</v>
      </c>
      <c r="R68" s="4">
        <v>33.606489795918399</v>
      </c>
      <c r="S68" s="4">
        <v>19.6206326530612</v>
      </c>
      <c r="T68" s="4">
        <v>2.4</v>
      </c>
      <c r="U68" s="4">
        <v>16.78</v>
      </c>
      <c r="V68" s="4">
        <v>7.34</v>
      </c>
      <c r="W68" s="4">
        <v>2.81</v>
      </c>
      <c r="X68" s="4">
        <v>0.89</v>
      </c>
      <c r="Y68" s="4">
        <v>0.81944000000000006</v>
      </c>
      <c r="Z68" s="4">
        <v>0.28558999999999996</v>
      </c>
      <c r="AA68" s="4">
        <v>0.17127499999999996</v>
      </c>
    </row>
    <row r="69" spans="1:27" x14ac:dyDescent="0.25">
      <c r="A69" t="s">
        <v>18</v>
      </c>
      <c r="B69" t="s">
        <v>23</v>
      </c>
      <c r="C69" s="1">
        <v>42710</v>
      </c>
      <c r="D69" s="6">
        <v>41696</v>
      </c>
      <c r="E69" s="4">
        <f t="shared" si="0"/>
        <v>33</v>
      </c>
      <c r="F69">
        <f>246-70</f>
        <v>176</v>
      </c>
      <c r="G69" s="3">
        <f>246-70</f>
        <v>176</v>
      </c>
      <c r="H69" s="4">
        <f t="shared" si="14"/>
        <v>-15.5</v>
      </c>
      <c r="I69" s="4">
        <f t="shared" si="15"/>
        <v>-8.093994778067886</v>
      </c>
      <c r="J69">
        <v>2</v>
      </c>
      <c r="K69" s="4">
        <v>38.497736868055597</v>
      </c>
      <c r="L69" s="4">
        <v>37.013165844444401</v>
      </c>
      <c r="M69" s="4">
        <v>40.028766333333301</v>
      </c>
      <c r="N69" s="4">
        <f t="shared" si="16"/>
        <v>3.0156004888889001</v>
      </c>
      <c r="O69" s="2"/>
      <c r="P69" s="4">
        <v>26.7561111111111</v>
      </c>
      <c r="Q69" s="4">
        <v>19.863333333333301</v>
      </c>
      <c r="R69" s="4">
        <v>35.377977777777801</v>
      </c>
      <c r="S69" s="4">
        <v>15.5146444444444</v>
      </c>
      <c r="T69" s="4">
        <v>31.2</v>
      </c>
      <c r="U69" s="4">
        <v>23.34</v>
      </c>
      <c r="V69" s="4">
        <v>3.06</v>
      </c>
      <c r="W69" s="4">
        <v>2.93</v>
      </c>
      <c r="X69" s="4">
        <v>0.73</v>
      </c>
      <c r="Y69" s="4">
        <v>0.83996000000000004</v>
      </c>
      <c r="Z69" s="4">
        <v>0.25044</v>
      </c>
      <c r="AA69" s="4">
        <v>0.18026</v>
      </c>
    </row>
    <row r="70" spans="1:27" x14ac:dyDescent="0.25">
      <c r="A70" t="s">
        <v>18</v>
      </c>
      <c r="B70" t="s">
        <v>23</v>
      </c>
      <c r="C70" s="1">
        <v>42795</v>
      </c>
      <c r="D70" s="6">
        <v>41696</v>
      </c>
      <c r="E70" s="4">
        <f t="shared" si="0"/>
        <v>36</v>
      </c>
      <c r="G70" s="3">
        <f>AVERAGE(F69:F71)</f>
        <v>197</v>
      </c>
      <c r="H70" s="4">
        <f t="shared" si="14"/>
        <v>21</v>
      </c>
      <c r="I70" s="4">
        <f t="shared" si="15"/>
        <v>11.931818181818182</v>
      </c>
      <c r="K70" s="4">
        <v>39.053251441850698</v>
      </c>
      <c r="L70" s="4">
        <v>38.177382710843403</v>
      </c>
      <c r="M70" s="4">
        <v>40.110807975903597</v>
      </c>
      <c r="N70" s="4">
        <f t="shared" si="16"/>
        <v>1.933425265060194</v>
      </c>
      <c r="O70" s="2"/>
      <c r="P70" s="4">
        <v>26.7615687751004</v>
      </c>
      <c r="Q70" s="4">
        <v>20.769421686746998</v>
      </c>
      <c r="R70" s="4">
        <v>34.686626506024098</v>
      </c>
      <c r="S70" s="4">
        <v>13.917204819277099</v>
      </c>
      <c r="T70" s="4">
        <v>369.8</v>
      </c>
      <c r="U70" s="4">
        <v>72.099999999999994</v>
      </c>
      <c r="V70" s="4">
        <v>9.4</v>
      </c>
      <c r="W70" s="4">
        <v>12.22</v>
      </c>
      <c r="X70" s="4">
        <v>2.96</v>
      </c>
      <c r="Y70" s="4">
        <v>3.26105</v>
      </c>
      <c r="Z70" s="4">
        <v>0.63415999999999995</v>
      </c>
      <c r="AA70" s="4">
        <v>0.53029999999999999</v>
      </c>
    </row>
    <row r="71" spans="1:27" x14ac:dyDescent="0.25">
      <c r="A71" t="s">
        <v>18</v>
      </c>
      <c r="B71" t="s">
        <v>23</v>
      </c>
      <c r="C71" s="1">
        <v>42887</v>
      </c>
      <c r="D71" s="6">
        <v>41696</v>
      </c>
      <c r="E71" s="4">
        <f t="shared" si="0"/>
        <v>39</v>
      </c>
      <c r="F71">
        <v>218</v>
      </c>
      <c r="G71" s="3">
        <v>218</v>
      </c>
      <c r="H71" s="4">
        <f t="shared" si="14"/>
        <v>21</v>
      </c>
      <c r="I71" s="4">
        <f t="shared" si="15"/>
        <v>10.659898477157361</v>
      </c>
      <c r="J71">
        <v>3.625</v>
      </c>
      <c r="K71" s="4">
        <v>38.890870143159297</v>
      </c>
      <c r="L71" s="4">
        <v>38.084029137930997</v>
      </c>
      <c r="M71" s="4">
        <v>39.9046317241379</v>
      </c>
      <c r="N71" s="4">
        <f t="shared" si="16"/>
        <v>1.8206025862069026</v>
      </c>
      <c r="O71" s="3">
        <v>11.9485742109144</v>
      </c>
      <c r="P71" s="4">
        <v>23.338535919540199</v>
      </c>
      <c r="Q71" s="4">
        <v>16.067333333333298</v>
      </c>
      <c r="R71" s="4">
        <v>33.816597701149398</v>
      </c>
      <c r="S71" s="4">
        <v>17.7492643678161</v>
      </c>
      <c r="T71" s="4">
        <v>131.6</v>
      </c>
      <c r="U71" s="4">
        <v>52.4</v>
      </c>
      <c r="V71" s="4">
        <v>9.1300000000000008</v>
      </c>
      <c r="W71" s="4">
        <v>9.33</v>
      </c>
      <c r="X71" s="4">
        <v>1.1299999999999999</v>
      </c>
      <c r="Y71" s="4">
        <v>2.6351900000000001</v>
      </c>
      <c r="Z71" s="4">
        <v>0.31968000000000002</v>
      </c>
      <c r="AA71" s="4">
        <v>0.68862500000000004</v>
      </c>
    </row>
    <row r="72" spans="1:27" x14ac:dyDescent="0.25">
      <c r="A72" t="s">
        <v>18</v>
      </c>
      <c r="B72" t="s">
        <v>23</v>
      </c>
      <c r="C72" s="1">
        <v>42948</v>
      </c>
      <c r="D72" s="6">
        <v>41696</v>
      </c>
      <c r="E72" s="4">
        <f t="shared" si="0"/>
        <v>41</v>
      </c>
      <c r="F72">
        <v>312</v>
      </c>
      <c r="G72" s="3">
        <v>312</v>
      </c>
      <c r="H72" s="4">
        <f t="shared" si="14"/>
        <v>94</v>
      </c>
      <c r="I72" s="4">
        <f t="shared" si="15"/>
        <v>43.119266055045877</v>
      </c>
      <c r="J72">
        <v>3</v>
      </c>
      <c r="K72" s="4">
        <v>38.491203871003698</v>
      </c>
      <c r="L72" s="4">
        <v>37.404771641509399</v>
      </c>
      <c r="M72" s="4">
        <v>39.743478358490599</v>
      </c>
      <c r="N72" s="4">
        <f t="shared" si="16"/>
        <v>2.3387067169811999</v>
      </c>
      <c r="O72" s="3">
        <v>14.879314610582499</v>
      </c>
      <c r="P72" s="4">
        <v>19.578744018321</v>
      </c>
      <c r="Q72" s="4">
        <v>10.532999999999999</v>
      </c>
      <c r="R72" s="4">
        <v>31.658509433962301</v>
      </c>
      <c r="S72" s="4">
        <v>21.1255094339623</v>
      </c>
      <c r="T72" s="4">
        <v>1.4</v>
      </c>
      <c r="U72" s="4"/>
      <c r="W72" s="4"/>
      <c r="AA72" s="4">
        <v>0.40872857142857139</v>
      </c>
    </row>
    <row r="73" spans="1:27" s="4" customFormat="1" x14ac:dyDescent="0.25">
      <c r="A73" s="4" t="s">
        <v>18</v>
      </c>
      <c r="B73" s="4" t="s">
        <v>23</v>
      </c>
      <c r="C73" s="1">
        <v>43025</v>
      </c>
      <c r="D73" s="6">
        <v>41696</v>
      </c>
      <c r="E73" s="4">
        <f t="shared" si="0"/>
        <v>43</v>
      </c>
      <c r="G73" s="3"/>
      <c r="K73" s="4">
        <v>38.3196976477102</v>
      </c>
      <c r="L73" s="4">
        <v>37.064930108108101</v>
      </c>
      <c r="M73" s="4">
        <v>39.768712675675701</v>
      </c>
      <c r="N73" s="4">
        <f t="shared" si="16"/>
        <v>2.7037825675676004</v>
      </c>
      <c r="O73" s="3"/>
      <c r="P73" s="4">
        <v>21.9875692567568</v>
      </c>
      <c r="Q73" s="4">
        <v>13.3952432432432</v>
      </c>
      <c r="R73" s="4">
        <v>32.264445945945901</v>
      </c>
      <c r="S73" s="4">
        <v>18.869202702702701</v>
      </c>
      <c r="T73" s="4">
        <v>46.4</v>
      </c>
      <c r="AA73" s="4">
        <v>0.29736666666666661</v>
      </c>
    </row>
    <row r="74" spans="1:27" x14ac:dyDescent="0.25">
      <c r="A74" t="s">
        <v>14</v>
      </c>
      <c r="B74" t="s">
        <v>24</v>
      </c>
      <c r="C74" s="1">
        <v>42431</v>
      </c>
      <c r="D74" s="6">
        <v>41674</v>
      </c>
      <c r="E74" s="4">
        <f t="shared" si="0"/>
        <v>24</v>
      </c>
      <c r="F74">
        <v>210</v>
      </c>
      <c r="G74" s="3">
        <v>210</v>
      </c>
      <c r="H74" s="4"/>
      <c r="J74">
        <v>2.75</v>
      </c>
      <c r="O74">
        <v>6.5569937567023704</v>
      </c>
      <c r="P74" s="4"/>
      <c r="Q74" s="4"/>
      <c r="R74" s="4"/>
      <c r="S74" s="4"/>
      <c r="T74" s="4"/>
      <c r="U74" s="4">
        <v>29.56</v>
      </c>
      <c r="V74" s="4">
        <v>8.93</v>
      </c>
      <c r="W74" s="4">
        <v>3.94</v>
      </c>
      <c r="X74" s="4">
        <v>1.58</v>
      </c>
      <c r="Y74" s="4">
        <v>1.1567000000000001</v>
      </c>
      <c r="Z74" s="4">
        <v>0.49786999999999998</v>
      </c>
      <c r="AA74" s="4">
        <v>0.24459999999999998</v>
      </c>
    </row>
    <row r="75" spans="1:27" x14ac:dyDescent="0.25">
      <c r="A75" t="s">
        <v>14</v>
      </c>
      <c r="B75" t="s">
        <v>24</v>
      </c>
      <c r="C75" s="1">
        <v>42520</v>
      </c>
      <c r="D75" s="6">
        <v>41674</v>
      </c>
      <c r="E75" s="4">
        <f t="shared" ref="E75:E100" si="17">DATEDIF(D75, C75, "M")</f>
        <v>27</v>
      </c>
      <c r="F75" s="2"/>
      <c r="G75" s="3">
        <f>AVERAGE(F74:F76)</f>
        <v>219.5</v>
      </c>
      <c r="H75" s="4">
        <f t="shared" ref="H75:H81" si="18">G75-G74</f>
        <v>9.5</v>
      </c>
      <c r="I75" s="4">
        <f t="shared" ref="I75:I81" si="19">(H75/G74)*100</f>
        <v>4.5238095238095237</v>
      </c>
      <c r="J75">
        <v>3</v>
      </c>
      <c r="K75" s="4">
        <v>38.690201611539798</v>
      </c>
      <c r="L75" s="4">
        <v>37.638365753086397</v>
      </c>
      <c r="M75" s="4">
        <v>39.924997604938298</v>
      </c>
      <c r="N75" s="4">
        <f t="shared" si="16"/>
        <v>2.2866318518519009</v>
      </c>
      <c r="O75">
        <v>7.0018945649142204</v>
      </c>
      <c r="P75" s="4">
        <v>25.1251896806227</v>
      </c>
      <c r="Q75" s="4">
        <v>17.836691358024702</v>
      </c>
      <c r="R75" s="4">
        <v>34.762370370370398</v>
      </c>
      <c r="S75" s="4">
        <v>16.9256790123457</v>
      </c>
      <c r="T75" s="4">
        <v>54.6</v>
      </c>
      <c r="U75" s="4"/>
      <c r="W75" s="4"/>
      <c r="AA75" s="4">
        <v>0.27728888888888892</v>
      </c>
    </row>
    <row r="76" spans="1:27" x14ac:dyDescent="0.25">
      <c r="A76" t="s">
        <v>14</v>
      </c>
      <c r="B76" t="s">
        <v>24</v>
      </c>
      <c r="C76" s="1">
        <v>42583</v>
      </c>
      <c r="D76" s="6">
        <v>41674</v>
      </c>
      <c r="E76" s="4">
        <f t="shared" si="17"/>
        <v>29</v>
      </c>
      <c r="F76">
        <f>305-76</f>
        <v>229</v>
      </c>
      <c r="G76" s="3">
        <f>305-76</f>
        <v>229</v>
      </c>
      <c r="H76" s="4">
        <f t="shared" si="18"/>
        <v>9.5</v>
      </c>
      <c r="I76" s="4">
        <f t="shared" si="19"/>
        <v>4.3280182232346238</v>
      </c>
      <c r="J76">
        <v>2.875</v>
      </c>
      <c r="K76" s="4">
        <v>38.239531554800699</v>
      </c>
      <c r="L76" s="4">
        <v>36.762415130434803</v>
      </c>
      <c r="M76" s="4">
        <v>39.964719608695702</v>
      </c>
      <c r="N76" s="4">
        <f t="shared" si="16"/>
        <v>3.2023044782608991</v>
      </c>
      <c r="O76" s="4">
        <v>6.7705075225843503</v>
      </c>
      <c r="P76" s="4">
        <v>19.149532608695701</v>
      </c>
      <c r="Q76" s="4">
        <v>11.016782608695699</v>
      </c>
      <c r="R76" s="4">
        <v>29.297847826087001</v>
      </c>
      <c r="S76" s="4">
        <v>18.281065217391301</v>
      </c>
      <c r="T76" s="4">
        <v>0</v>
      </c>
      <c r="U76" s="4"/>
      <c r="W76" s="4">
        <v>3.98</v>
      </c>
      <c r="X76" s="4">
        <v>1.4</v>
      </c>
      <c r="Y76" s="4">
        <v>1.1932499999999999</v>
      </c>
      <c r="Z76" s="4">
        <v>0.44338</v>
      </c>
      <c r="AA76" s="4">
        <v>0.23230000000000003</v>
      </c>
    </row>
    <row r="77" spans="1:27" x14ac:dyDescent="0.25">
      <c r="A77" t="s">
        <v>14</v>
      </c>
      <c r="B77" t="s">
        <v>24</v>
      </c>
      <c r="C77" s="1">
        <v>42646</v>
      </c>
      <c r="D77" s="6">
        <v>41674</v>
      </c>
      <c r="E77" s="4">
        <f t="shared" si="17"/>
        <v>31</v>
      </c>
      <c r="F77">
        <f>298-70</f>
        <v>228</v>
      </c>
      <c r="G77" s="3">
        <f>298-70</f>
        <v>228</v>
      </c>
      <c r="H77" s="4">
        <f t="shared" si="18"/>
        <v>-1</v>
      </c>
      <c r="I77" s="4">
        <f t="shared" si="19"/>
        <v>-0.43668122270742354</v>
      </c>
      <c r="J77">
        <v>2.375</v>
      </c>
      <c r="K77" s="4">
        <v>38.443267427437597</v>
      </c>
      <c r="L77" s="4">
        <v>37.028288163265302</v>
      </c>
      <c r="M77" s="4">
        <v>39.936828693877601</v>
      </c>
      <c r="N77" s="4">
        <f t="shared" si="16"/>
        <v>2.9085405306122993</v>
      </c>
      <c r="O77" s="4">
        <v>7.93119115470666</v>
      </c>
      <c r="P77" s="4">
        <v>22.938100340136099</v>
      </c>
      <c r="Q77" s="4">
        <v>13.9858571428571</v>
      </c>
      <c r="R77" s="4">
        <v>33.606489795918399</v>
      </c>
      <c r="S77" s="4">
        <v>19.6206326530612</v>
      </c>
      <c r="T77" s="4">
        <v>2.4</v>
      </c>
      <c r="U77" s="4">
        <v>16.78</v>
      </c>
      <c r="V77" s="4">
        <v>7.34</v>
      </c>
      <c r="W77" s="4">
        <v>2.81</v>
      </c>
      <c r="X77" s="4">
        <v>0.89</v>
      </c>
      <c r="Y77" s="4">
        <v>0.81944000000000006</v>
      </c>
      <c r="Z77" s="4">
        <v>0.28558999999999996</v>
      </c>
      <c r="AA77" s="4">
        <v>0.17127499999999996</v>
      </c>
    </row>
    <row r="78" spans="1:27" x14ac:dyDescent="0.25">
      <c r="A78" t="s">
        <v>14</v>
      </c>
      <c r="B78" t="s">
        <v>24</v>
      </c>
      <c r="C78" s="1">
        <v>42710</v>
      </c>
      <c r="D78" s="6">
        <v>41674</v>
      </c>
      <c r="E78" s="4">
        <f t="shared" si="17"/>
        <v>34</v>
      </c>
      <c r="F78">
        <f>326-70</f>
        <v>256</v>
      </c>
      <c r="G78" s="3">
        <f>326-70</f>
        <v>256</v>
      </c>
      <c r="H78" s="4">
        <f t="shared" si="18"/>
        <v>28</v>
      </c>
      <c r="I78" s="4">
        <f t="shared" si="19"/>
        <v>12.280701754385964</v>
      </c>
      <c r="J78">
        <v>2.625</v>
      </c>
      <c r="K78" s="4">
        <v>38.289368579166698</v>
      </c>
      <c r="L78" s="4">
        <v>36.899747955555597</v>
      </c>
      <c r="M78" s="4">
        <v>39.773589822222199</v>
      </c>
      <c r="N78" s="4">
        <f t="shared" si="16"/>
        <v>2.8738418666666021</v>
      </c>
      <c r="O78" s="4">
        <v>10.475776237397801</v>
      </c>
      <c r="P78" s="4">
        <v>26.7561111111111</v>
      </c>
      <c r="Q78" s="4">
        <v>19.863333333333301</v>
      </c>
      <c r="R78" s="4">
        <v>35.377977777777801</v>
      </c>
      <c r="S78" s="4">
        <v>15.5146444444444</v>
      </c>
      <c r="T78" s="4">
        <v>31.2</v>
      </c>
      <c r="U78" s="4">
        <v>23.34</v>
      </c>
      <c r="V78" s="4">
        <v>3.06</v>
      </c>
      <c r="W78" s="4">
        <v>2.93</v>
      </c>
      <c r="X78" s="4">
        <v>0.73</v>
      </c>
      <c r="Y78" s="4">
        <v>0.83996000000000004</v>
      </c>
      <c r="Z78" s="4">
        <v>0.25044</v>
      </c>
      <c r="AA78" s="4">
        <v>0.18026</v>
      </c>
    </row>
    <row r="79" spans="1:27" x14ac:dyDescent="0.25">
      <c r="A79" t="s">
        <v>14</v>
      </c>
      <c r="B79" t="s">
        <v>24</v>
      </c>
      <c r="C79" s="1">
        <v>42795</v>
      </c>
      <c r="D79" s="6">
        <v>41674</v>
      </c>
      <c r="E79" s="4">
        <f t="shared" si="17"/>
        <v>36</v>
      </c>
      <c r="G79" s="3">
        <f>(($F$81-$F$78)/3) +G78</f>
        <v>304</v>
      </c>
      <c r="H79" s="4">
        <f t="shared" si="18"/>
        <v>48</v>
      </c>
      <c r="I79" s="4">
        <f t="shared" si="19"/>
        <v>18.75</v>
      </c>
      <c r="K79" s="4">
        <v>38.834622424447801</v>
      </c>
      <c r="L79" s="4">
        <v>37.891216963855399</v>
      </c>
      <c r="M79" s="4">
        <v>39.83831</v>
      </c>
      <c r="N79" s="4">
        <f t="shared" si="16"/>
        <v>1.9470930361446008</v>
      </c>
      <c r="O79" s="2"/>
      <c r="P79" s="4">
        <v>26.7615687751004</v>
      </c>
      <c r="Q79" s="4">
        <v>20.769421686746998</v>
      </c>
      <c r="R79" s="4">
        <v>34.686626506024098</v>
      </c>
      <c r="S79" s="4">
        <v>13.917204819277099</v>
      </c>
      <c r="T79" s="4">
        <v>369.8</v>
      </c>
      <c r="U79" s="4">
        <v>72.099999999999994</v>
      </c>
      <c r="V79" s="4">
        <v>9.4</v>
      </c>
      <c r="W79" s="4">
        <v>12.22</v>
      </c>
      <c r="X79" s="4">
        <v>2.96</v>
      </c>
      <c r="Y79" s="4">
        <v>3.26105</v>
      </c>
      <c r="Z79" s="4">
        <v>0.63415999999999995</v>
      </c>
      <c r="AA79" s="4">
        <v>0.53029999999999999</v>
      </c>
    </row>
    <row r="80" spans="1:27" x14ac:dyDescent="0.25">
      <c r="A80" t="s">
        <v>14</v>
      </c>
      <c r="B80" t="s">
        <v>24</v>
      </c>
      <c r="C80" s="1">
        <v>42887</v>
      </c>
      <c r="D80" s="6">
        <v>41674</v>
      </c>
      <c r="E80" s="4">
        <f t="shared" si="17"/>
        <v>39</v>
      </c>
      <c r="G80" s="3">
        <f>(($F$81-$F$78)/3) +G79</f>
        <v>352</v>
      </c>
      <c r="H80" s="4">
        <f t="shared" si="18"/>
        <v>48</v>
      </c>
      <c r="I80" s="4">
        <f t="shared" si="19"/>
        <v>15.789473684210526</v>
      </c>
      <c r="J80">
        <v>4.25</v>
      </c>
      <c r="K80" s="4">
        <v>38.783730271312301</v>
      </c>
      <c r="L80" s="4">
        <v>37.795932873563203</v>
      </c>
      <c r="M80" s="4">
        <v>39.852411172413802</v>
      </c>
      <c r="N80" s="4">
        <f t="shared" si="16"/>
        <v>2.0564782988505996</v>
      </c>
      <c r="O80" s="2"/>
      <c r="P80" s="4">
        <v>23.338535919540199</v>
      </c>
      <c r="Q80" s="4">
        <v>16.067333333333298</v>
      </c>
      <c r="R80" s="4">
        <v>33.816597701149398</v>
      </c>
      <c r="S80" s="4">
        <v>17.7492643678161</v>
      </c>
      <c r="T80" s="4">
        <v>131.6</v>
      </c>
      <c r="U80" s="4">
        <v>52.4</v>
      </c>
      <c r="V80" s="4">
        <v>9.1300000000000008</v>
      </c>
      <c r="W80" s="4">
        <v>9.33</v>
      </c>
      <c r="X80" s="4">
        <v>1.1299999999999999</v>
      </c>
      <c r="Y80" s="4">
        <v>2.6351900000000001</v>
      </c>
      <c r="Z80" s="4">
        <v>0.31968000000000002</v>
      </c>
      <c r="AA80" s="4">
        <v>0.68862500000000004</v>
      </c>
    </row>
    <row r="81" spans="1:27" x14ac:dyDescent="0.25">
      <c r="A81" t="s">
        <v>14</v>
      </c>
      <c r="B81" t="s">
        <v>24</v>
      </c>
      <c r="C81" s="1">
        <v>42948</v>
      </c>
      <c r="D81" s="6">
        <v>41674</v>
      </c>
      <c r="E81" s="4">
        <f t="shared" si="17"/>
        <v>41</v>
      </c>
      <c r="F81">
        <v>400</v>
      </c>
      <c r="G81" s="3">
        <v>400</v>
      </c>
      <c r="H81" s="4">
        <f t="shared" si="18"/>
        <v>48</v>
      </c>
      <c r="I81" s="4">
        <f t="shared" si="19"/>
        <v>13.636363636363635</v>
      </c>
      <c r="J81">
        <v>3.25</v>
      </c>
      <c r="K81" s="4">
        <v>38.477586270833299</v>
      </c>
      <c r="L81" s="4">
        <v>37.314135245282998</v>
      </c>
      <c r="M81" s="4">
        <v>39.682301584905701</v>
      </c>
      <c r="N81" s="4">
        <f t="shared" si="16"/>
        <v>2.3681663396227037</v>
      </c>
      <c r="O81" s="2"/>
      <c r="P81" s="4">
        <v>19.578744018321</v>
      </c>
      <c r="Q81" s="4">
        <v>10.532999999999999</v>
      </c>
      <c r="R81" s="4">
        <v>31.658509433962301</v>
      </c>
      <c r="S81" s="4">
        <v>21.1255094339623</v>
      </c>
      <c r="T81" s="4">
        <v>1.4</v>
      </c>
      <c r="U81" s="4"/>
      <c r="W81" s="4"/>
      <c r="AA81" s="4">
        <v>0.40872857142857139</v>
      </c>
    </row>
    <row r="82" spans="1:27" s="4" customFormat="1" x14ac:dyDescent="0.25">
      <c r="A82" s="4" t="s">
        <v>14</v>
      </c>
      <c r="B82" s="4" t="s">
        <v>24</v>
      </c>
      <c r="C82" s="1">
        <v>43025</v>
      </c>
      <c r="D82" s="6">
        <v>41674</v>
      </c>
      <c r="E82" s="4">
        <f t="shared" si="17"/>
        <v>44</v>
      </c>
      <c r="G82" s="3"/>
      <c r="K82" s="4">
        <v>38.3305469907095</v>
      </c>
      <c r="L82" s="4">
        <v>37.0091983783784</v>
      </c>
      <c r="M82" s="4">
        <v>39.640177837837797</v>
      </c>
      <c r="N82" s="4">
        <f t="shared" si="16"/>
        <v>2.6309794594593967</v>
      </c>
      <c r="O82" s="2"/>
      <c r="P82" s="4">
        <v>21.9875692567568</v>
      </c>
      <c r="Q82" s="4">
        <v>13.3952432432432</v>
      </c>
      <c r="R82" s="4">
        <v>32.264445945945901</v>
      </c>
      <c r="S82" s="4">
        <v>18.869202702702701</v>
      </c>
      <c r="T82" s="4">
        <v>46.4</v>
      </c>
      <c r="AA82" s="4">
        <v>0.29736666666666661</v>
      </c>
    </row>
    <row r="83" spans="1:27" x14ac:dyDescent="0.25">
      <c r="A83" t="s">
        <v>13</v>
      </c>
      <c r="B83" t="s">
        <v>24</v>
      </c>
      <c r="C83" s="1">
        <v>42431</v>
      </c>
      <c r="D83" s="6">
        <v>41710</v>
      </c>
      <c r="E83" s="4">
        <f t="shared" si="17"/>
        <v>23</v>
      </c>
      <c r="F83">
        <v>218</v>
      </c>
      <c r="G83" s="3">
        <v>218</v>
      </c>
      <c r="H83" s="4"/>
      <c r="J83">
        <v>2.75</v>
      </c>
      <c r="O83" s="4">
        <v>6.2949273390214504</v>
      </c>
      <c r="P83" s="4"/>
      <c r="Q83" s="4"/>
      <c r="R83" s="4"/>
      <c r="S83" s="4"/>
      <c r="T83" s="4"/>
      <c r="U83" s="4">
        <v>29.56</v>
      </c>
      <c r="V83" s="4">
        <v>8.93</v>
      </c>
      <c r="W83" s="4">
        <v>3.94</v>
      </c>
      <c r="X83" s="4">
        <v>1.58</v>
      </c>
      <c r="Y83" s="4">
        <v>1.1567000000000001</v>
      </c>
      <c r="Z83" s="4">
        <v>0.49786999999999998</v>
      </c>
      <c r="AA83" s="4">
        <v>0.24459999999999998</v>
      </c>
    </row>
    <row r="84" spans="1:27" x14ac:dyDescent="0.25">
      <c r="A84" t="s">
        <v>13</v>
      </c>
      <c r="B84" t="s">
        <v>24</v>
      </c>
      <c r="C84" s="1">
        <v>42520</v>
      </c>
      <c r="D84" s="6">
        <v>41710</v>
      </c>
      <c r="E84" s="4">
        <f t="shared" si="17"/>
        <v>26</v>
      </c>
      <c r="F84" s="2"/>
      <c r="G84" s="3">
        <f>AVERAGE(F83:F85)</f>
        <v>235.4</v>
      </c>
      <c r="H84" s="4">
        <f t="shared" ref="H84:H90" si="20">G84-G83</f>
        <v>17.400000000000006</v>
      </c>
      <c r="I84" s="4">
        <f t="shared" ref="I84:I90" si="21">(H84/G83)*100</f>
        <v>7.9816513761467922</v>
      </c>
      <c r="J84">
        <v>3.25</v>
      </c>
      <c r="K84" s="4">
        <v>38.514869835090899</v>
      </c>
      <c r="L84" s="4">
        <v>37.2432818148148</v>
      </c>
      <c r="M84" s="4">
        <v>39.884267283950599</v>
      </c>
      <c r="N84" s="4">
        <f t="shared" si="16"/>
        <v>2.6409854691357992</v>
      </c>
      <c r="O84" s="4">
        <v>6.4299764785429803</v>
      </c>
      <c r="P84" s="4">
        <v>25.1251896806227</v>
      </c>
      <c r="Q84" s="4">
        <v>17.836691358024702</v>
      </c>
      <c r="R84" s="4">
        <v>34.762370370370398</v>
      </c>
      <c r="S84" s="4">
        <v>16.9256790123457</v>
      </c>
      <c r="T84" s="4">
        <v>54.6</v>
      </c>
      <c r="U84" s="4"/>
      <c r="W84" s="4"/>
      <c r="AA84" s="4">
        <v>0.27728888888888892</v>
      </c>
    </row>
    <row r="85" spans="1:27" x14ac:dyDescent="0.25">
      <c r="A85" t="s">
        <v>13</v>
      </c>
      <c r="B85" t="s">
        <v>24</v>
      </c>
      <c r="C85" s="1">
        <v>42583</v>
      </c>
      <c r="D85" s="6">
        <v>41710</v>
      </c>
      <c r="E85" s="4">
        <f t="shared" si="17"/>
        <v>28</v>
      </c>
      <c r="F85">
        <f>328.8-76</f>
        <v>252.8</v>
      </c>
      <c r="G85" s="3">
        <f>328.8-76</f>
        <v>252.8</v>
      </c>
      <c r="H85" s="4">
        <f t="shared" si="20"/>
        <v>17.400000000000006</v>
      </c>
      <c r="I85" s="4">
        <f t="shared" si="21"/>
        <v>7.391673746813936</v>
      </c>
      <c r="J85">
        <v>3.375</v>
      </c>
      <c r="K85" s="4">
        <v>38.082345129755403</v>
      </c>
      <c r="L85" s="4">
        <v>36.383440717391302</v>
      </c>
      <c r="M85" s="4">
        <v>39.811444152173898</v>
      </c>
      <c r="N85" s="4">
        <f t="shared" si="16"/>
        <v>3.4280034347825961</v>
      </c>
      <c r="O85" s="4">
        <v>7.76478577387289</v>
      </c>
      <c r="P85" s="4">
        <v>19.149532608695701</v>
      </c>
      <c r="Q85" s="4">
        <v>11.016782608695699</v>
      </c>
      <c r="R85" s="4">
        <v>29.297847826087001</v>
      </c>
      <c r="S85" s="4">
        <v>18.281065217391301</v>
      </c>
      <c r="T85" s="4">
        <v>0</v>
      </c>
      <c r="U85" s="4"/>
      <c r="W85" s="4">
        <v>3.98</v>
      </c>
      <c r="X85" s="4">
        <v>1.4</v>
      </c>
      <c r="Y85" s="4">
        <v>1.1932499999999999</v>
      </c>
      <c r="Z85" s="4">
        <v>0.44338</v>
      </c>
      <c r="AA85" s="4">
        <v>0.23230000000000003</v>
      </c>
    </row>
    <row r="86" spans="1:27" x14ac:dyDescent="0.25">
      <c r="A86" t="s">
        <v>13</v>
      </c>
      <c r="B86" t="s">
        <v>24</v>
      </c>
      <c r="C86" s="1">
        <v>42646</v>
      </c>
      <c r="D86" s="6">
        <v>41710</v>
      </c>
      <c r="E86" s="4">
        <f t="shared" si="17"/>
        <v>30</v>
      </c>
      <c r="F86">
        <f>302.5-70</f>
        <v>232.5</v>
      </c>
      <c r="G86" s="3">
        <f>302.5-70</f>
        <v>232.5</v>
      </c>
      <c r="H86" s="4">
        <f t="shared" si="20"/>
        <v>-20.300000000000011</v>
      </c>
      <c r="I86" s="4">
        <f t="shared" si="21"/>
        <v>-8.0300632911392444</v>
      </c>
      <c r="J86">
        <v>2.875</v>
      </c>
      <c r="K86" s="4">
        <v>38.335607065192697</v>
      </c>
      <c r="L86" s="4">
        <v>36.673996081632701</v>
      </c>
      <c r="M86" s="4">
        <v>40.002909020408197</v>
      </c>
      <c r="N86" s="4">
        <f t="shared" si="16"/>
        <v>3.3289129387754954</v>
      </c>
      <c r="O86" s="4">
        <v>7.9083764528715204</v>
      </c>
      <c r="P86" s="4">
        <v>22.938100340136099</v>
      </c>
      <c r="Q86" s="4">
        <v>13.9858571428571</v>
      </c>
      <c r="R86" s="4">
        <v>33.606489795918399</v>
      </c>
      <c r="S86" s="4">
        <v>19.6206326530612</v>
      </c>
      <c r="T86" s="4">
        <v>2.4</v>
      </c>
      <c r="U86" s="4">
        <v>16.78</v>
      </c>
      <c r="V86" s="4">
        <v>7.34</v>
      </c>
      <c r="W86" s="4">
        <v>2.81</v>
      </c>
      <c r="X86" s="4">
        <v>0.89</v>
      </c>
      <c r="Y86" s="4">
        <v>0.81944000000000006</v>
      </c>
      <c r="Z86" s="4">
        <v>0.28558999999999996</v>
      </c>
      <c r="AA86" s="4">
        <v>0.17127499999999996</v>
      </c>
    </row>
    <row r="87" spans="1:27" x14ac:dyDescent="0.25">
      <c r="A87" t="s">
        <v>13</v>
      </c>
      <c r="B87" t="s">
        <v>24</v>
      </c>
      <c r="C87" s="1">
        <v>42710</v>
      </c>
      <c r="D87" s="6">
        <v>41710</v>
      </c>
      <c r="E87" s="4">
        <f t="shared" si="17"/>
        <v>32</v>
      </c>
      <c r="F87">
        <f>330-70</f>
        <v>260</v>
      </c>
      <c r="G87" s="3">
        <f>330-70</f>
        <v>260</v>
      </c>
      <c r="H87" s="4">
        <f t="shared" si="20"/>
        <v>27.5</v>
      </c>
      <c r="I87" s="4">
        <f t="shared" si="21"/>
        <v>11.827956989247312</v>
      </c>
      <c r="J87">
        <v>2.625</v>
      </c>
      <c r="K87" s="4">
        <v>38.3807353578704</v>
      </c>
      <c r="L87" s="4">
        <v>36.896086533333303</v>
      </c>
      <c r="M87" s="4">
        <v>39.805741177777797</v>
      </c>
      <c r="N87" s="4">
        <f t="shared" si="16"/>
        <v>2.909654644444494</v>
      </c>
      <c r="O87" s="4">
        <v>11.962169710655401</v>
      </c>
      <c r="P87" s="4">
        <v>26.7561111111111</v>
      </c>
      <c r="Q87" s="4">
        <v>19.863333333333301</v>
      </c>
      <c r="R87" s="4">
        <v>35.377977777777801</v>
      </c>
      <c r="S87" s="4">
        <v>15.5146444444444</v>
      </c>
      <c r="T87" s="4">
        <v>31.2</v>
      </c>
      <c r="U87" s="4">
        <v>23.34</v>
      </c>
      <c r="V87" s="4">
        <v>3.06</v>
      </c>
      <c r="W87" s="4">
        <v>2.93</v>
      </c>
      <c r="X87" s="4">
        <v>0.73</v>
      </c>
      <c r="Y87" s="4">
        <v>0.83996000000000004</v>
      </c>
      <c r="Z87" s="4">
        <v>0.25044</v>
      </c>
      <c r="AA87" s="4">
        <v>0.18026</v>
      </c>
    </row>
    <row r="88" spans="1:27" x14ac:dyDescent="0.25">
      <c r="A88" t="s">
        <v>13</v>
      </c>
      <c r="B88" t="s">
        <v>24</v>
      </c>
      <c r="C88" s="1">
        <v>42795</v>
      </c>
      <c r="D88" s="6">
        <v>41710</v>
      </c>
      <c r="E88" s="4">
        <f t="shared" si="17"/>
        <v>35</v>
      </c>
      <c r="F88">
        <f>374-70.5</f>
        <v>303.5</v>
      </c>
      <c r="G88" s="3">
        <f>374-70.5</f>
        <v>303.5</v>
      </c>
      <c r="H88" s="4">
        <f t="shared" si="20"/>
        <v>43.5</v>
      </c>
      <c r="I88" s="4">
        <f t="shared" si="21"/>
        <v>16.73076923076923</v>
      </c>
      <c r="J88">
        <v>3.75</v>
      </c>
      <c r="K88" s="4">
        <v>38.749740804760698</v>
      </c>
      <c r="L88" s="4">
        <v>37.763409915662599</v>
      </c>
      <c r="M88" s="4">
        <v>39.812952240963902</v>
      </c>
      <c r="N88" s="4">
        <f t="shared" si="16"/>
        <v>2.049542325301303</v>
      </c>
      <c r="O88" s="4">
        <v>11.189666444841601</v>
      </c>
      <c r="P88" s="4">
        <v>26.7615687751004</v>
      </c>
      <c r="Q88" s="4">
        <v>20.769421686746998</v>
      </c>
      <c r="R88" s="4">
        <v>34.686626506024098</v>
      </c>
      <c r="S88" s="4">
        <v>13.917204819277099</v>
      </c>
      <c r="T88" s="4">
        <v>369.8</v>
      </c>
      <c r="U88" s="4">
        <v>72.099999999999994</v>
      </c>
      <c r="V88" s="4">
        <v>9.4</v>
      </c>
      <c r="W88" s="4">
        <v>12.22</v>
      </c>
      <c r="X88" s="4">
        <v>2.96</v>
      </c>
      <c r="Y88" s="4">
        <v>3.26105</v>
      </c>
      <c r="Z88" s="4">
        <v>0.63415999999999995</v>
      </c>
      <c r="AA88" s="4">
        <v>0.53029999999999999</v>
      </c>
    </row>
    <row r="89" spans="1:27" x14ac:dyDescent="0.25">
      <c r="A89" t="s">
        <v>13</v>
      </c>
      <c r="B89" t="s">
        <v>24</v>
      </c>
      <c r="C89" s="1">
        <v>42887</v>
      </c>
      <c r="D89" s="6">
        <v>41710</v>
      </c>
      <c r="E89" s="4">
        <f t="shared" si="17"/>
        <v>38</v>
      </c>
      <c r="F89">
        <v>380</v>
      </c>
      <c r="G89" s="3">
        <v>380</v>
      </c>
      <c r="H89" s="4">
        <f t="shared" si="20"/>
        <v>76.5</v>
      </c>
      <c r="I89" s="4">
        <f t="shared" si="21"/>
        <v>25.205930807248766</v>
      </c>
      <c r="J89">
        <v>4</v>
      </c>
      <c r="K89" s="4">
        <v>38.710229862388303</v>
      </c>
      <c r="L89" s="4">
        <v>37.735630126436803</v>
      </c>
      <c r="M89" s="4">
        <v>39.769052103448303</v>
      </c>
      <c r="N89" s="4">
        <f t="shared" si="16"/>
        <v>2.0334219770114998</v>
      </c>
      <c r="O89" s="3">
        <v>12.0461426381121</v>
      </c>
      <c r="P89" s="4">
        <v>23.338535919540199</v>
      </c>
      <c r="Q89" s="4">
        <v>16.067333333333298</v>
      </c>
      <c r="R89" s="4">
        <v>33.816597701149398</v>
      </c>
      <c r="S89" s="4">
        <v>17.7492643678161</v>
      </c>
      <c r="T89" s="4">
        <v>131.6</v>
      </c>
      <c r="U89" s="4">
        <v>52.4</v>
      </c>
      <c r="V89" s="4">
        <v>9.1300000000000008</v>
      </c>
      <c r="W89" s="4">
        <v>9.33</v>
      </c>
      <c r="X89" s="4">
        <v>1.1299999999999999</v>
      </c>
      <c r="Y89" s="4">
        <v>2.6351900000000001</v>
      </c>
      <c r="Z89" s="4">
        <v>0.31968000000000002</v>
      </c>
      <c r="AA89" s="4">
        <v>0.68862500000000004</v>
      </c>
    </row>
    <row r="90" spans="1:27" x14ac:dyDescent="0.25">
      <c r="A90" t="s">
        <v>13</v>
      </c>
      <c r="B90" t="s">
        <v>24</v>
      </c>
      <c r="C90" s="1">
        <v>42948</v>
      </c>
      <c r="D90" s="6">
        <v>41710</v>
      </c>
      <c r="E90" s="4">
        <f t="shared" si="17"/>
        <v>40</v>
      </c>
      <c r="F90">
        <v>378</v>
      </c>
      <c r="G90" s="3">
        <v>378</v>
      </c>
      <c r="H90" s="4">
        <f t="shared" si="20"/>
        <v>-2</v>
      </c>
      <c r="I90" s="4">
        <f t="shared" si="21"/>
        <v>-0.52631578947368418</v>
      </c>
      <c r="J90">
        <v>3.375</v>
      </c>
      <c r="K90" s="4">
        <v>38.418824663915103</v>
      </c>
      <c r="L90" s="4">
        <v>37.128791792452802</v>
      </c>
      <c r="M90" s="4">
        <v>39.684545490566002</v>
      </c>
      <c r="N90" s="4">
        <f t="shared" si="16"/>
        <v>2.5557536981132003</v>
      </c>
      <c r="O90" s="3">
        <v>14.394757406795801</v>
      </c>
      <c r="P90" s="4">
        <v>19.578744018321</v>
      </c>
      <c r="Q90" s="4">
        <v>10.532999999999999</v>
      </c>
      <c r="R90" s="4">
        <v>31.658509433962301</v>
      </c>
      <c r="S90" s="4">
        <v>21.1255094339623</v>
      </c>
      <c r="T90" s="4">
        <v>1.4</v>
      </c>
      <c r="U90" s="4"/>
      <c r="W90" s="4"/>
      <c r="AA90" s="4">
        <v>0.40872857142857139</v>
      </c>
    </row>
    <row r="91" spans="1:27" s="4" customFormat="1" x14ac:dyDescent="0.25">
      <c r="A91" s="4" t="s">
        <v>13</v>
      </c>
      <c r="B91" s="4" t="s">
        <v>24</v>
      </c>
      <c r="C91" s="1">
        <v>43025</v>
      </c>
      <c r="D91" s="6">
        <v>41710</v>
      </c>
      <c r="E91" s="4">
        <f t="shared" si="17"/>
        <v>43</v>
      </c>
      <c r="G91" s="3"/>
      <c r="K91" s="4">
        <v>38.302403219059997</v>
      </c>
      <c r="L91" s="4">
        <v>36.881747660714304</v>
      </c>
      <c r="M91" s="4">
        <v>39.717743821428598</v>
      </c>
      <c r="N91" s="4">
        <f t="shared" si="16"/>
        <v>2.8359961607142949</v>
      </c>
      <c r="O91" s="3"/>
      <c r="P91" s="4">
        <v>21.9875692567568</v>
      </c>
      <c r="Q91" s="4">
        <v>13.3952432432432</v>
      </c>
      <c r="R91" s="4">
        <v>32.264445945945901</v>
      </c>
      <c r="S91" s="4">
        <v>18.869202702702701</v>
      </c>
      <c r="T91" s="4">
        <v>46.4</v>
      </c>
      <c r="AA91" s="4">
        <v>0.29736666666666661</v>
      </c>
    </row>
    <row r="92" spans="1:27" x14ac:dyDescent="0.25">
      <c r="A92" t="s">
        <v>17</v>
      </c>
      <c r="B92" t="s">
        <v>23</v>
      </c>
      <c r="C92" s="1">
        <v>42431</v>
      </c>
      <c r="D92" s="6">
        <v>41947</v>
      </c>
      <c r="E92" s="4">
        <f>DATEDIF(D92, C92, "M")</f>
        <v>15</v>
      </c>
      <c r="F92">
        <v>218</v>
      </c>
      <c r="G92" s="3">
        <v>218</v>
      </c>
      <c r="H92" s="4"/>
      <c r="J92">
        <v>3.75</v>
      </c>
      <c r="O92" s="4">
        <v>6.7243802760569897</v>
      </c>
      <c r="P92" s="4"/>
      <c r="Q92" s="4"/>
      <c r="R92" s="4"/>
      <c r="S92" s="4"/>
      <c r="T92" s="4"/>
      <c r="U92" s="4">
        <v>29.56</v>
      </c>
      <c r="V92" s="4">
        <v>8.93</v>
      </c>
      <c r="W92" s="4">
        <v>3.94</v>
      </c>
      <c r="X92" s="4">
        <v>1.58</v>
      </c>
      <c r="Y92" s="4">
        <v>1.1567000000000001</v>
      </c>
      <c r="Z92" s="4">
        <v>0.49786999999999998</v>
      </c>
      <c r="AA92" s="4">
        <v>0.24459999999999998</v>
      </c>
    </row>
    <row r="93" spans="1:27" x14ac:dyDescent="0.25">
      <c r="A93" t="s">
        <v>17</v>
      </c>
      <c r="B93" t="s">
        <v>23</v>
      </c>
      <c r="C93" s="1">
        <v>42520</v>
      </c>
      <c r="D93" s="6">
        <v>41947</v>
      </c>
      <c r="E93" s="4">
        <f t="shared" si="17"/>
        <v>18</v>
      </c>
      <c r="F93" s="2"/>
      <c r="G93" s="3">
        <f>AVERAGE(F92:F94)</f>
        <v>217.5</v>
      </c>
      <c r="H93" s="4">
        <f t="shared" ref="H93:H99" si="22">G93-G92</f>
        <v>-0.5</v>
      </c>
      <c r="I93" s="4">
        <f t="shared" ref="I93:I99" si="23">(H93/G92)*100</f>
        <v>-0.22935779816513763</v>
      </c>
      <c r="J93">
        <v>3.25</v>
      </c>
      <c r="K93" s="4">
        <v>38.159301651663199</v>
      </c>
      <c r="L93" s="4">
        <v>37.1397065679012</v>
      </c>
      <c r="M93" s="4">
        <v>39.288018259259303</v>
      </c>
      <c r="N93" s="4">
        <f t="shared" si="16"/>
        <v>2.1483116913581028</v>
      </c>
      <c r="O93" s="4">
        <v>8.2250659343740704</v>
      </c>
      <c r="P93" s="4">
        <v>25.1251896806227</v>
      </c>
      <c r="Q93" s="4">
        <v>17.836691358024702</v>
      </c>
      <c r="R93" s="4">
        <v>34.762370370370398</v>
      </c>
      <c r="S93" s="4">
        <v>16.9256790123457</v>
      </c>
      <c r="T93" s="4">
        <v>54.6</v>
      </c>
      <c r="U93" s="4"/>
      <c r="W93" s="4"/>
      <c r="AA93" s="4">
        <v>0.27728888888888892</v>
      </c>
    </row>
    <row r="94" spans="1:27" x14ac:dyDescent="0.25">
      <c r="A94" t="s">
        <v>17</v>
      </c>
      <c r="B94" t="s">
        <v>23</v>
      </c>
      <c r="C94" s="1">
        <v>42583</v>
      </c>
      <c r="D94" s="6">
        <v>41947</v>
      </c>
      <c r="E94" s="4">
        <f t="shared" si="17"/>
        <v>20</v>
      </c>
      <c r="F94">
        <f>293-76</f>
        <v>217</v>
      </c>
      <c r="G94" s="3">
        <f>293-76</f>
        <v>217</v>
      </c>
      <c r="H94" s="4">
        <f t="shared" si="22"/>
        <v>-0.5</v>
      </c>
      <c r="I94" s="4">
        <f t="shared" si="23"/>
        <v>-0.22988505747126436</v>
      </c>
      <c r="J94">
        <v>3.25</v>
      </c>
      <c r="K94" s="4">
        <v>37.732221167119597</v>
      </c>
      <c r="L94" s="4">
        <v>36.212761108695702</v>
      </c>
      <c r="M94" s="4">
        <v>39.489591913043498</v>
      </c>
      <c r="N94" s="4">
        <f t="shared" si="16"/>
        <v>3.2768308043477958</v>
      </c>
      <c r="O94" s="4">
        <v>8.0017365335494492</v>
      </c>
      <c r="P94" s="4">
        <v>19.149532608695701</v>
      </c>
      <c r="Q94" s="4">
        <v>11.016782608695699</v>
      </c>
      <c r="R94" s="4">
        <v>29.297847826087001</v>
      </c>
      <c r="S94" s="4">
        <v>18.281065217391301</v>
      </c>
      <c r="T94" s="4">
        <v>0</v>
      </c>
      <c r="U94" s="4"/>
      <c r="W94" s="4">
        <v>3.98</v>
      </c>
      <c r="X94" s="4">
        <v>1.4</v>
      </c>
      <c r="Y94" s="4">
        <v>1.1932499999999999</v>
      </c>
      <c r="Z94" s="4">
        <v>0.44338</v>
      </c>
      <c r="AA94" s="4">
        <v>0.23230000000000003</v>
      </c>
    </row>
    <row r="95" spans="1:27" x14ac:dyDescent="0.25">
      <c r="A95" t="s">
        <v>17</v>
      </c>
      <c r="B95" t="s">
        <v>23</v>
      </c>
      <c r="C95" s="1">
        <v>42646</v>
      </c>
      <c r="D95" s="6">
        <v>41947</v>
      </c>
      <c r="E95" s="4">
        <f t="shared" si="17"/>
        <v>22</v>
      </c>
      <c r="F95">
        <f>300-70</f>
        <v>230</v>
      </c>
      <c r="G95" s="3">
        <f>300-70</f>
        <v>230</v>
      </c>
      <c r="H95" s="4">
        <f t="shared" si="22"/>
        <v>13</v>
      </c>
      <c r="I95" s="4">
        <f t="shared" si="23"/>
        <v>5.9907834101382482</v>
      </c>
      <c r="J95">
        <v>2.375</v>
      </c>
      <c r="K95" s="4">
        <v>37.860152238166101</v>
      </c>
      <c r="L95" s="4">
        <v>36.426778612244902</v>
      </c>
      <c r="M95" s="4">
        <v>39.3663754897959</v>
      </c>
      <c r="N95" s="4">
        <f t="shared" si="16"/>
        <v>2.9395968775509971</v>
      </c>
      <c r="O95" s="4">
        <v>7.5890127465369597</v>
      </c>
      <c r="P95" s="4">
        <v>22.938100340136099</v>
      </c>
      <c r="Q95" s="4">
        <v>13.9858571428571</v>
      </c>
      <c r="R95" s="4">
        <v>33.606489795918399</v>
      </c>
      <c r="S95" s="4">
        <v>19.6206326530612</v>
      </c>
      <c r="T95" s="4">
        <v>2.4</v>
      </c>
      <c r="U95" s="4">
        <v>16.78</v>
      </c>
      <c r="V95" s="4">
        <v>7.34</v>
      </c>
      <c r="W95" s="4">
        <v>2.81</v>
      </c>
      <c r="X95" s="4">
        <v>0.89</v>
      </c>
      <c r="Y95" s="4">
        <v>0.81944000000000006</v>
      </c>
      <c r="Z95" s="4">
        <v>0.28558999999999996</v>
      </c>
      <c r="AA95" s="4">
        <v>0.17127499999999996</v>
      </c>
    </row>
    <row r="96" spans="1:27" x14ac:dyDescent="0.25">
      <c r="A96" t="s">
        <v>17</v>
      </c>
      <c r="B96" t="s">
        <v>23</v>
      </c>
      <c r="C96" s="1">
        <v>42710</v>
      </c>
      <c r="D96" s="6">
        <v>41947</v>
      </c>
      <c r="E96" s="4">
        <f t="shared" si="17"/>
        <v>25</v>
      </c>
      <c r="F96">
        <f>302-70</f>
        <v>232</v>
      </c>
      <c r="G96" s="3">
        <f>302-70</f>
        <v>232</v>
      </c>
      <c r="H96" s="4">
        <f t="shared" si="22"/>
        <v>2</v>
      </c>
      <c r="I96" s="4">
        <f t="shared" si="23"/>
        <v>0.86956521739130432</v>
      </c>
      <c r="J96">
        <v>2.875</v>
      </c>
      <c r="K96" s="4">
        <v>37.754560108642004</v>
      </c>
      <c r="L96" s="4">
        <v>36.256822866666703</v>
      </c>
      <c r="M96" s="4">
        <v>39.314956955555601</v>
      </c>
      <c r="N96" s="4">
        <f t="shared" si="16"/>
        <v>3.0581340888888988</v>
      </c>
      <c r="O96" s="2"/>
      <c r="P96" s="4">
        <v>26.7561111111111</v>
      </c>
      <c r="Q96" s="4">
        <v>19.863333333333301</v>
      </c>
      <c r="R96" s="4">
        <v>35.377977777777801</v>
      </c>
      <c r="S96" s="4">
        <v>15.5146444444444</v>
      </c>
      <c r="T96" s="4">
        <v>31.2</v>
      </c>
      <c r="U96" s="4">
        <v>23.34</v>
      </c>
      <c r="V96" s="4">
        <v>3.06</v>
      </c>
      <c r="W96" s="4">
        <v>2.93</v>
      </c>
      <c r="X96" s="4">
        <v>0.73</v>
      </c>
      <c r="Y96" s="4">
        <v>0.83996000000000004</v>
      </c>
      <c r="Z96" s="4">
        <v>0.25044</v>
      </c>
      <c r="AA96" s="4">
        <v>0.18026</v>
      </c>
    </row>
    <row r="97" spans="1:27" x14ac:dyDescent="0.25">
      <c r="A97" t="s">
        <v>17</v>
      </c>
      <c r="B97" t="s">
        <v>23</v>
      </c>
      <c r="C97" s="1">
        <v>42795</v>
      </c>
      <c r="D97" s="6">
        <v>41947</v>
      </c>
      <c r="E97" s="4">
        <f t="shared" si="17"/>
        <v>27</v>
      </c>
      <c r="F97">
        <f>360-70.5</f>
        <v>289.5</v>
      </c>
      <c r="G97" s="3">
        <f>360-70.5</f>
        <v>289.5</v>
      </c>
      <c r="H97" s="4">
        <f t="shared" si="22"/>
        <v>57.5</v>
      </c>
      <c r="I97" s="4">
        <f t="shared" si="23"/>
        <v>24.78448275862069</v>
      </c>
      <c r="J97">
        <v>3.875</v>
      </c>
      <c r="K97" s="4">
        <v>38.253458930764701</v>
      </c>
      <c r="L97" s="4">
        <v>37.152168939759001</v>
      </c>
      <c r="M97" s="4">
        <v>39.396171614457799</v>
      </c>
      <c r="N97" s="4">
        <f t="shared" si="16"/>
        <v>2.2440026746987982</v>
      </c>
      <c r="O97" s="4">
        <v>9.2252639194680803</v>
      </c>
      <c r="P97" s="4">
        <v>26.7615687751004</v>
      </c>
      <c r="Q97" s="4">
        <v>20.769421686746998</v>
      </c>
      <c r="R97" s="4">
        <v>34.686626506024098</v>
      </c>
      <c r="S97" s="4">
        <v>13.917204819277099</v>
      </c>
      <c r="T97" s="4">
        <v>369.8</v>
      </c>
      <c r="U97" s="4">
        <v>72.099999999999994</v>
      </c>
      <c r="V97" s="4">
        <v>9.4</v>
      </c>
      <c r="W97" s="4">
        <v>12.22</v>
      </c>
      <c r="X97" s="4">
        <v>2.96</v>
      </c>
      <c r="Y97" s="4">
        <v>3.26105</v>
      </c>
      <c r="Z97" s="4">
        <v>0.63415999999999995</v>
      </c>
      <c r="AA97" s="4">
        <v>0.53029999999999999</v>
      </c>
    </row>
    <row r="98" spans="1:27" x14ac:dyDescent="0.25">
      <c r="A98" t="s">
        <v>17</v>
      </c>
      <c r="B98" t="s">
        <v>23</v>
      </c>
      <c r="C98" s="1">
        <v>42887</v>
      </c>
      <c r="D98" s="6">
        <v>41947</v>
      </c>
      <c r="E98" s="4">
        <f t="shared" si="17"/>
        <v>30</v>
      </c>
      <c r="F98">
        <v>358</v>
      </c>
      <c r="G98" s="3">
        <v>358</v>
      </c>
      <c r="H98" s="4">
        <f t="shared" si="22"/>
        <v>68.5</v>
      </c>
      <c r="I98" s="4">
        <f t="shared" si="23"/>
        <v>23.661485319516405</v>
      </c>
      <c r="J98">
        <v>4.5</v>
      </c>
      <c r="K98" s="4">
        <v>38.183132560865999</v>
      </c>
      <c r="L98" s="4">
        <v>37.216938376470601</v>
      </c>
      <c r="M98" s="4">
        <v>39.233827423529398</v>
      </c>
      <c r="N98" s="4">
        <f t="shared" si="16"/>
        <v>2.0168890470587968</v>
      </c>
      <c r="O98" s="3">
        <v>12.768188502209799</v>
      </c>
      <c r="P98" s="4">
        <v>23.338535919540199</v>
      </c>
      <c r="Q98" s="4">
        <v>16.067333333333298</v>
      </c>
      <c r="R98" s="4">
        <v>33.816597701149398</v>
      </c>
      <c r="S98" s="4">
        <v>17.7492643678161</v>
      </c>
      <c r="T98" s="4">
        <v>131.6</v>
      </c>
      <c r="U98" s="4">
        <v>52.4</v>
      </c>
      <c r="V98" s="4">
        <v>9.1300000000000008</v>
      </c>
      <c r="W98" s="4">
        <v>9.33</v>
      </c>
      <c r="X98" s="4">
        <v>1.1299999999999999</v>
      </c>
      <c r="Y98" s="4">
        <v>2.6351900000000001</v>
      </c>
      <c r="Z98" s="4">
        <v>0.31968000000000002</v>
      </c>
      <c r="AA98" s="4">
        <v>0.68862500000000004</v>
      </c>
    </row>
    <row r="99" spans="1:27" x14ac:dyDescent="0.25">
      <c r="A99" t="s">
        <v>17</v>
      </c>
      <c r="B99" t="s">
        <v>23</v>
      </c>
      <c r="C99" s="1">
        <v>42948</v>
      </c>
      <c r="D99" s="6">
        <v>41947</v>
      </c>
      <c r="E99" s="4">
        <f t="shared" si="17"/>
        <v>32</v>
      </c>
      <c r="F99">
        <v>342</v>
      </c>
      <c r="G99" s="3">
        <v>342</v>
      </c>
      <c r="H99" s="4">
        <f t="shared" si="22"/>
        <v>-16</v>
      </c>
      <c r="I99" s="4">
        <f t="shared" si="23"/>
        <v>-4.4692737430167595</v>
      </c>
      <c r="J99">
        <v>3.375</v>
      </c>
      <c r="K99" s="4">
        <v>37.778606639675097</v>
      </c>
      <c r="L99" s="4">
        <v>36.525838396226398</v>
      </c>
      <c r="M99" s="4">
        <v>39.066003018867903</v>
      </c>
      <c r="N99" s="4">
        <f t="shared" si="16"/>
        <v>2.5401646226415053</v>
      </c>
      <c r="O99" s="2"/>
      <c r="P99" s="4">
        <v>19.578744018321</v>
      </c>
      <c r="Q99" s="4">
        <v>10.532999999999999</v>
      </c>
      <c r="R99" s="4">
        <v>31.658509433962301</v>
      </c>
      <c r="S99" s="4">
        <v>21.1255094339623</v>
      </c>
      <c r="T99" s="4">
        <v>1.4</v>
      </c>
      <c r="U99" s="4"/>
      <c r="W99" s="4"/>
      <c r="AA99" s="4">
        <v>0.40872857142857139</v>
      </c>
    </row>
    <row r="100" spans="1:27" x14ac:dyDescent="0.25">
      <c r="A100" t="s">
        <v>17</v>
      </c>
      <c r="B100" t="s">
        <v>23</v>
      </c>
      <c r="C100" s="1">
        <v>43025</v>
      </c>
      <c r="D100" s="6">
        <v>41947</v>
      </c>
      <c r="E100" s="4">
        <f t="shared" si="17"/>
        <v>35</v>
      </c>
      <c r="H100" s="4"/>
      <c r="K100" s="4">
        <v>37.729035345532999</v>
      </c>
      <c r="L100" s="4">
        <v>36.361980391891898</v>
      </c>
      <c r="M100" s="4">
        <v>39.039973432432397</v>
      </c>
      <c r="N100" s="4">
        <f t="shared" si="16"/>
        <v>2.6779930405404997</v>
      </c>
      <c r="P100" s="4">
        <v>21.9875692567568</v>
      </c>
      <c r="Q100" s="4">
        <v>13.3952432432432</v>
      </c>
      <c r="R100" s="4">
        <v>32.264445945945901</v>
      </c>
      <c r="S100" s="4">
        <v>18.869202702702701</v>
      </c>
      <c r="T100" s="4">
        <v>46.4</v>
      </c>
      <c r="U100" s="4"/>
      <c r="W100" s="4"/>
      <c r="AA100" s="4">
        <v>0.29736666666666661</v>
      </c>
    </row>
    <row r="101" spans="1:27" x14ac:dyDescent="0.25">
      <c r="AA101" s="4"/>
    </row>
    <row r="102" spans="1:27" x14ac:dyDescent="0.25">
      <c r="AA102" s="4"/>
    </row>
    <row r="103" spans="1:27" x14ac:dyDescent="0.25">
      <c r="AA103" s="4"/>
    </row>
    <row r="104" spans="1:27" x14ac:dyDescent="0.25">
      <c r="AA104" s="4"/>
    </row>
    <row r="105" spans="1:27" x14ac:dyDescent="0.25">
      <c r="AA105" s="4"/>
    </row>
    <row r="106" spans="1:27" x14ac:dyDescent="0.25">
      <c r="AA106" s="4"/>
    </row>
    <row r="107" spans="1:27" x14ac:dyDescent="0.25">
      <c r="AA107" s="4"/>
    </row>
    <row r="108" spans="1:27" x14ac:dyDescent="0.25">
      <c r="AA108" s="4"/>
    </row>
    <row r="109" spans="1:27" x14ac:dyDescent="0.25">
      <c r="AA109" s="4"/>
    </row>
  </sheetData>
  <sortState xmlns:xlrd2="http://schemas.microsoft.com/office/spreadsheetml/2017/richdata2" ref="A2:AB99">
    <sortCondition ref="A2:A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253A-43BE-4B57-AE4E-D37C72C72E82}">
  <dimension ref="A1:AB2"/>
  <sheetViews>
    <sheetView tabSelected="1" workbookViewId="0">
      <selection activeCell="A3" sqref="A3"/>
    </sheetView>
  </sheetViews>
  <sheetFormatPr defaultRowHeight="15" x14ac:dyDescent="0.25"/>
  <cols>
    <col min="7" max="7" width="12.140625" bestFit="1" customWidth="1"/>
  </cols>
  <sheetData>
    <row r="1" spans="1:28" s="4" customFormat="1" x14ac:dyDescent="0.25">
      <c r="A1" s="4" t="s">
        <v>0</v>
      </c>
      <c r="B1" s="4" t="s">
        <v>1</v>
      </c>
      <c r="C1" s="4" t="s">
        <v>4</v>
      </c>
      <c r="D1" s="5" t="s">
        <v>27</v>
      </c>
      <c r="E1" s="4" t="s">
        <v>2</v>
      </c>
      <c r="F1" s="3" t="s">
        <v>28</v>
      </c>
      <c r="G1" s="3" t="s">
        <v>41</v>
      </c>
      <c r="H1" s="4" t="s">
        <v>29</v>
      </c>
      <c r="I1" s="4" t="s">
        <v>37</v>
      </c>
      <c r="J1" s="4" t="s">
        <v>30</v>
      </c>
      <c r="K1" s="4" t="s">
        <v>5</v>
      </c>
      <c r="L1" s="4" t="s">
        <v>6</v>
      </c>
      <c r="M1" s="4" t="s">
        <v>7</v>
      </c>
      <c r="N1" s="4" t="s">
        <v>47</v>
      </c>
      <c r="O1" s="4" t="s">
        <v>31</v>
      </c>
      <c r="P1" s="4" t="s">
        <v>8</v>
      </c>
      <c r="Q1" s="4" t="s">
        <v>9</v>
      </c>
      <c r="R1" s="4" t="s">
        <v>10</v>
      </c>
      <c r="S1" s="4" t="s">
        <v>48</v>
      </c>
      <c r="T1" s="4" t="s">
        <v>11</v>
      </c>
      <c r="U1" s="4" t="s">
        <v>32</v>
      </c>
      <c r="V1" s="4" t="s">
        <v>38</v>
      </c>
      <c r="W1" s="4" t="s">
        <v>25</v>
      </c>
      <c r="X1" s="4" t="s">
        <v>39</v>
      </c>
      <c r="Y1" s="4" t="s">
        <v>36</v>
      </c>
      <c r="Z1" s="4" t="s">
        <v>40</v>
      </c>
      <c r="AA1" s="4" t="s">
        <v>12</v>
      </c>
      <c r="AB1" s="2"/>
    </row>
    <row r="2" spans="1:28" s="8" customFormat="1" x14ac:dyDescent="0.25">
      <c r="A2" s="8" t="s">
        <v>42</v>
      </c>
      <c r="B2" s="8" t="s">
        <v>66</v>
      </c>
      <c r="C2" s="8" t="s">
        <v>43</v>
      </c>
      <c r="D2" s="9" t="s">
        <v>33</v>
      </c>
      <c r="E2" s="8" t="s">
        <v>34</v>
      </c>
      <c r="F2" s="10" t="s">
        <v>44</v>
      </c>
      <c r="G2" s="8" t="s">
        <v>45</v>
      </c>
      <c r="H2" s="8" t="s">
        <v>3</v>
      </c>
      <c r="I2" s="8" t="s">
        <v>46</v>
      </c>
      <c r="J2" s="8" t="s">
        <v>35</v>
      </c>
      <c r="K2" s="8" t="s">
        <v>49</v>
      </c>
      <c r="L2" s="8" t="s">
        <v>50</v>
      </c>
      <c r="M2" s="8" t="s">
        <v>51</v>
      </c>
      <c r="N2" s="8" t="s">
        <v>52</v>
      </c>
      <c r="O2" s="8" t="s">
        <v>53</v>
      </c>
      <c r="P2" s="8" t="s">
        <v>54</v>
      </c>
      <c r="Q2" s="8" t="s">
        <v>55</v>
      </c>
      <c r="R2" s="8" t="s">
        <v>56</v>
      </c>
      <c r="S2" s="8" t="s">
        <v>57</v>
      </c>
      <c r="T2" s="8" t="s">
        <v>58</v>
      </c>
      <c r="U2" s="7" t="s">
        <v>59</v>
      </c>
      <c r="V2" s="7" t="s">
        <v>60</v>
      </c>
      <c r="W2" s="7" t="s">
        <v>61</v>
      </c>
      <c r="X2" s="7" t="s">
        <v>62</v>
      </c>
      <c r="Y2" s="7" t="s">
        <v>63</v>
      </c>
      <c r="Z2" s="7" t="s">
        <v>64</v>
      </c>
      <c r="AA2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2022-06-08T10:27:21Z</dcterms:modified>
</cp:coreProperties>
</file>