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jansingh/Downloads/1st year MBA /Term 3/BVSM/BVSM trent /"/>
    </mc:Choice>
  </mc:AlternateContent>
  <xr:revisionPtr revIDLastSave="0" documentId="13_ncr:1_{8151F9A2-B172-A94C-9AEF-422CC153AF2C}" xr6:coauthVersionLast="47" xr6:coauthVersionMax="47" xr10:uidLastSave="{00000000-0000-0000-0000-000000000000}"/>
  <bookViews>
    <workbookView xWindow="0" yWindow="780" windowWidth="34200" windowHeight="19720" activeTab="2" xr2:uid="{7D140D98-07A8-664F-A463-26B0406BFF6A}"/>
  </bookViews>
  <sheets>
    <sheet name="Sheet2" sheetId="3" r:id="rId1"/>
    <sheet name="Sheet3" sheetId="4" r:id="rId2"/>
    <sheet name="Sheet4" sheetId="5" r:id="rId3"/>
    <sheet name="Sheet1" sheetId="6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6" l="1"/>
  <c r="F21" i="6"/>
  <c r="F18" i="6"/>
  <c r="F19" i="6"/>
  <c r="F17" i="6"/>
  <c r="F16" i="6"/>
  <c r="F14" i="6" l="1"/>
  <c r="I8" i="6"/>
  <c r="I7" i="6"/>
  <c r="I6" i="6"/>
  <c r="I5" i="6"/>
  <c r="I3" i="6"/>
  <c r="I4" i="6" s="1"/>
  <c r="M26" i="4"/>
  <c r="K4" i="5"/>
  <c r="H26" i="4"/>
  <c r="I26" i="4"/>
  <c r="J26" i="4"/>
  <c r="K26" i="4"/>
  <c r="G26" i="4"/>
  <c r="K15" i="5"/>
  <c r="F15" i="6" l="1"/>
  <c r="I10" i="6"/>
  <c r="F13" i="6" s="1"/>
  <c r="C39" i="4"/>
  <c r="D39" i="4"/>
  <c r="E39" i="4"/>
  <c r="F39" i="4"/>
  <c r="B39" i="4"/>
  <c r="H19" i="4"/>
  <c r="I19" i="4"/>
  <c r="J19" i="4"/>
  <c r="K19" i="4"/>
  <c r="G19" i="4"/>
  <c r="H18" i="4"/>
  <c r="I18" i="4"/>
  <c r="J18" i="4"/>
  <c r="K18" i="4"/>
  <c r="G18" i="4"/>
  <c r="H17" i="4"/>
  <c r="I17" i="4"/>
  <c r="J17" i="4"/>
  <c r="K17" i="4"/>
  <c r="G17" i="4"/>
  <c r="H16" i="4"/>
  <c r="I16" i="4"/>
  <c r="J16" i="4"/>
  <c r="K16" i="4"/>
  <c r="G16" i="4"/>
  <c r="H15" i="4"/>
  <c r="I15" i="4"/>
  <c r="J15" i="4"/>
  <c r="K15" i="4"/>
  <c r="G15" i="4"/>
  <c r="O16" i="4"/>
  <c r="O17" i="4"/>
  <c r="O18" i="4"/>
  <c r="O19" i="4"/>
  <c r="O15" i="4"/>
  <c r="H20" i="4"/>
  <c r="I20" i="4"/>
  <c r="J20" i="4"/>
  <c r="K20" i="4"/>
  <c r="G20" i="4"/>
  <c r="H25" i="4"/>
  <c r="I25" i="4"/>
  <c r="J25" i="4"/>
  <c r="K25" i="4"/>
  <c r="G25" i="4"/>
  <c r="D26" i="5"/>
  <c r="E26" i="5"/>
  <c r="F26" i="5"/>
  <c r="C26" i="5"/>
  <c r="H13" i="4"/>
  <c r="I13" i="4"/>
  <c r="J13" i="4"/>
  <c r="K13" i="4"/>
  <c r="G13" i="4"/>
  <c r="H11" i="4"/>
  <c r="I11" i="4"/>
  <c r="J11" i="4" s="1"/>
  <c r="K11" i="4" s="1"/>
  <c r="G11" i="4"/>
  <c r="K11" i="5" l="1"/>
  <c r="K21" i="3"/>
  <c r="K35" i="4"/>
  <c r="K28" i="4"/>
  <c r="K12" i="4"/>
  <c r="K10" i="4"/>
  <c r="K9" i="4"/>
  <c r="K8" i="4"/>
  <c r="C13" i="5"/>
  <c r="H10" i="4"/>
  <c r="I10" i="4"/>
  <c r="J10" i="4"/>
  <c r="H9" i="4"/>
  <c r="I9" i="4"/>
  <c r="J9" i="4"/>
  <c r="K17" i="5"/>
  <c r="C40" i="4"/>
  <c r="D40" i="4"/>
  <c r="E40" i="4"/>
  <c r="F40" i="4"/>
  <c r="B40" i="4"/>
  <c r="K10" i="5"/>
  <c r="K9" i="5"/>
  <c r="K8" i="5"/>
  <c r="K6" i="5"/>
  <c r="D29" i="5"/>
  <c r="E29" i="5"/>
  <c r="F29" i="5"/>
  <c r="C29" i="5"/>
  <c r="D28" i="5"/>
  <c r="E28" i="5"/>
  <c r="F28" i="5"/>
  <c r="C28" i="5"/>
  <c r="D25" i="5"/>
  <c r="E25" i="5"/>
  <c r="F25" i="5"/>
  <c r="C25" i="5"/>
  <c r="D24" i="5"/>
  <c r="E24" i="5"/>
  <c r="F24" i="5"/>
  <c r="C24" i="5"/>
  <c r="H21" i="3"/>
  <c r="I21" i="3"/>
  <c r="J21" i="3"/>
  <c r="G21" i="3"/>
  <c r="Q21" i="3"/>
  <c r="D10" i="5"/>
  <c r="E10" i="5"/>
  <c r="F10" i="5"/>
  <c r="C10" i="5"/>
  <c r="E9" i="5"/>
  <c r="F9" i="5"/>
  <c r="D9" i="5"/>
  <c r="D8" i="5"/>
  <c r="E8" i="5"/>
  <c r="F8" i="5"/>
  <c r="C8" i="5"/>
  <c r="D3" i="5"/>
  <c r="E3" i="5"/>
  <c r="F3" i="5"/>
  <c r="C3" i="5"/>
  <c r="H28" i="4"/>
  <c r="I28" i="4"/>
  <c r="J28" i="4"/>
  <c r="K13" i="5" l="1"/>
  <c r="H35" i="3"/>
  <c r="I35" i="3"/>
  <c r="J35" i="3"/>
  <c r="K35" i="3"/>
  <c r="G35" i="3"/>
  <c r="G35" i="4"/>
  <c r="K27" i="4"/>
  <c r="K29" i="4" s="1"/>
  <c r="H14" i="3"/>
  <c r="I14" i="3" s="1"/>
  <c r="J14" i="3" s="1"/>
  <c r="K14" i="3" s="1"/>
  <c r="G14" i="3"/>
  <c r="AF5" i="3"/>
  <c r="AH6" i="3"/>
  <c r="AI6" i="3"/>
  <c r="AJ6" i="3" s="1"/>
  <c r="AG6" i="3"/>
  <c r="M28" i="4"/>
  <c r="AL7" i="3" s="1"/>
  <c r="AF7" i="3" s="1"/>
  <c r="H30" i="3"/>
  <c r="I30" i="3"/>
  <c r="J30" i="3"/>
  <c r="K30" i="3"/>
  <c r="G30" i="3"/>
  <c r="H18" i="3"/>
  <c r="I18" i="3"/>
  <c r="J18" i="3"/>
  <c r="K18" i="3"/>
  <c r="G18" i="3"/>
  <c r="H17" i="3"/>
  <c r="I17" i="3"/>
  <c r="J17" i="3"/>
  <c r="K17" i="3"/>
  <c r="G17" i="3"/>
  <c r="H16" i="3"/>
  <c r="I16" i="3"/>
  <c r="J16" i="3"/>
  <c r="K16" i="3"/>
  <c r="G16" i="3"/>
  <c r="L24" i="3"/>
  <c r="G19" i="3"/>
  <c r="G23" i="3"/>
  <c r="H23" i="3"/>
  <c r="I23" i="3"/>
  <c r="J23" i="3"/>
  <c r="K23" i="3"/>
  <c r="H22" i="3"/>
  <c r="I22" i="3"/>
  <c r="J22" i="3"/>
  <c r="K22" i="3"/>
  <c r="G22" i="3"/>
  <c r="H29" i="3"/>
  <c r="I29" i="3"/>
  <c r="J29" i="3"/>
  <c r="K29" i="3"/>
  <c r="G29" i="3"/>
  <c r="H10" i="3"/>
  <c r="I10" i="3"/>
  <c r="J10" i="3"/>
  <c r="K10" i="3"/>
  <c r="G10" i="3"/>
  <c r="H9" i="3"/>
  <c r="I9" i="3"/>
  <c r="J9" i="3"/>
  <c r="K9" i="3"/>
  <c r="G9" i="3"/>
  <c r="G12" i="4"/>
  <c r="H12" i="4" s="1"/>
  <c r="I12" i="4" s="1"/>
  <c r="J12" i="4" s="1"/>
  <c r="G8" i="4"/>
  <c r="H19" i="3"/>
  <c r="I19" i="3"/>
  <c r="K19" i="3"/>
  <c r="J19" i="3"/>
  <c r="K30" i="4" l="1"/>
  <c r="H8" i="4"/>
  <c r="AF8" i="3"/>
  <c r="AG5" i="3" s="1"/>
  <c r="AG7" i="3" s="1"/>
  <c r="G28" i="4"/>
  <c r="I8" i="4"/>
  <c r="G9" i="4"/>
  <c r="G10" i="4" s="1"/>
  <c r="H35" i="4"/>
  <c r="K31" i="4" l="1"/>
  <c r="K36" i="4" s="1"/>
  <c r="K37" i="4" s="1"/>
  <c r="K32" i="4" s="1"/>
  <c r="K33" i="4" s="1"/>
  <c r="AG8" i="3"/>
  <c r="H28" i="3" s="1"/>
  <c r="G28" i="3"/>
  <c r="G31" i="3" s="1"/>
  <c r="E13" i="5"/>
  <c r="J8" i="4"/>
  <c r="I35" i="4"/>
  <c r="G27" i="4" l="1"/>
  <c r="G29" i="4" s="1"/>
  <c r="C2" i="5"/>
  <c r="C4" i="5" s="1"/>
  <c r="D13" i="5"/>
  <c r="AH5" i="3"/>
  <c r="AH7" i="3" s="1"/>
  <c r="F13" i="5"/>
  <c r="J35" i="4"/>
  <c r="H31" i="3"/>
  <c r="G30" i="4" l="1"/>
  <c r="G31" i="4" s="1"/>
  <c r="C5" i="5"/>
  <c r="C6" i="5" s="1"/>
  <c r="H27" i="4"/>
  <c r="H29" i="4" s="1"/>
  <c r="AH8" i="3"/>
  <c r="AI5" i="3" s="1"/>
  <c r="AI7" i="3" s="1"/>
  <c r="AI8" i="3"/>
  <c r="AJ5" i="3" s="1"/>
  <c r="C23" i="5" l="1"/>
  <c r="G36" i="4"/>
  <c r="H30" i="4"/>
  <c r="H31" i="4"/>
  <c r="D23" i="5" s="1"/>
  <c r="G37" i="4"/>
  <c r="G32" i="4" s="1"/>
  <c r="G33" i="4" s="1"/>
  <c r="G11" i="3" s="1"/>
  <c r="G12" i="3" s="1"/>
  <c r="G13" i="3" s="1"/>
  <c r="G40" i="4" s="1"/>
  <c r="E2" i="5"/>
  <c r="E4" i="5" s="1"/>
  <c r="D2" i="5"/>
  <c r="D4" i="5" s="1"/>
  <c r="F2" i="5"/>
  <c r="F4" i="5" s="1"/>
  <c r="F5" i="5" s="1"/>
  <c r="F6" i="5" s="1"/>
  <c r="E5" i="5"/>
  <c r="E6" i="5" s="1"/>
  <c r="I27" i="4"/>
  <c r="I29" i="4" s="1"/>
  <c r="I28" i="3"/>
  <c r="I31" i="3" s="1"/>
  <c r="J27" i="4"/>
  <c r="J29" i="4" s="1"/>
  <c r="J28" i="3"/>
  <c r="J31" i="3" s="1"/>
  <c r="AJ7" i="3"/>
  <c r="AJ8" i="3" s="1"/>
  <c r="K28" i="3" s="1"/>
  <c r="K31" i="3" s="1"/>
  <c r="J30" i="4" l="1"/>
  <c r="J31" i="4"/>
  <c r="F23" i="5" s="1"/>
  <c r="I30" i="4"/>
  <c r="I31" i="4" s="1"/>
  <c r="H36" i="4"/>
  <c r="H37" i="4" s="1"/>
  <c r="H32" i="4" s="1"/>
  <c r="H33" i="4" s="1"/>
  <c r="H11" i="3" s="1"/>
  <c r="H12" i="3" s="1"/>
  <c r="H13" i="3" s="1"/>
  <c r="H40" i="4" s="1"/>
  <c r="D5" i="5"/>
  <c r="D6" i="5" s="1"/>
  <c r="E23" i="5" l="1"/>
  <c r="I36" i="4"/>
  <c r="I37" i="4" s="1"/>
  <c r="I32" i="4" s="1"/>
  <c r="I33" i="4" s="1"/>
  <c r="I11" i="3"/>
  <c r="I12" i="3" s="1"/>
  <c r="I13" i="3" s="1"/>
  <c r="I40" i="4" s="1"/>
  <c r="J36" i="4"/>
  <c r="G24" i="3"/>
  <c r="G25" i="3" s="1"/>
  <c r="G45" i="3" s="1"/>
  <c r="H24" i="3"/>
  <c r="H25" i="3" s="1"/>
  <c r="H45" i="3" s="1"/>
  <c r="J37" i="4" l="1"/>
  <c r="J32" i="4" s="1"/>
  <c r="J33" i="4" s="1"/>
  <c r="J11" i="3" s="1"/>
  <c r="I24" i="3"/>
  <c r="I25" i="3" s="1"/>
  <c r="I45" i="3" s="1"/>
  <c r="J12" i="3" l="1"/>
  <c r="J13" i="3" s="1"/>
  <c r="J40" i="4" s="1"/>
  <c r="K14" i="5" s="1"/>
  <c r="K16" i="5" s="1"/>
  <c r="K11" i="3"/>
  <c r="K12" i="3" s="1"/>
  <c r="K13" i="3" s="1"/>
  <c r="K40" i="4" s="1"/>
  <c r="J24" i="3"/>
  <c r="J25" i="3" s="1"/>
  <c r="J45" i="3" s="1"/>
  <c r="K24" i="3"/>
  <c r="C15" i="5" l="1"/>
  <c r="C32" i="5"/>
  <c r="C17" i="5"/>
  <c r="C18" i="5" s="1"/>
  <c r="K25" i="3"/>
  <c r="K45" i="3" s="1"/>
  <c r="F20" i="6" l="1"/>
  <c r="G32" i="3"/>
  <c r="H32" i="3"/>
  <c r="I32" i="3"/>
  <c r="J32" i="3"/>
  <c r="K32" i="3"/>
  <c r="G33" i="3"/>
  <c r="H33" i="3"/>
  <c r="I33" i="3"/>
  <c r="J33" i="3"/>
  <c r="K33" i="3"/>
  <c r="G36" i="3"/>
  <c r="H36" i="3"/>
  <c r="I36" i="3"/>
  <c r="J36" i="3"/>
  <c r="K36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C7" i="5"/>
  <c r="D7" i="5"/>
  <c r="E7" i="5"/>
  <c r="F7" i="5"/>
  <c r="C11" i="5"/>
  <c r="D11" i="5"/>
  <c r="E11" i="5"/>
  <c r="F11" i="5"/>
  <c r="C12" i="5"/>
  <c r="D12" i="5"/>
  <c r="E12" i="5"/>
  <c r="F12" i="5"/>
  <c r="C14" i="5"/>
  <c r="D14" i="5"/>
  <c r="E14" i="5"/>
  <c r="F14" i="5"/>
  <c r="C16" i="5"/>
  <c r="K18" i="5"/>
  <c r="C19" i="5"/>
  <c r="K19" i="5"/>
  <c r="C27" i="5"/>
  <c r="D27" i="5"/>
  <c r="E27" i="5"/>
  <c r="F27" i="5"/>
  <c r="C30" i="5"/>
  <c r="D30" i="5"/>
  <c r="E30" i="5"/>
  <c r="F30" i="5"/>
  <c r="C31" i="5"/>
  <c r="D31" i="5"/>
  <c r="E31" i="5"/>
  <c r="F31" i="5"/>
  <c r="C33" i="5"/>
</calcChain>
</file>

<file path=xl/sharedStrings.xml><?xml version="1.0" encoding="utf-8"?>
<sst xmlns="http://schemas.openxmlformats.org/spreadsheetml/2006/main" count="232" uniqueCount="180">
  <si>
    <t>12 mths</t>
  </si>
  <si>
    <t>Trent</t>
  </si>
  <si>
    <t>Consolidated Balance Sheet </t>
  </si>
  <si>
    <t>------------------- in Rs. Cr. -------------------</t>
  </si>
  <si>
    <t>Mar 24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</si>
  <si>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</si>
  <si>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</si>
  <si>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</si>
  <si>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</si>
  <si>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</si>
  <si>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</si>
  <si>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</si>
  <si>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Minority Interest</t>
  </si>
  <si>
    <t>NON-CURRENT LIABILITIES</t>
  </si>
  <si>
    <t>Long Term Borrowings</t>
  </si>
  <si>
    <t>Other Long Term Liabilities</t>
  </si>
  <si>
    <t>Long Term Provisions</t>
  </si>
  <si>
    <t>Total Non-Current Liabilities</t>
  </si>
  <si>
    <t>CURRENT LIABILITIES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</si>
  <si>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</si>
  <si>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</si>
  <si>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</si>
  <si>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</si>
  <si>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</si>
  <si>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</si>
  <si>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</si>
  <si>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</si>
  <si>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</si>
  <si>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</si>
  <si>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</si>
  <si>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</si>
  <si>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</si>
  <si>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</si>
  <si>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</si>
  <si>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</si>
  <si>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</si>
  <si>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</si>
  <si>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</si>
  <si>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</si>
  <si>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</si>
  <si>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</si>
  <si>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</si>
  <si>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</si>
  <si>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</si>
  <si>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Consolidated Profit &amp; Loss account </t>
  </si>
  <si>
    <t>Mar '24</t>
  </si>
  <si>
    <t>Mar '23</t>
  </si>
  <si>
    <t>Mar '22</t>
  </si>
  <si>
    <t>Mar '21</t>
  </si>
  <si>
    <t>Mar '20</t>
  </si>
  <si>
    <t>Income</t>
  </si>
  <si>
    <t>Sales Turnover</t>
  </si>
  <si>
    <t>Excise Duty</t>
  </si>
  <si>
    <t>Net Sales</t>
  </si>
  <si>
    <t>Other Income</t>
  </si>
  <si>
    <t>Stock Adjustments</t>
  </si>
  <si>
    <t>Total Income</t>
  </si>
  <si>
    <t>Expenditure</t>
  </si>
  <si>
    <t>Raw Materials</t>
  </si>
  <si>
    <t>Power &amp; Fuel Cost</t>
  </si>
  <si>
    <t>Employee Cost</t>
  </si>
  <si>
    <t>Selling and Admin Expenses</t>
  </si>
  <si>
    <t>Miscellaneous Expenses</t>
  </si>
  <si>
    <t>Total Expenses</t>
  </si>
  <si>
    <t>Interest</t>
  </si>
  <si>
    <t>PBDT</t>
  </si>
  <si>
    <t>Depreciation</t>
  </si>
  <si>
    <t>Profit Before Tax</t>
  </si>
  <si>
    <t>Tax</t>
  </si>
  <si>
    <t>Reported Net Profit</t>
  </si>
  <si>
    <t>Equity Dividend</t>
  </si>
  <si>
    <t>Per share data (annualised)</t>
  </si>
  <si>
    <t>Earning Per Share (Rs)</t>
  </si>
  <si>
    <t>Mar '25</t>
  </si>
  <si>
    <t>Mar '26</t>
  </si>
  <si>
    <t>Mar '27</t>
  </si>
  <si>
    <t>Mar '28</t>
  </si>
  <si>
    <t>Mar '29</t>
  </si>
  <si>
    <t xml:space="preserve">assumptions </t>
  </si>
  <si>
    <t xml:space="preserve">elara capital </t>
  </si>
  <si>
    <t xml:space="preserve">constant ratio as per last year </t>
  </si>
  <si>
    <t>Mar 25</t>
  </si>
  <si>
    <t>Mar 26</t>
  </si>
  <si>
    <t>Mar 27</t>
  </si>
  <si>
    <t>Mar 28</t>
  </si>
  <si>
    <t>Mar 29</t>
  </si>
  <si>
    <t>EBITDA</t>
  </si>
  <si>
    <t xml:space="preserve">assumption </t>
  </si>
  <si>
    <t>785 cr</t>
  </si>
  <si>
    <t xml:space="preserve">const % pf total non current assets </t>
  </si>
  <si>
    <t xml:space="preserve">constant </t>
  </si>
  <si>
    <t>30% of capex (785)</t>
  </si>
  <si>
    <t xml:space="preserve">constant as past year </t>
  </si>
  <si>
    <t xml:space="preserve">note 1 </t>
  </si>
  <si>
    <t xml:space="preserve">capex </t>
  </si>
  <si>
    <t>depreciation</t>
  </si>
  <si>
    <t xml:space="preserve">net tangible assets </t>
  </si>
  <si>
    <t xml:space="preserve">25 new stores of westside of 9cr &amp; 140 new stores of zudio of 4cr each year </t>
  </si>
  <si>
    <t xml:space="preserve">balancing figure 	</t>
  </si>
  <si>
    <t xml:space="preserve">at the start of year </t>
  </si>
  <si>
    <t xml:space="preserve">dividend </t>
  </si>
  <si>
    <t xml:space="preserve">transfer to reserves </t>
  </si>
  <si>
    <t>const ratio of total current assets  (2023-2024 )</t>
  </si>
  <si>
    <t>constant ratio of total non current assets (2023-24)</t>
  </si>
  <si>
    <t>Firm free cash flow</t>
  </si>
  <si>
    <t>Assumptions</t>
  </si>
  <si>
    <t>Cost of capital</t>
  </si>
  <si>
    <t>Kd</t>
  </si>
  <si>
    <t>Less: taxes</t>
  </si>
  <si>
    <t>Rf</t>
  </si>
  <si>
    <t>NOPAT</t>
  </si>
  <si>
    <t>Rm-Rf</t>
  </si>
  <si>
    <t>Increase (Decrease) in deferred taxes</t>
  </si>
  <si>
    <t>Add: Depreciation</t>
  </si>
  <si>
    <t>Less: CAPEX</t>
  </si>
  <si>
    <t>Less: Other NCA</t>
  </si>
  <si>
    <t xml:space="preserve">Firm beta </t>
  </si>
  <si>
    <t>Less: Change in NWC</t>
  </si>
  <si>
    <t>Ke</t>
  </si>
  <si>
    <t>FCF from operations</t>
  </si>
  <si>
    <t>D/E</t>
  </si>
  <si>
    <t>Non-op.income after tax</t>
  </si>
  <si>
    <t>WACC</t>
  </si>
  <si>
    <t>FCF for investors</t>
  </si>
  <si>
    <t>ROC</t>
  </si>
  <si>
    <t>TV of EBIT</t>
  </si>
  <si>
    <t>Stable growth rate</t>
  </si>
  <si>
    <t>PV of FCF (firm value)</t>
  </si>
  <si>
    <t>Reinvestment in stable growth</t>
  </si>
  <si>
    <t>TV of Non.op. income</t>
  </si>
  <si>
    <t>PV of non.op. income</t>
  </si>
  <si>
    <t>Enterprise value</t>
  </si>
  <si>
    <t>Equity free cash flow</t>
  </si>
  <si>
    <t>Net Income</t>
  </si>
  <si>
    <t>Increase/decrease in long-term liabilities</t>
  </si>
  <si>
    <t>Increase/decrease in short-term debt</t>
  </si>
  <si>
    <t>Increase/decrease in deferred IT</t>
  </si>
  <si>
    <t>Equity FCF</t>
  </si>
  <si>
    <t>TV</t>
  </si>
  <si>
    <t>Equity Value</t>
  </si>
  <si>
    <t>corporate tax %</t>
  </si>
  <si>
    <t>less : Depreciation</t>
  </si>
  <si>
    <t xml:space="preserve">EBIT </t>
  </si>
  <si>
    <t xml:space="preserve">constant ratio of 2023-24 trade payble to raw materials </t>
  </si>
  <si>
    <t xml:space="preserve">10 yr bond </t>
  </si>
  <si>
    <t>Rm</t>
  </si>
  <si>
    <t xml:space="preserve">equity weight </t>
  </si>
  <si>
    <t>debt weight</t>
  </si>
  <si>
    <t xml:space="preserve">tax rate </t>
  </si>
  <si>
    <t xml:space="preserve">No. of shares outstanding </t>
  </si>
  <si>
    <t>Shares in issue (crores)</t>
  </si>
  <si>
    <t xml:space="preserve">estimated price per share </t>
  </si>
  <si>
    <t xml:space="preserve">Price per share </t>
  </si>
  <si>
    <t>P/E ratio</t>
  </si>
  <si>
    <t xml:space="preserve">Return on capital </t>
  </si>
  <si>
    <t xml:space="preserve">taken from company annual report </t>
  </si>
  <si>
    <t xml:space="preserve">free cash flow per share </t>
  </si>
  <si>
    <t>relative  valuation</t>
  </si>
  <si>
    <t xml:space="preserve">market capitalisation </t>
  </si>
  <si>
    <t xml:space="preserve">shares outstanding </t>
  </si>
  <si>
    <t xml:space="preserve">cr </t>
  </si>
  <si>
    <t xml:space="preserve">debt </t>
  </si>
  <si>
    <t xml:space="preserve">debt to equity </t>
  </si>
  <si>
    <t xml:space="preserve">cash reserves </t>
  </si>
  <si>
    <t xml:space="preserve">enterprise value </t>
  </si>
  <si>
    <t xml:space="preserve">ebitda </t>
  </si>
  <si>
    <t xml:space="preserve">Trent </t>
  </si>
  <si>
    <t xml:space="preserve">industry </t>
  </si>
  <si>
    <t xml:space="preserve">EV/EBITDA </t>
  </si>
  <si>
    <t xml:space="preserve">DMART </t>
  </si>
  <si>
    <t xml:space="preserve">PE RATIO </t>
  </si>
  <si>
    <t xml:space="preserve">PRICE TO SALES </t>
  </si>
  <si>
    <t xml:space="preserve">EPS </t>
  </si>
  <si>
    <t xml:space="preserve">ROC </t>
  </si>
  <si>
    <t xml:space="preserve">ROA </t>
  </si>
  <si>
    <t xml:space="preserve">OPM </t>
  </si>
  <si>
    <t>price to free cash flow (per share )</t>
  </si>
  <si>
    <t xml:space="preserve">interest coverage </t>
  </si>
  <si>
    <t xml:space="preserve">current ratio </t>
  </si>
  <si>
    <t xml:space="preserve">closing price per share on nse as on 1 April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</si>
</sst>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#,##0.000"/>
    <numFmt numFmtId="166" formatCode="0.0%"/>
    <numFmt numFmtId="167" formatCode="0.000%"/>
  </numFmts>
  <fonts count="34" x14ac:knownFonts="1">
    <font>
      <sz val="12"/>
      <color theme="1"/>
      <name val="Aptos Narrow"/>
      <family val="2"/>
      <scheme val="minor"/>
    </font>
    <font>
      <sz val="8"/>
      <name val="Aptos Narrow"/>
      <family val="2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b/>
      <sz val="11"/>
      <color rgb="FF0000FF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5"/>
      <color rgb="FF22222F"/>
      <name val="Arial"/>
      <family val="2"/>
    </font>
    <font>
      <sz val="14"/>
      <color rgb="FF22222F"/>
      <name val="Arial"/>
      <family val="2"/>
    </font>
    <font>
      <sz val="13"/>
      <color rgb="FF606F7B"/>
      <name val="Arial"/>
      <family val="2"/>
    </font>
    <font>
      <sz val="15"/>
      <color theme="1"/>
      <name val="Arial"/>
      <family val="2"/>
    </font>
    <font>
      <sz val="12"/>
      <color rgb="FF22222F"/>
      <name val="Arial"/>
      <family val="2"/>
    </font>
    <font>
      <sz val="13"/>
      <color rgb="FF606F7B"/>
      <name val="Arial"/>
      <family val="2"/>
    </font>
    <font>
      <sz val="12"/>
      <color rgb="FF22222F"/>
      <name val="Arial"/>
      <family val="2"/>
    </font>
    <font>
      <sz val="15"/>
      <color rgb="FF22222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4">
    <xf numFmtId="0" fontId="0" fillId="0" borderId="0" xfId="0"/>
    <xf numFmtId="4" fontId="0" fillId="0" borderId="0" xfId="0" applyNumberFormat="1"/>
    <xf numFmtId="0" fontId="19" fillId="0" borderId="0" xfId="0" applyFont="1"/>
    <xf numFmtId="9" fontId="0" fillId="0" borderId="0" xfId="0" applyNumberFormat="1"/>
    <xf numFmtId="4" fontId="19" fillId="0" borderId="0" xfId="0" applyNumberFormat="1" applyFont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2" fillId="0" borderId="0" xfId="0" applyFont="1"/>
    <xf numFmtId="4" fontId="22" fillId="0" borderId="0" xfId="0" applyNumberFormat="1" applyFont="1"/>
    <xf numFmtId="4" fontId="20" fillId="0" borderId="0" xfId="0" applyNumberFormat="1" applyFont="1"/>
    <xf numFmtId="9" fontId="2" fillId="0" borderId="0" xfId="40" applyFont="1"/>
    <xf numFmtId="0" fontId="17" fillId="0" borderId="0" xfId="0" applyFont="1"/>
    <xf numFmtId="164" fontId="0" fillId="0" borderId="0" xfId="0" applyNumberFormat="1"/>
    <xf numFmtId="4" fontId="17" fillId="0" borderId="0" xfId="0" applyNumberFormat="1" applyFont="1"/>
    <xf numFmtId="166" fontId="2" fillId="0" borderId="0" xfId="40" applyNumberFormat="1" applyFont="1"/>
    <xf numFmtId="164" fontId="17" fillId="0" borderId="0" xfId="0" applyNumberFormat="1" applyFont="1"/>
    <xf numFmtId="165" fontId="0" fillId="0" borderId="0" xfId="0" applyNumberFormat="1"/>
    <xf numFmtId="164" fontId="19" fillId="0" borderId="0" xfId="0" applyNumberFormat="1" applyFont="1"/>
    <xf numFmtId="2" fontId="0" fillId="0" borderId="0" xfId="0" applyNumberFormat="1"/>
    <xf numFmtId="0" fontId="23" fillId="0" borderId="10" xfId="0" applyFont="1" applyBorder="1"/>
    <xf numFmtId="10" fontId="0" fillId="0" borderId="0" xfId="0" applyNumberFormat="1"/>
    <xf numFmtId="0" fontId="0" fillId="0" borderId="11" xfId="0" applyBorder="1"/>
    <xf numFmtId="0" fontId="24" fillId="0" borderId="0" xfId="0" applyFont="1"/>
    <xf numFmtId="166" fontId="0" fillId="0" borderId="0" xfId="40" applyNumberFormat="1" applyFont="1"/>
    <xf numFmtId="0" fontId="23" fillId="0" borderId="0" xfId="0" applyFont="1"/>
    <xf numFmtId="10" fontId="23" fillId="0" borderId="0" xfId="0" applyNumberFormat="1" applyFont="1"/>
    <xf numFmtId="0" fontId="25" fillId="0" borderId="11" xfId="0" applyFont="1" applyBorder="1"/>
    <xf numFmtId="17" fontId="23" fillId="0" borderId="10" xfId="0" applyNumberFormat="1" applyFont="1" applyBorder="1"/>
    <xf numFmtId="9" fontId="0" fillId="0" borderId="0" xfId="40" applyFont="1"/>
    <xf numFmtId="2" fontId="24" fillId="0" borderId="0" xfId="28" applyNumberFormat="1" applyFont="1"/>
    <xf numFmtId="166" fontId="0" fillId="0" borderId="0" xfId="0" applyNumberFormat="1"/>
    <xf numFmtId="167" fontId="0" fillId="0" borderId="0" xfId="40" applyNumberFormat="1" applyFont="1"/>
    <xf numFmtId="9" fontId="20" fillId="0" borderId="0" xfId="40" applyFont="1"/>
    <xf numFmtId="2" fontId="19" fillId="0" borderId="0" xfId="0" applyNumberFormat="1" applyFont="1"/>
    <xf numFmtId="0" fontId="26" fillId="0" borderId="0" xfId="0" applyFont="1"/>
    <xf numFmtId="1" fontId="0" fillId="0" borderId="0" xfId="0" applyNumberForma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165" fontId="33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 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53EF-5BF6-7644-BBC4-E941567353A5}">
  <dimension ref="A1:AO63"/>
  <sheetViews>
    <sheetView zoomScale="109" workbookViewId="0">
      <selection activeCell="P16" sqref="P16"/>
    </sheetView>
  </sheetViews>
  <sheetFormatPr baseColWidth="10" defaultRowHeight="16" x14ac:dyDescent="0.2"/>
  <cols>
    <col min="1" max="1" width="40.83203125" customWidth="1"/>
    <col min="5" max="5" width="14" customWidth="1"/>
    <col min="6" max="6" width="13.6640625" customWidth="1"/>
    <col min="7" max="7" width="11.6640625" customWidth="1"/>
    <col min="32" max="32" width="11.6640625" customWidth="1"/>
  </cols>
  <sheetData>
    <row r="1" spans="1:41" x14ac:dyDescent="0.2">
      <c r="A1" s="5" t="s">
        <v>1</v>
      </c>
      <c r="F1" s="6"/>
    </row>
    <row r="2" spans="1:41" x14ac:dyDescent="0.2">
      <c r="A2" s="5" t="s">
        <v>2</v>
      </c>
      <c r="F2" s="5" t="s">
        <v>3</v>
      </c>
    </row>
    <row r="3" spans="1:41" x14ac:dyDescent="0.2">
      <c r="A3" s="5"/>
      <c r="B3" s="7">
        <v>43891</v>
      </c>
      <c r="C3" s="7">
        <v>44256</v>
      </c>
      <c r="D3" s="7">
        <v>44621</v>
      </c>
      <c r="E3" s="7">
        <v>44986</v>
      </c>
      <c r="F3" s="5" t="s">
        <v>4</v>
      </c>
      <c r="G3" s="5" t="s">
        <v>81</v>
      </c>
      <c r="H3" s="5" t="s">
        <v>82</v>
      </c>
      <c r="I3" s="5" t="s">
        <v>83</v>
      </c>
      <c r="J3" s="5" t="s">
        <v>84</v>
      </c>
      <c r="K3" s="5" t="s">
        <v>85</v>
      </c>
      <c r="M3" s="5" t="s">
        <v>87</v>
      </c>
    </row>
    <row r="4" spans="1:41" x14ac:dyDescent="0.2">
      <c r="A4" s="5" t="e">
        <v>#VALUE!</v>
      </c>
      <c r="X4" t="s">
        <v>93</v>
      </c>
      <c r="AA4" s="7">
        <v>43891</v>
      </c>
      <c r="AB4" s="7">
        <v>44256</v>
      </c>
      <c r="AC4" s="7">
        <v>44621</v>
      </c>
      <c r="AD4" s="7">
        <v>44986</v>
      </c>
      <c r="AE4" s="5" t="s">
        <v>4</v>
      </c>
      <c r="AF4" s="5" t="s">
        <v>81</v>
      </c>
      <c r="AG4" s="5" t="s">
        <v>82</v>
      </c>
      <c r="AH4" s="5" t="s">
        <v>83</v>
      </c>
      <c r="AI4" s="5" t="s">
        <v>84</v>
      </c>
      <c r="AJ4" s="5" t="s">
        <v>85</v>
      </c>
    </row>
    <row r="5" spans="1:41" x14ac:dyDescent="0.2">
      <c r="A5" s="8"/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X5" s="8" t="s">
        <v>26</v>
      </c>
      <c r="AA5" s="9">
        <v>2668.97</v>
      </c>
      <c r="AB5" s="9">
        <v>2987.05</v>
      </c>
      <c r="AC5" s="9">
        <v>4616.99</v>
      </c>
      <c r="AD5" s="9">
        <v>4448.55</v>
      </c>
      <c r="AE5" s="9">
        <v>2375.36</v>
      </c>
      <c r="AF5" s="1">
        <f>AE5</f>
        <v>2375.36</v>
      </c>
      <c r="AG5" s="1">
        <f>AF8</f>
        <v>2267.4641022834435</v>
      </c>
      <c r="AH5" s="1">
        <f>AG8</f>
        <v>2190.0520116178427</v>
      </c>
      <c r="AI5" s="1">
        <f>AH8</f>
        <v>2134.511143910695</v>
      </c>
      <c r="AJ5" s="1">
        <f>AI8</f>
        <v>2094.6622267823832</v>
      </c>
    </row>
    <row r="6" spans="1:41" x14ac:dyDescent="0.2">
      <c r="A6" s="5" t="e">
        <v>#VALUE!</v>
      </c>
      <c r="X6" t="s">
        <v>94</v>
      </c>
      <c r="AF6">
        <v>785</v>
      </c>
      <c r="AG6">
        <f>AF6</f>
        <v>785</v>
      </c>
      <c r="AH6">
        <f t="shared" ref="AH6:AJ6" si="0">AG6</f>
        <v>785</v>
      </c>
      <c r="AI6">
        <f t="shared" si="0"/>
        <v>785</v>
      </c>
      <c r="AJ6">
        <f t="shared" si="0"/>
        <v>785</v>
      </c>
      <c r="AL6" t="s">
        <v>99</v>
      </c>
      <c r="AN6" t="s">
        <v>88</v>
      </c>
      <c r="AO6" t="s">
        <v>97</v>
      </c>
    </row>
    <row r="7" spans="1:41" x14ac:dyDescent="0.2">
      <c r="A7" s="5" t="s">
        <v>5</v>
      </c>
      <c r="C7" s="5"/>
      <c r="D7" s="5"/>
      <c r="E7" s="5"/>
      <c r="F7" s="5"/>
      <c r="X7" t="s">
        <v>95</v>
      </c>
      <c r="AF7" s="13">
        <f>(AF5*$AL$7)+(AF6*$AL$7)</f>
        <v>892.89589771655665</v>
      </c>
      <c r="AG7" s="13">
        <f t="shared" ref="AG7:AJ7" si="1">(AG5*$AL$7)+(AG6*$AL$7)</f>
        <v>862.41209066560089</v>
      </c>
      <c r="AH7" s="13">
        <f t="shared" si="1"/>
        <v>840.54086770714775</v>
      </c>
      <c r="AI7" s="13">
        <f t="shared" si="1"/>
        <v>824.84891712831165</v>
      </c>
      <c r="AJ7" s="13">
        <f t="shared" si="1"/>
        <v>813.59041030240689</v>
      </c>
      <c r="AL7" s="15">
        <f>Sheet3!M28</f>
        <v>0.28252980600835242</v>
      </c>
    </row>
    <row r="8" spans="1:41" x14ac:dyDescent="0.2">
      <c r="A8" s="5" t="s">
        <v>6</v>
      </c>
      <c r="C8" s="5"/>
      <c r="D8" s="5"/>
      <c r="E8" s="5"/>
      <c r="F8" s="5"/>
      <c r="X8" t="s">
        <v>96</v>
      </c>
      <c r="AF8" s="17">
        <f>AF5+AF6-AF7</f>
        <v>2267.4641022834435</v>
      </c>
      <c r="AG8" s="17">
        <f>AG5+AG6-AG7</f>
        <v>2190.0520116178427</v>
      </c>
      <c r="AH8" s="17">
        <f>AH5+AH6-AH7</f>
        <v>2134.511143910695</v>
      </c>
      <c r="AI8" s="17">
        <f>AI5+AI6-AI7</f>
        <v>2094.6622267823832</v>
      </c>
      <c r="AJ8" s="17">
        <f>AJ5+AJ6-AJ7</f>
        <v>2066.0718164799764</v>
      </c>
    </row>
    <row r="9" spans="1:41" x14ac:dyDescent="0.2">
      <c r="A9" s="8" t="s">
        <v>7</v>
      </c>
      <c r="B9" s="8">
        <v>35.549999999999997</v>
      </c>
      <c r="C9" s="8">
        <v>35.549999999999997</v>
      </c>
      <c r="D9" s="8">
        <v>35.549999999999997</v>
      </c>
      <c r="E9" s="8">
        <v>35.549999999999997</v>
      </c>
      <c r="F9" s="8">
        <v>35.549999999999997</v>
      </c>
      <c r="G9">
        <f t="shared" ref="G9:K10" si="2">F9</f>
        <v>35.549999999999997</v>
      </c>
      <c r="H9">
        <f t="shared" si="2"/>
        <v>35.549999999999997</v>
      </c>
      <c r="I9">
        <f t="shared" si="2"/>
        <v>35.549999999999997</v>
      </c>
      <c r="J9">
        <f t="shared" si="2"/>
        <v>35.549999999999997</v>
      </c>
      <c r="K9">
        <f t="shared" si="2"/>
        <v>35.549999999999997</v>
      </c>
      <c r="M9" t="s">
        <v>90</v>
      </c>
    </row>
    <row r="10" spans="1:41" x14ac:dyDescent="0.2">
      <c r="A10" s="5" t="s">
        <v>8</v>
      </c>
      <c r="B10" s="5">
        <v>35.549999999999997</v>
      </c>
      <c r="C10" s="5">
        <v>35.549999999999997</v>
      </c>
      <c r="D10" s="5">
        <v>35.549999999999997</v>
      </c>
      <c r="E10" s="5">
        <v>35.549999999999997</v>
      </c>
      <c r="F10" s="5">
        <v>35.549999999999997</v>
      </c>
      <c r="G10" s="2">
        <f t="shared" si="2"/>
        <v>35.549999999999997</v>
      </c>
      <c r="H10" s="2">
        <f t="shared" si="2"/>
        <v>35.549999999999997</v>
      </c>
      <c r="I10" s="2">
        <f t="shared" si="2"/>
        <v>35.549999999999997</v>
      </c>
      <c r="J10" s="2">
        <f t="shared" si="2"/>
        <v>35.549999999999997</v>
      </c>
      <c r="K10" s="2">
        <f t="shared" si="2"/>
        <v>35.549999999999997</v>
      </c>
    </row>
    <row r="11" spans="1:41" x14ac:dyDescent="0.2">
      <c r="A11" s="8" t="s">
        <v>9</v>
      </c>
      <c r="B11" s="9">
        <v>2352.4899999999998</v>
      </c>
      <c r="C11" s="9">
        <v>2277.48</v>
      </c>
      <c r="D11" s="9">
        <v>2328.4499999999998</v>
      </c>
      <c r="E11" s="9">
        <v>2559.94</v>
      </c>
      <c r="F11" s="9">
        <v>4032.19</v>
      </c>
      <c r="G11" s="1">
        <f>F11+Sheet3!G33</f>
        <v>5827.1418864862299</v>
      </c>
      <c r="H11" s="1">
        <f>G11+Sheet3!H33</f>
        <v>8362.6544434676198</v>
      </c>
      <c r="I11" s="1">
        <f>H11+Sheet3!I33</f>
        <v>11841.447772573043</v>
      </c>
      <c r="J11" s="1">
        <f>I11+Sheet3!J33</f>
        <v>16528.433168062547</v>
      </c>
      <c r="K11" s="1">
        <f>J11+Sheet3!K33</f>
        <v>22767.787293687164</v>
      </c>
      <c r="N11" s="1"/>
    </row>
    <row r="12" spans="1:41" x14ac:dyDescent="0.2">
      <c r="A12" s="5" t="s">
        <v>10</v>
      </c>
      <c r="B12" s="10">
        <v>2352.4899999999998</v>
      </c>
      <c r="C12" s="10">
        <v>2277.48</v>
      </c>
      <c r="D12" s="10">
        <v>2328.4499999999998</v>
      </c>
      <c r="E12" s="10">
        <v>2559.94</v>
      </c>
      <c r="F12" s="10">
        <v>4032.19</v>
      </c>
      <c r="G12" s="4">
        <f>G11</f>
        <v>5827.1418864862299</v>
      </c>
      <c r="H12" s="4">
        <f t="shared" ref="H12:K12" si="3">H11</f>
        <v>8362.6544434676198</v>
      </c>
      <c r="I12" s="4">
        <f t="shared" si="3"/>
        <v>11841.447772573043</v>
      </c>
      <c r="J12" s="4">
        <f t="shared" si="3"/>
        <v>16528.433168062547</v>
      </c>
      <c r="K12" s="4">
        <f t="shared" si="3"/>
        <v>22767.787293687164</v>
      </c>
    </row>
    <row r="13" spans="1:41" x14ac:dyDescent="0.2">
      <c r="A13" s="5" t="s">
        <v>11</v>
      </c>
      <c r="B13" s="10">
        <v>2388.04</v>
      </c>
      <c r="C13" s="10">
        <v>2313.0300000000002</v>
      </c>
      <c r="D13" s="10">
        <v>2364</v>
      </c>
      <c r="E13" s="10">
        <v>2595.4899999999998</v>
      </c>
      <c r="F13" s="10">
        <v>4067.74</v>
      </c>
      <c r="G13" s="14">
        <f>G10+G12</f>
        <v>5862.69188648623</v>
      </c>
      <c r="H13" s="14">
        <f t="shared" ref="H13:K13" si="4">H10+H12</f>
        <v>8398.2044434676191</v>
      </c>
      <c r="I13" s="14">
        <f t="shared" si="4"/>
        <v>11876.997772573042</v>
      </c>
      <c r="J13" s="14">
        <f t="shared" si="4"/>
        <v>16563.983168062547</v>
      </c>
      <c r="K13" s="14">
        <f t="shared" si="4"/>
        <v>22803.337293687164</v>
      </c>
    </row>
    <row r="14" spans="1:41" x14ac:dyDescent="0.2">
      <c r="A14" s="8" t="s">
        <v>12</v>
      </c>
      <c r="B14" s="8">
        <v>80.260000000000005</v>
      </c>
      <c r="C14" s="8">
        <v>44.49</v>
      </c>
      <c r="D14" s="8">
        <v>45.94</v>
      </c>
      <c r="E14" s="8">
        <v>67.48</v>
      </c>
      <c r="F14" s="8">
        <v>34.85</v>
      </c>
      <c r="G14">
        <f>F14</f>
        <v>34.85</v>
      </c>
      <c r="H14">
        <f t="shared" ref="H14:K14" si="5">G14</f>
        <v>34.85</v>
      </c>
      <c r="I14">
        <f t="shared" si="5"/>
        <v>34.85</v>
      </c>
      <c r="J14">
        <f t="shared" si="5"/>
        <v>34.85</v>
      </c>
      <c r="K14">
        <f t="shared" si="5"/>
        <v>34.85</v>
      </c>
      <c r="M14" t="s">
        <v>90</v>
      </c>
    </row>
    <row r="15" spans="1:41" x14ac:dyDescent="0.2">
      <c r="A15" s="5" t="s">
        <v>13</v>
      </c>
      <c r="C15" s="5"/>
      <c r="D15" s="5"/>
      <c r="E15" s="5"/>
      <c r="F15" s="5"/>
    </row>
    <row r="16" spans="1:41" x14ac:dyDescent="0.2">
      <c r="A16" s="8" t="s">
        <v>14</v>
      </c>
      <c r="B16" s="8">
        <v>299.74</v>
      </c>
      <c r="C16" s="8">
        <v>0</v>
      </c>
      <c r="D16" s="8">
        <v>497.38</v>
      </c>
      <c r="E16" s="8">
        <v>497.95</v>
      </c>
      <c r="F16" s="8">
        <v>498.56</v>
      </c>
      <c r="G16" s="13">
        <f t="shared" ref="G16:K18" si="6">F16</f>
        <v>498.56</v>
      </c>
      <c r="H16" s="13">
        <f t="shared" si="6"/>
        <v>498.56</v>
      </c>
      <c r="I16" s="13">
        <f t="shared" si="6"/>
        <v>498.56</v>
      </c>
      <c r="J16" s="13">
        <f t="shared" si="6"/>
        <v>498.56</v>
      </c>
      <c r="K16" s="13">
        <f t="shared" si="6"/>
        <v>498.56</v>
      </c>
      <c r="L16" s="11"/>
      <c r="M16" t="s">
        <v>90</v>
      </c>
    </row>
    <row r="17" spans="1:17" x14ac:dyDescent="0.2">
      <c r="A17" s="8" t="s">
        <v>15</v>
      </c>
      <c r="B17" s="9">
        <v>2233.16</v>
      </c>
      <c r="C17" s="9">
        <v>2600.79</v>
      </c>
      <c r="D17" s="9">
        <v>4143.99</v>
      </c>
      <c r="E17" s="9">
        <v>3767.73</v>
      </c>
      <c r="F17" s="8">
        <v>859.09</v>
      </c>
      <c r="G17" s="13">
        <f t="shared" si="6"/>
        <v>859.09</v>
      </c>
      <c r="H17" s="13">
        <f t="shared" si="6"/>
        <v>859.09</v>
      </c>
      <c r="I17" s="13">
        <f t="shared" si="6"/>
        <v>859.09</v>
      </c>
      <c r="J17" s="13">
        <f t="shared" si="6"/>
        <v>859.09</v>
      </c>
      <c r="K17" s="13">
        <f t="shared" si="6"/>
        <v>859.09</v>
      </c>
      <c r="L17" s="11"/>
      <c r="M17" t="s">
        <v>90</v>
      </c>
    </row>
    <row r="18" spans="1:17" x14ac:dyDescent="0.2">
      <c r="A18" s="8" t="s">
        <v>16</v>
      </c>
      <c r="B18" s="8">
        <v>18.21</v>
      </c>
      <c r="C18" s="8">
        <v>13.98</v>
      </c>
      <c r="D18" s="8">
        <v>21.26</v>
      </c>
      <c r="E18" s="8">
        <v>58.9</v>
      </c>
      <c r="F18" s="8">
        <v>160.04</v>
      </c>
      <c r="G18" s="13">
        <f t="shared" si="6"/>
        <v>160.04</v>
      </c>
      <c r="H18" s="13">
        <f t="shared" si="6"/>
        <v>160.04</v>
      </c>
      <c r="I18" s="13">
        <f t="shared" si="6"/>
        <v>160.04</v>
      </c>
      <c r="J18" s="13">
        <f t="shared" si="6"/>
        <v>160.04</v>
      </c>
      <c r="K18" s="13">
        <f t="shared" si="6"/>
        <v>160.04</v>
      </c>
      <c r="L18" s="11"/>
      <c r="M18" t="s">
        <v>90</v>
      </c>
    </row>
    <row r="19" spans="1:17" x14ac:dyDescent="0.2">
      <c r="A19" s="5" t="s">
        <v>17</v>
      </c>
      <c r="B19" s="10">
        <v>2551.11</v>
      </c>
      <c r="C19" s="10">
        <v>2614.77</v>
      </c>
      <c r="D19" s="10">
        <v>4662.63</v>
      </c>
      <c r="E19" s="10">
        <v>4324.58</v>
      </c>
      <c r="F19" s="10">
        <v>1517.69</v>
      </c>
      <c r="G19" s="13">
        <f>SUM(G16:G18)</f>
        <v>1517.69</v>
      </c>
      <c r="H19" s="13">
        <f>SUM(H16:H18)</f>
        <v>1517.69</v>
      </c>
      <c r="I19" s="13">
        <f>SUM(I16:I18)</f>
        <v>1517.69</v>
      </c>
      <c r="J19" s="13">
        <f>SUM(J16:J18)</f>
        <v>1517.69</v>
      </c>
      <c r="K19" s="13">
        <f>SUM(K16:K18)</f>
        <v>1517.69</v>
      </c>
      <c r="L19" s="11"/>
      <c r="M19" t="s">
        <v>90</v>
      </c>
    </row>
    <row r="20" spans="1:17" x14ac:dyDescent="0.2">
      <c r="A20" s="5" t="s">
        <v>18</v>
      </c>
      <c r="C20" s="5"/>
      <c r="D20" s="5"/>
      <c r="E20" s="5"/>
      <c r="F20" s="5"/>
    </row>
    <row r="21" spans="1:17" x14ac:dyDescent="0.2">
      <c r="A21" s="8" t="s">
        <v>19</v>
      </c>
      <c r="B21" s="8">
        <v>297.64999999999998</v>
      </c>
      <c r="C21" s="8">
        <v>274.57</v>
      </c>
      <c r="D21" s="8">
        <v>378.03</v>
      </c>
      <c r="E21" s="8">
        <v>665.22</v>
      </c>
      <c r="F21" s="8">
        <v>773.91</v>
      </c>
      <c r="G21" s="13">
        <f>$Q$21*Sheet3!G15</f>
        <v>975.5607107319953</v>
      </c>
      <c r="H21" s="13">
        <f>$Q$21*Sheet3!H15</f>
        <v>1230.4786974100748</v>
      </c>
      <c r="I21" s="13">
        <f>$Q$21*Sheet3!I15</f>
        <v>1552.7043839137309</v>
      </c>
      <c r="J21" s="13">
        <f>$Q$21*Sheet3!J15</f>
        <v>1959.9700037883918</v>
      </c>
      <c r="K21" s="13">
        <f>$Q$21*Sheet3!K15</f>
        <v>2474.6676484685854</v>
      </c>
      <c r="L21" s="11"/>
      <c r="M21" t="s">
        <v>143</v>
      </c>
      <c r="Q21" s="29">
        <f>F21/Sheet3!F15</f>
        <v>0.10732904059700747</v>
      </c>
    </row>
    <row r="22" spans="1:17" x14ac:dyDescent="0.2">
      <c r="A22" s="8" t="s">
        <v>20</v>
      </c>
      <c r="B22" s="8">
        <v>182.39</v>
      </c>
      <c r="C22" s="8">
        <v>470.42</v>
      </c>
      <c r="D22" s="8">
        <v>265.83</v>
      </c>
      <c r="E22" s="8">
        <v>416.34</v>
      </c>
      <c r="F22" s="8">
        <v>748.85</v>
      </c>
      <c r="G22" s="13">
        <f>F22*(1+$L$22)</f>
        <v>748.85</v>
      </c>
      <c r="H22" s="13">
        <f>G22*(1+$L$22)</f>
        <v>748.85</v>
      </c>
      <c r="I22" s="13">
        <f>H22*(1+$L$22)</f>
        <v>748.85</v>
      </c>
      <c r="J22" s="13">
        <f>I22*(1+$L$22)</f>
        <v>748.85</v>
      </c>
      <c r="K22" s="13">
        <f>J22*(1+$L$22)</f>
        <v>748.85</v>
      </c>
      <c r="L22" s="11"/>
    </row>
    <row r="23" spans="1:17" x14ac:dyDescent="0.2">
      <c r="A23" s="8" t="s">
        <v>21</v>
      </c>
      <c r="B23" s="8">
        <v>7.23</v>
      </c>
      <c r="C23" s="8">
        <v>6.45</v>
      </c>
      <c r="D23" s="8">
        <v>9.59</v>
      </c>
      <c r="E23" s="8">
        <v>12.42</v>
      </c>
      <c r="F23" s="8">
        <v>18.71</v>
      </c>
      <c r="G23" s="13">
        <f>F23*(1+$L$23)</f>
        <v>18.71</v>
      </c>
      <c r="H23" s="13">
        <f>G23*(1+$L$23)</f>
        <v>18.71</v>
      </c>
      <c r="I23" s="13">
        <f>H23*(1+$L$23)</f>
        <v>18.71</v>
      </c>
      <c r="J23" s="13">
        <f>I23*(1+$L$23)</f>
        <v>18.71</v>
      </c>
      <c r="K23" s="13">
        <f>J23*(1+$L$23)</f>
        <v>18.71</v>
      </c>
      <c r="L23" s="11"/>
    </row>
    <row r="24" spans="1:17" x14ac:dyDescent="0.2">
      <c r="A24" s="5" t="s">
        <v>22</v>
      </c>
      <c r="B24" s="5">
        <v>487.27</v>
      </c>
      <c r="C24" s="5">
        <v>751.44</v>
      </c>
      <c r="D24" s="5">
        <v>653.45000000000005</v>
      </c>
      <c r="E24" s="10">
        <v>1093.98</v>
      </c>
      <c r="F24" s="10">
        <v>1541.47</v>
      </c>
      <c r="G24" s="18">
        <f>SUM(G21:G23)</f>
        <v>1743.1207107319954</v>
      </c>
      <c r="H24" s="18">
        <f>SUM(H21:H23)</f>
        <v>1998.0386974100747</v>
      </c>
      <c r="I24" s="18">
        <f>SUM(I21:I23)</f>
        <v>2320.2643839137309</v>
      </c>
      <c r="J24" s="18">
        <f>SUM(J21:J23)</f>
        <v>2727.5300037883917</v>
      </c>
      <c r="K24" s="18">
        <f>SUM(K21:K23)</f>
        <v>3242.2276484685854</v>
      </c>
      <c r="L24" s="11">
        <f>((F24/B24)^(1/5))-1</f>
        <v>0.25902130901379561</v>
      </c>
    </row>
    <row r="25" spans="1:17" x14ac:dyDescent="0.2">
      <c r="A25" s="5" t="s">
        <v>23</v>
      </c>
      <c r="B25" s="10">
        <v>5506.68</v>
      </c>
      <c r="C25" s="10">
        <v>5723.73</v>
      </c>
      <c r="D25" s="10">
        <v>7726.02</v>
      </c>
      <c r="E25" s="10">
        <v>8081.53</v>
      </c>
      <c r="F25" s="10">
        <v>7161.75</v>
      </c>
      <c r="G25" s="18">
        <f>G13+G14+G19+G24</f>
        <v>9158.3525972182251</v>
      </c>
      <c r="H25" s="18">
        <f t="shared" ref="H25:K25" si="7">H13+H14+H19+H24</f>
        <v>11948.783140877695</v>
      </c>
      <c r="I25" s="18">
        <f t="shared" si="7"/>
        <v>15749.802156486774</v>
      </c>
      <c r="J25" s="18">
        <f t="shared" si="7"/>
        <v>20844.053171850937</v>
      </c>
      <c r="K25" s="18">
        <f t="shared" si="7"/>
        <v>27598.104942155747</v>
      </c>
    </row>
    <row r="26" spans="1:17" x14ac:dyDescent="0.2">
      <c r="A26" s="5" t="s">
        <v>24</v>
      </c>
      <c r="C26" s="5"/>
      <c r="D26" s="5"/>
      <c r="E26" s="5"/>
      <c r="F26" s="5"/>
    </row>
    <row r="27" spans="1:17" x14ac:dyDescent="0.2">
      <c r="A27" s="5" t="s">
        <v>25</v>
      </c>
      <c r="C27" s="5"/>
      <c r="D27" s="5"/>
      <c r="E27" s="5"/>
      <c r="F27" s="5"/>
    </row>
    <row r="28" spans="1:17" x14ac:dyDescent="0.2">
      <c r="A28" s="8" t="s">
        <v>26</v>
      </c>
      <c r="B28" s="9">
        <v>2668.97</v>
      </c>
      <c r="C28" s="9">
        <v>2987.05</v>
      </c>
      <c r="D28" s="9">
        <v>4616.99</v>
      </c>
      <c r="E28" s="9">
        <v>4448.55</v>
      </c>
      <c r="F28" s="9">
        <v>2375.36</v>
      </c>
      <c r="G28" s="1">
        <f>AF8</f>
        <v>2267.4641022834435</v>
      </c>
      <c r="H28" s="1">
        <f t="shared" ref="H28:K28" si="8">AG8</f>
        <v>2190.0520116178427</v>
      </c>
      <c r="I28" s="1">
        <f t="shared" si="8"/>
        <v>2134.511143910695</v>
      </c>
      <c r="J28" s="1">
        <f t="shared" si="8"/>
        <v>2094.6622267823832</v>
      </c>
      <c r="K28" s="1">
        <f t="shared" si="8"/>
        <v>2066.0718164799764</v>
      </c>
      <c r="M28" t="s">
        <v>88</v>
      </c>
      <c r="N28" t="s">
        <v>97</v>
      </c>
    </row>
    <row r="29" spans="1:17" x14ac:dyDescent="0.2">
      <c r="A29" s="8" t="s">
        <v>27</v>
      </c>
      <c r="B29" s="8">
        <v>42.27</v>
      </c>
      <c r="C29" s="8">
        <v>39.58</v>
      </c>
      <c r="D29" s="8">
        <v>42.53</v>
      </c>
      <c r="E29" s="8">
        <v>51.21</v>
      </c>
      <c r="F29" s="8">
        <v>47.37</v>
      </c>
      <c r="G29">
        <f>F29</f>
        <v>47.37</v>
      </c>
      <c r="H29">
        <f>G29</f>
        <v>47.37</v>
      </c>
      <c r="I29">
        <f>H29</f>
        <v>47.37</v>
      </c>
      <c r="J29">
        <f>I29</f>
        <v>47.37</v>
      </c>
      <c r="K29">
        <f>J29</f>
        <v>47.37</v>
      </c>
      <c r="M29" t="s">
        <v>90</v>
      </c>
    </row>
    <row r="30" spans="1:17" x14ac:dyDescent="0.2">
      <c r="A30" s="8" t="s">
        <v>28</v>
      </c>
      <c r="B30" s="8">
        <v>23.32</v>
      </c>
      <c r="C30" s="8">
        <v>107.98</v>
      </c>
      <c r="D30" s="8">
        <v>104.72</v>
      </c>
      <c r="E30" s="8">
        <v>101.72</v>
      </c>
      <c r="F30" s="8">
        <v>223.78</v>
      </c>
      <c r="G30" s="13">
        <f>0.3*785</f>
        <v>235.5</v>
      </c>
      <c r="H30" s="13">
        <f>0.3*785</f>
        <v>235.5</v>
      </c>
      <c r="I30" s="13">
        <f>0.3*785</f>
        <v>235.5</v>
      </c>
      <c r="J30" s="13">
        <f>0.3*785</f>
        <v>235.5</v>
      </c>
      <c r="K30" s="13">
        <f>0.3*785</f>
        <v>235.5</v>
      </c>
      <c r="M30" t="s">
        <v>91</v>
      </c>
    </row>
    <row r="31" spans="1:17" x14ac:dyDescent="0.2">
      <c r="A31" s="5" t="s">
        <v>29</v>
      </c>
      <c r="B31" s="10">
        <v>2734.56</v>
      </c>
      <c r="C31" s="10">
        <v>3134.61</v>
      </c>
      <c r="D31" s="10">
        <v>4764.24</v>
      </c>
      <c r="E31" s="10">
        <v>4601.4799999999996</v>
      </c>
      <c r="F31" s="10">
        <v>2646.51</v>
      </c>
      <c r="G31" s="14">
        <f>SUM(G28:G30)</f>
        <v>2550.3341022834434</v>
      </c>
      <c r="H31" s="14">
        <f>SUM(H28:H30)</f>
        <v>2472.9220116178426</v>
      </c>
      <c r="I31" s="14">
        <f>SUM(I28:I30)</f>
        <v>2417.3811439106948</v>
      </c>
      <c r="J31" s="14">
        <f>SUM(J28:J30)</f>
        <v>2377.5322267823831</v>
      </c>
      <c r="K31" s="14">
        <f>SUM(K28:K30)</f>
        <v>2348.9418164799763</v>
      </c>
    </row>
    <row r="32" spans="1:17" x14ac:dyDescent="0.2">
      <c r="A32" s="8" t="s">
        <v>30</v>
      </c>
      <c r="B32" s="8">
        <v>735.91</v>
      </c>
      <c r="C32" s="8">
        <v>816.63</v>
      </c>
      <c r="D32" s="8">
        <v>757.39</v>
      </c>
      <c r="E32" s="8">
        <v>564.13</v>
      </c>
      <c r="F32" s="8">
        <v>696.26</v>
      </c>
      <c r="G32" s="13">
        <f ca="1">G36*($F$32/$F$36)</f>
        <v>670.2408312878822</v>
      </c>
      <c r="H32" s="13">
        <f ca="1">H36*($F$32/$F$36)</f>
        <v>653.91380506209498</v>
      </c>
      <c r="I32" s="13">
        <f ca="1">I36*($F$32/$F$36)</f>
        <v>642.19965038857265</v>
      </c>
      <c r="J32" s="13">
        <f ca="1">J36*($F$32/$F$36)</f>
        <v>633.79509356251242</v>
      </c>
      <c r="K32" s="13">
        <f ca="1">K36*($F$32/$F$36)</f>
        <v>627.7650745461051</v>
      </c>
      <c r="M32" t="s">
        <v>89</v>
      </c>
    </row>
    <row r="33" spans="1:15" x14ac:dyDescent="0.2">
      <c r="A33" s="8" t="s">
        <v>31</v>
      </c>
      <c r="B33" s="8">
        <v>110.4</v>
      </c>
      <c r="C33" s="8">
        <v>114.52</v>
      </c>
      <c r="D33" s="8">
        <v>126.35</v>
      </c>
      <c r="E33" s="8">
        <v>156.05000000000001</v>
      </c>
      <c r="F33" s="8">
        <v>54.43</v>
      </c>
      <c r="G33" s="13">
        <f ca="1">G36*($F$33/$F$36)</f>
        <v>52.39595617585303</v>
      </c>
      <c r="H33" s="13">
        <f ca="1">H36*($F$33/$F$36)</f>
        <v>51.119593843578308</v>
      </c>
      <c r="I33" s="13">
        <f ca="1">I36*($F$33/$F$36)</f>
        <v>50.203841913437522</v>
      </c>
      <c r="J33" s="13">
        <f ca="1">J36*($F$33/$F$36)</f>
        <v>49.546817198471189</v>
      </c>
      <c r="K33" s="13">
        <f ca="1">K36*($F$33/$F$36)</f>
        <v>49.07542154876699</v>
      </c>
      <c r="M33" t="s">
        <v>103</v>
      </c>
    </row>
    <row r="34" spans="1:15" x14ac:dyDescent="0.2">
      <c r="A34" s="8" t="s">
        <v>32</v>
      </c>
      <c r="B34" s="8">
        <v>2.34</v>
      </c>
      <c r="C34" s="8">
        <v>2.35</v>
      </c>
      <c r="D34" s="8">
        <v>2.13</v>
      </c>
      <c r="E34" s="8">
        <v>1.86</v>
      </c>
      <c r="F34" s="8">
        <v>1.66</v>
      </c>
      <c r="G34" s="8">
        <v>1.66</v>
      </c>
      <c r="H34" s="8">
        <v>1.66</v>
      </c>
      <c r="I34" s="8">
        <v>1.66</v>
      </c>
      <c r="J34" s="8">
        <v>1.66</v>
      </c>
      <c r="K34" s="8">
        <v>1.66</v>
      </c>
      <c r="M34" t="s">
        <v>90</v>
      </c>
    </row>
    <row r="35" spans="1:15" x14ac:dyDescent="0.2">
      <c r="A35" s="8" t="s">
        <v>33</v>
      </c>
      <c r="B35" s="8">
        <v>192.82</v>
      </c>
      <c r="C35" s="8">
        <v>225.08</v>
      </c>
      <c r="D35" s="8">
        <v>265.26</v>
      </c>
      <c r="E35" s="8">
        <v>353.04</v>
      </c>
      <c r="F35" s="8">
        <v>625.85</v>
      </c>
      <c r="G35" s="13">
        <f>F35</f>
        <v>625.85</v>
      </c>
      <c r="H35" s="13">
        <f t="shared" ref="H35:K35" si="9">G35</f>
        <v>625.85</v>
      </c>
      <c r="I35" s="13">
        <f t="shared" si="9"/>
        <v>625.85</v>
      </c>
      <c r="J35" s="13">
        <f t="shared" si="9"/>
        <v>625.85</v>
      </c>
      <c r="K35" s="13">
        <f t="shared" si="9"/>
        <v>625.85</v>
      </c>
      <c r="M35" t="s">
        <v>90</v>
      </c>
    </row>
    <row r="36" spans="1:15" x14ac:dyDescent="0.2">
      <c r="A36" s="5" t="s">
        <v>34</v>
      </c>
      <c r="B36" s="10">
        <v>3803.22</v>
      </c>
      <c r="C36" s="10">
        <v>4320.38</v>
      </c>
      <c r="D36" s="10">
        <v>5942.56</v>
      </c>
      <c r="E36" s="10">
        <v>5703.75</v>
      </c>
      <c r="F36" s="10">
        <v>4051.9</v>
      </c>
      <c r="G36" s="14">
        <f ca="1">SUM(G31:G35)</f>
        <v>3900.480889747178</v>
      </c>
      <c r="H36" s="14">
        <f ca="1">SUM(H31:H35)</f>
        <v>3805.4654105235159</v>
      </c>
      <c r="I36" s="14">
        <f ca="1">SUM(I31:I35)</f>
        <v>3737.2946362127045</v>
      </c>
      <c r="J36" s="14">
        <f ca="1">SUM(J31:J35)</f>
        <v>3688.3841375433663</v>
      </c>
      <c r="K36" s="14">
        <f ca="1">SUM(K31:K35)</f>
        <v>3653.292312574848</v>
      </c>
      <c r="L36" s="11"/>
    </row>
    <row r="37" spans="1:15" x14ac:dyDescent="0.2">
      <c r="A37" s="5" t="s">
        <v>35</v>
      </c>
      <c r="C37" s="5"/>
      <c r="D37" s="5"/>
      <c r="E37" s="5"/>
      <c r="F37" s="5"/>
      <c r="G37" s="13"/>
    </row>
    <row r="38" spans="1:15" x14ac:dyDescent="0.2">
      <c r="A38" s="8" t="s">
        <v>36</v>
      </c>
      <c r="B38" s="8">
        <v>778.87</v>
      </c>
      <c r="C38" s="8">
        <v>670.66</v>
      </c>
      <c r="D38" s="8">
        <v>526.33000000000004</v>
      </c>
      <c r="E38" s="8">
        <v>545.74</v>
      </c>
      <c r="F38" s="8">
        <v>719.77</v>
      </c>
      <c r="G38" s="13">
        <f ca="1">G44*($F$38/$F$44)</f>
        <v>1216.9263208471264</v>
      </c>
      <c r="H38" s="13">
        <f t="shared" ref="H38:K38" ca="1" si="10">H44*($F$38/$F$44)</f>
        <v>1884.7583654443229</v>
      </c>
      <c r="I38" s="13">
        <f t="shared" ca="1" si="10"/>
        <v>2780.2763920663915</v>
      </c>
      <c r="J38" s="13">
        <f t="shared" ca="1" si="10"/>
        <v>3970.6532150501025</v>
      </c>
      <c r="K38" s="13">
        <f t="shared" ca="1" si="10"/>
        <v>5541.990059454135</v>
      </c>
      <c r="M38" t="s">
        <v>102</v>
      </c>
    </row>
    <row r="39" spans="1:15" x14ac:dyDescent="0.2">
      <c r="A39" s="8" t="s">
        <v>37</v>
      </c>
      <c r="B39" s="8">
        <v>607.80999999999995</v>
      </c>
      <c r="C39" s="8">
        <v>428.39</v>
      </c>
      <c r="D39" s="8">
        <v>867.78</v>
      </c>
      <c r="E39" s="9">
        <v>1361.16</v>
      </c>
      <c r="F39" s="9">
        <v>1582.73</v>
      </c>
      <c r="G39" s="13">
        <f ca="1">G44*($F$39/$F$44)</f>
        <v>2675.9461991947041</v>
      </c>
      <c r="H39" s="13">
        <f t="shared" ref="H39:K39" ca="1" si="11">H44*($F$39/$F$44)</f>
        <v>4144.4678268609323</v>
      </c>
      <c r="I39" s="13">
        <f t="shared" ca="1" si="11"/>
        <v>6113.6569376540283</v>
      </c>
      <c r="J39" s="13">
        <f t="shared" ca="1" si="11"/>
        <v>8731.2224225186492</v>
      </c>
      <c r="K39" s="13">
        <f t="shared" ca="1" si="11"/>
        <v>12186.495584422584</v>
      </c>
      <c r="M39" t="s">
        <v>102</v>
      </c>
    </row>
    <row r="40" spans="1:15" x14ac:dyDescent="0.2">
      <c r="A40" s="8" t="s">
        <v>38</v>
      </c>
      <c r="B40" s="8">
        <v>17.12</v>
      </c>
      <c r="C40" s="8">
        <v>20.77</v>
      </c>
      <c r="D40" s="8">
        <v>17.86</v>
      </c>
      <c r="E40" s="8">
        <v>34.39</v>
      </c>
      <c r="F40" s="8">
        <v>81.739999999999995</v>
      </c>
      <c r="G40" s="13">
        <f ca="1">G44*($F$40/$F$44)</f>
        <v>138.19908785590411</v>
      </c>
      <c r="H40" s="13">
        <f t="shared" ref="H40:K40" ca="1" si="12">H44*($F$40/$F$44)</f>
        <v>214.04080302238066</v>
      </c>
      <c r="I40" s="13">
        <f t="shared" ca="1" si="12"/>
        <v>315.73946161622018</v>
      </c>
      <c r="J40" s="13">
        <f t="shared" ca="1" si="12"/>
        <v>450.92348083164808</v>
      </c>
      <c r="K40" s="13">
        <f t="shared" ca="1" si="12"/>
        <v>629.37086494266362</v>
      </c>
      <c r="M40" t="s">
        <v>102</v>
      </c>
      <c r="N40" s="13"/>
      <c r="O40" s="13"/>
    </row>
    <row r="41" spans="1:15" x14ac:dyDescent="0.2">
      <c r="A41" s="8" t="s">
        <v>39</v>
      </c>
      <c r="B41" s="8">
        <v>61.41</v>
      </c>
      <c r="C41" s="8">
        <v>81.47</v>
      </c>
      <c r="D41" s="8">
        <v>86.37</v>
      </c>
      <c r="E41" s="8">
        <v>86.3</v>
      </c>
      <c r="F41" s="8">
        <v>297.56</v>
      </c>
      <c r="G41" s="13">
        <f ca="1">G44*($F$41/$F$44)</f>
        <v>503.08931468562309</v>
      </c>
      <c r="H41" s="13">
        <f t="shared" ref="H41:K41" ca="1" si="13">H44*($F$41/$F$44)</f>
        <v>779.17765289135798</v>
      </c>
      <c r="I41" s="13">
        <f t="shared" ca="1" si="13"/>
        <v>1149.3936163264314</v>
      </c>
      <c r="J41" s="13">
        <f t="shared" ca="1" si="13"/>
        <v>1641.5071073680599</v>
      </c>
      <c r="K41" s="13">
        <f t="shared" ca="1" si="13"/>
        <v>2291.1132196273429</v>
      </c>
      <c r="M41" t="s">
        <v>102</v>
      </c>
    </row>
    <row r="42" spans="1:15" x14ac:dyDescent="0.2">
      <c r="A42" s="8" t="s">
        <v>40</v>
      </c>
      <c r="B42" s="8">
        <v>85.98</v>
      </c>
      <c r="C42" s="8">
        <v>26.04</v>
      </c>
      <c r="D42" s="8">
        <v>26.44</v>
      </c>
      <c r="E42" s="8">
        <v>17.04</v>
      </c>
      <c r="F42" s="8">
        <v>17.079999999999998</v>
      </c>
      <c r="G42" s="13">
        <f ca="1">G44*($F$42/$F$44)</f>
        <v>28.877421343024739</v>
      </c>
      <c r="H42" s="13">
        <f t="shared" ref="H42:K42" ca="1" si="14">H44*($F$42/$F$44)</f>
        <v>44.724943915124321</v>
      </c>
      <c r="I42" s="13">
        <f t="shared" ca="1" si="14"/>
        <v>65.975409889956453</v>
      </c>
      <c r="J42" s="13">
        <f t="shared" ca="1" si="14"/>
        <v>94.222816890195119</v>
      </c>
      <c r="K42" s="13">
        <f t="shared" ca="1" si="14"/>
        <v>131.51032998801927</v>
      </c>
      <c r="M42" t="s">
        <v>102</v>
      </c>
    </row>
    <row r="43" spans="1:15" x14ac:dyDescent="0.2">
      <c r="A43" s="8" t="s">
        <v>41</v>
      </c>
      <c r="B43" s="8">
        <v>152.27000000000001</v>
      </c>
      <c r="C43" s="8">
        <v>176.02</v>
      </c>
      <c r="D43" s="8">
        <v>258.68</v>
      </c>
      <c r="E43" s="8">
        <v>333.15</v>
      </c>
      <c r="F43" s="8">
        <v>410.97</v>
      </c>
      <c r="G43" s="13">
        <f ca="1">G44*($F$43/$F$44)</f>
        <v>694.83336354466508</v>
      </c>
      <c r="H43" s="13">
        <f t="shared" ref="H43:K43" ca="1" si="15">H44*($F$43/$F$44)</f>
        <v>1076.1481382200611</v>
      </c>
      <c r="I43" s="13">
        <f t="shared" ca="1" si="15"/>
        <v>1587.4657027210428</v>
      </c>
      <c r="J43" s="13">
        <f t="shared" ca="1" si="15"/>
        <v>2267.1399916489167</v>
      </c>
      <c r="K43" s="13">
        <f t="shared" ca="1" si="15"/>
        <v>3164.332571146153</v>
      </c>
      <c r="M43" t="s">
        <v>102</v>
      </c>
    </row>
    <row r="44" spans="1:15" x14ac:dyDescent="0.2">
      <c r="A44" s="5" t="s">
        <v>42</v>
      </c>
      <c r="B44" s="10">
        <v>1703.46</v>
      </c>
      <c r="C44" s="10">
        <v>1403.35</v>
      </c>
      <c r="D44" s="10">
        <v>1783.46</v>
      </c>
      <c r="E44" s="10">
        <v>2377.7800000000002</v>
      </c>
      <c r="F44" s="10">
        <v>3109.85</v>
      </c>
      <c r="G44" s="18">
        <f ca="1">G45-G36</f>
        <v>5257.8717074710476</v>
      </c>
      <c r="H44" s="18">
        <f t="shared" ref="H44:K44" ca="1" si="16">H45-H36</f>
        <v>8143.3177303541788</v>
      </c>
      <c r="I44" s="18">
        <f t="shared" ca="1" si="16"/>
        <v>12012.50752027407</v>
      </c>
      <c r="J44" s="18">
        <f t="shared" ca="1" si="16"/>
        <v>17155.669034307572</v>
      </c>
      <c r="K44" s="18">
        <f t="shared" ca="1" si="16"/>
        <v>23944.812629580898</v>
      </c>
      <c r="M44" t="s">
        <v>98</v>
      </c>
    </row>
    <row r="45" spans="1:15" x14ac:dyDescent="0.2">
      <c r="A45" s="5" t="s">
        <v>43</v>
      </c>
      <c r="B45" s="10">
        <v>5506.68</v>
      </c>
      <c r="C45" s="10">
        <v>5723.73</v>
      </c>
      <c r="D45" s="10">
        <v>7726.02</v>
      </c>
      <c r="E45" s="10">
        <v>8081.53</v>
      </c>
      <c r="F45" s="10">
        <v>7161.75</v>
      </c>
      <c r="G45" s="18">
        <f>G25</f>
        <v>9158.3525972182251</v>
      </c>
      <c r="H45" s="18">
        <f t="shared" ref="H45:K45" si="17">H25</f>
        <v>11948.783140877695</v>
      </c>
      <c r="I45" s="18">
        <f t="shared" si="17"/>
        <v>15749.802156486774</v>
      </c>
      <c r="J45" s="18">
        <f t="shared" si="17"/>
        <v>20844.053171850937</v>
      </c>
      <c r="K45" s="18">
        <f t="shared" si="17"/>
        <v>27598.104942155747</v>
      </c>
    </row>
    <row r="46" spans="1:15" x14ac:dyDescent="0.2">
      <c r="A46" s="5"/>
      <c r="C46" s="5"/>
      <c r="D46" s="5"/>
      <c r="E46" s="5"/>
      <c r="F46" s="5"/>
    </row>
    <row r="47" spans="1:15" x14ac:dyDescent="0.2">
      <c r="A47" s="5"/>
      <c r="C47" s="5"/>
      <c r="D47" s="5"/>
      <c r="E47" s="5"/>
      <c r="F47" s="5"/>
    </row>
    <row r="48" spans="1:15" x14ac:dyDescent="0.2">
      <c r="A48" s="8"/>
      <c r="B48" s="8"/>
      <c r="C48" s="8"/>
      <c r="D48" s="8"/>
      <c r="E48" s="8"/>
      <c r="F48" s="8"/>
    </row>
    <row r="49" spans="1:7" x14ac:dyDescent="0.2">
      <c r="A49" s="5"/>
      <c r="C49" s="5"/>
      <c r="D49" s="5"/>
      <c r="E49" s="5"/>
      <c r="F49" s="5"/>
    </row>
    <row r="50" spans="1:7" x14ac:dyDescent="0.2">
      <c r="A50" s="8"/>
      <c r="B50" s="8"/>
      <c r="C50" s="8"/>
      <c r="D50" s="8"/>
      <c r="E50" s="8"/>
      <c r="F50" s="8"/>
    </row>
    <row r="51" spans="1:7" x14ac:dyDescent="0.2">
      <c r="A51" s="5"/>
      <c r="C51" s="5"/>
      <c r="D51" s="5"/>
      <c r="E51" s="5"/>
      <c r="F51" s="5"/>
    </row>
    <row r="52" spans="1:7" x14ac:dyDescent="0.2">
      <c r="A52" s="8"/>
      <c r="B52" s="8"/>
      <c r="C52" s="8"/>
      <c r="D52" s="8"/>
      <c r="E52" s="8"/>
      <c r="F52" s="8"/>
    </row>
    <row r="53" spans="1:7" x14ac:dyDescent="0.2">
      <c r="A53" s="5"/>
      <c r="C53" s="5"/>
      <c r="D53" s="5"/>
      <c r="E53" s="5"/>
      <c r="F53" s="5"/>
    </row>
    <row r="54" spans="1:7" x14ac:dyDescent="0.2">
      <c r="A54" s="8"/>
      <c r="B54" s="8"/>
      <c r="C54" s="8"/>
      <c r="D54" s="8"/>
      <c r="E54" s="8"/>
      <c r="F54" s="8"/>
    </row>
    <row r="63" spans="1:7" x14ac:dyDescent="0.2">
      <c r="G63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9011-F427-CD4C-8C71-057EEB54AFC7}">
  <dimension ref="A1:O45"/>
  <sheetViews>
    <sheetView topLeftCell="A7" zoomScale="125" workbookViewId="0">
      <selection activeCell="F39" sqref="F39"/>
    </sheetView>
  </sheetViews>
  <sheetFormatPr baseColWidth="10" defaultRowHeight="16" x14ac:dyDescent="0.2"/>
  <cols>
    <col min="1" max="1" width="23.83203125" customWidth="1"/>
    <col min="13" max="13" width="17.83203125" customWidth="1"/>
  </cols>
  <sheetData>
    <row r="1" spans="1:15" x14ac:dyDescent="0.2">
      <c r="A1" s="5" t="s">
        <v>1</v>
      </c>
      <c r="F1" s="6"/>
    </row>
    <row r="2" spans="1:15" x14ac:dyDescent="0.2">
      <c r="A2" s="5" t="s">
        <v>44</v>
      </c>
      <c r="F2" s="5"/>
    </row>
    <row r="3" spans="1:15" x14ac:dyDescent="0.2">
      <c r="A3" s="5"/>
      <c r="B3" s="5" t="s">
        <v>49</v>
      </c>
      <c r="C3" s="5" t="s">
        <v>48</v>
      </c>
      <c r="D3" s="5" t="s">
        <v>47</v>
      </c>
      <c r="E3" s="5" t="s">
        <v>46</v>
      </c>
      <c r="F3" s="5" t="s">
        <v>45</v>
      </c>
      <c r="G3" s="5" t="s">
        <v>73</v>
      </c>
      <c r="H3" s="5" t="s">
        <v>74</v>
      </c>
      <c r="I3" s="5" t="s">
        <v>75</v>
      </c>
      <c r="J3" s="5" t="s">
        <v>76</v>
      </c>
      <c r="K3" s="5" t="s">
        <v>77</v>
      </c>
      <c r="M3" s="5" t="s">
        <v>78</v>
      </c>
    </row>
    <row r="4" spans="1:15" x14ac:dyDescent="0.2">
      <c r="A4" s="5"/>
    </row>
    <row r="5" spans="1:15" x14ac:dyDescent="0.2">
      <c r="A5" s="8"/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</row>
    <row r="6" spans="1:15" x14ac:dyDescent="0.2">
      <c r="A6" s="5"/>
    </row>
    <row r="7" spans="1:15" x14ac:dyDescent="0.2">
      <c r="A7" s="5" t="s">
        <v>50</v>
      </c>
      <c r="C7" s="5"/>
      <c r="D7" s="5"/>
      <c r="E7" s="5"/>
      <c r="F7" s="5"/>
    </row>
    <row r="8" spans="1:15" x14ac:dyDescent="0.2">
      <c r="A8" s="5" t="s">
        <v>51</v>
      </c>
      <c r="B8" s="10">
        <v>3789.42</v>
      </c>
      <c r="C8" s="10">
        <v>2831.57</v>
      </c>
      <c r="D8" s="10">
        <v>4892.3999999999996</v>
      </c>
      <c r="E8" s="10">
        <v>8928.86</v>
      </c>
      <c r="F8" s="10">
        <v>13334.06</v>
      </c>
      <c r="G8" s="12">
        <f>F8*(1+$M$8)</f>
        <v>16934.2562</v>
      </c>
      <c r="H8" s="12">
        <f>G8*(1+$M$8)</f>
        <v>21506.505374</v>
      </c>
      <c r="I8" s="12">
        <f>H8*(1+$M$8)</f>
        <v>27313.26182498</v>
      </c>
      <c r="J8" s="12">
        <f>I8*(1+$M$8)</f>
        <v>34687.842517724603</v>
      </c>
      <c r="K8" s="12">
        <f>J8*(1+$M$8)</f>
        <v>44053.559997510245</v>
      </c>
      <c r="M8" s="11">
        <v>0.27</v>
      </c>
      <c r="N8" t="s">
        <v>79</v>
      </c>
    </row>
    <row r="9" spans="1:15" x14ac:dyDescent="0.2">
      <c r="A9" s="8" t="s">
        <v>52</v>
      </c>
      <c r="B9" s="8">
        <v>303.44</v>
      </c>
      <c r="C9" s="8">
        <v>238.61</v>
      </c>
      <c r="D9" s="8">
        <v>394.38</v>
      </c>
      <c r="E9" s="8">
        <v>686.84</v>
      </c>
      <c r="F9" s="8">
        <v>958.95</v>
      </c>
      <c r="G9" s="19">
        <f>G8*($F$9/$F$8)</f>
        <v>1217.8665000000001</v>
      </c>
      <c r="H9" s="19">
        <f t="shared" ref="H9:K9" si="0">H8*($F$9/$F$8)</f>
        <v>1546.6904550000002</v>
      </c>
      <c r="I9" s="19">
        <f t="shared" si="0"/>
        <v>1964.2968778500001</v>
      </c>
      <c r="J9" s="19">
        <f t="shared" si="0"/>
        <v>2494.6570348695004</v>
      </c>
      <c r="K9" s="19">
        <f t="shared" si="0"/>
        <v>3168.2144342842657</v>
      </c>
      <c r="M9" t="s">
        <v>80</v>
      </c>
    </row>
    <row r="10" spans="1:15" x14ac:dyDescent="0.2">
      <c r="A10" s="5" t="s">
        <v>53</v>
      </c>
      <c r="B10" s="10">
        <v>3485.98</v>
      </c>
      <c r="C10" s="10">
        <v>2592.96</v>
      </c>
      <c r="D10" s="10">
        <v>4498.0200000000004</v>
      </c>
      <c r="E10" s="10">
        <v>8242.02</v>
      </c>
      <c r="F10" s="10">
        <v>12375.11</v>
      </c>
      <c r="G10" s="12">
        <f>G8-G9</f>
        <v>15716.3897</v>
      </c>
      <c r="H10" s="12">
        <f t="shared" ref="H10:K10" si="1">H8-H9</f>
        <v>19959.814919</v>
      </c>
      <c r="I10" s="12">
        <f t="shared" si="1"/>
        <v>25348.96494713</v>
      </c>
      <c r="J10" s="12">
        <f t="shared" si="1"/>
        <v>32193.1854828551</v>
      </c>
      <c r="K10" s="12">
        <f t="shared" si="1"/>
        <v>40885.345563225979</v>
      </c>
      <c r="M10" s="11"/>
    </row>
    <row r="11" spans="1:15" x14ac:dyDescent="0.2">
      <c r="A11" s="8" t="s">
        <v>54</v>
      </c>
      <c r="B11" s="8">
        <v>144.5</v>
      </c>
      <c r="C11" s="8">
        <v>200.59</v>
      </c>
      <c r="D11" s="8">
        <v>147.77000000000001</v>
      </c>
      <c r="E11" s="8">
        <v>257.92</v>
      </c>
      <c r="F11" s="8">
        <v>865.34</v>
      </c>
      <c r="G11" s="19">
        <f>F11*1.27</f>
        <v>1098.9818</v>
      </c>
      <c r="H11" s="19">
        <f t="shared" ref="H11:K11" si="2">G11*1.27</f>
        <v>1395.7068859999999</v>
      </c>
      <c r="I11" s="19">
        <f t="shared" si="2"/>
        <v>1772.54774522</v>
      </c>
      <c r="J11" s="19">
        <f t="shared" si="2"/>
        <v>2251.1356364294002</v>
      </c>
      <c r="K11" s="19">
        <f t="shared" si="2"/>
        <v>2858.9422582653383</v>
      </c>
      <c r="M11" s="11">
        <v>0.27</v>
      </c>
      <c r="N11" t="s">
        <v>79</v>
      </c>
    </row>
    <row r="12" spans="1:15" x14ac:dyDescent="0.2">
      <c r="A12" s="8" t="s">
        <v>55</v>
      </c>
      <c r="B12" s="8">
        <v>69.89</v>
      </c>
      <c r="C12" s="8">
        <v>-162.36000000000001</v>
      </c>
      <c r="D12" s="8">
        <v>438.84</v>
      </c>
      <c r="E12" s="8">
        <v>491.31</v>
      </c>
      <c r="F12" s="8">
        <v>164.71</v>
      </c>
      <c r="G12">
        <f>F12</f>
        <v>164.71</v>
      </c>
      <c r="H12">
        <f>G12</f>
        <v>164.71</v>
      </c>
      <c r="I12">
        <f>H12</f>
        <v>164.71</v>
      </c>
      <c r="J12">
        <f>I12</f>
        <v>164.71</v>
      </c>
      <c r="K12">
        <f>J12</f>
        <v>164.71</v>
      </c>
      <c r="M12" t="s">
        <v>90</v>
      </c>
    </row>
    <row r="13" spans="1:15" x14ac:dyDescent="0.2">
      <c r="A13" s="5" t="s">
        <v>56</v>
      </c>
      <c r="B13" s="10">
        <v>3700.37</v>
      </c>
      <c r="C13" s="10">
        <v>2631.19</v>
      </c>
      <c r="D13" s="10">
        <v>5084.63</v>
      </c>
      <c r="E13" s="10">
        <v>8991.25</v>
      </c>
      <c r="F13" s="10">
        <v>13405.16</v>
      </c>
      <c r="G13" s="12">
        <f>SUM(G10:G12)</f>
        <v>16980.0815</v>
      </c>
      <c r="H13" s="12">
        <f t="shared" ref="H13:K13" si="3">SUM(H10:H12)</f>
        <v>21520.231804999999</v>
      </c>
      <c r="I13" s="12">
        <f t="shared" si="3"/>
        <v>27286.222692349998</v>
      </c>
      <c r="J13" s="12">
        <f t="shared" si="3"/>
        <v>34609.031119284497</v>
      </c>
      <c r="K13" s="12">
        <f t="shared" si="3"/>
        <v>43908.997821491314</v>
      </c>
    </row>
    <row r="14" spans="1:15" x14ac:dyDescent="0.2">
      <c r="A14" s="5" t="s">
        <v>57</v>
      </c>
      <c r="C14" s="5"/>
      <c r="D14" s="5"/>
      <c r="E14" s="5"/>
      <c r="F14" s="5"/>
    </row>
    <row r="15" spans="1:15" x14ac:dyDescent="0.2">
      <c r="A15" s="8" t="s">
        <v>58</v>
      </c>
      <c r="B15" s="9">
        <v>1967.23</v>
      </c>
      <c r="C15" s="9">
        <v>1382.63</v>
      </c>
      <c r="D15" s="9">
        <v>2948.32</v>
      </c>
      <c r="E15" s="9">
        <v>5283.75</v>
      </c>
      <c r="F15" s="9">
        <v>7210.63</v>
      </c>
      <c r="G15" s="19">
        <f>G20*$O$15</f>
        <v>9089.438471689793</v>
      </c>
      <c r="H15" s="19">
        <f t="shared" ref="H15:K15" si="4">H20*$O$15</f>
        <v>11464.545761013565</v>
      </c>
      <c r="I15" s="19">
        <f t="shared" si="4"/>
        <v>14466.768502513038</v>
      </c>
      <c r="J15" s="19">
        <f t="shared" si="4"/>
        <v>18261.320448652546</v>
      </c>
      <c r="K15" s="19">
        <f t="shared" si="4"/>
        <v>23056.831913371112</v>
      </c>
      <c r="M15" t="s">
        <v>80</v>
      </c>
      <c r="O15">
        <f>F15/$F$20</f>
        <v>0.67911476036689711</v>
      </c>
    </row>
    <row r="16" spans="1:15" x14ac:dyDescent="0.2">
      <c r="A16" s="8" t="s">
        <v>59</v>
      </c>
      <c r="B16" s="8">
        <v>66.64</v>
      </c>
      <c r="C16" s="8">
        <v>49.41</v>
      </c>
      <c r="D16" s="8">
        <v>71.89</v>
      </c>
      <c r="E16" s="8">
        <v>144.28</v>
      </c>
      <c r="F16" s="8">
        <v>229.16</v>
      </c>
      <c r="G16" s="19">
        <f>G20*$O$16</f>
        <v>288.87014313207487</v>
      </c>
      <c r="H16" s="19">
        <f t="shared" ref="H16:K16" si="5">H20*$O$16</f>
        <v>364.3530879540163</v>
      </c>
      <c r="I16" s="19">
        <f t="shared" si="5"/>
        <v>459.76629920490825</v>
      </c>
      <c r="J16" s="19">
        <f t="shared" si="5"/>
        <v>580.36041150540484</v>
      </c>
      <c r="K16" s="19">
        <f t="shared" si="5"/>
        <v>732.76587500234007</v>
      </c>
      <c r="M16" t="s">
        <v>80</v>
      </c>
      <c r="O16">
        <f t="shared" ref="O16:O19" si="6">F16/$F$20</f>
        <v>2.1582849000112075E-2</v>
      </c>
    </row>
    <row r="17" spans="1:15" x14ac:dyDescent="0.2">
      <c r="A17" s="8" t="s">
        <v>60</v>
      </c>
      <c r="B17" s="8">
        <v>358.52</v>
      </c>
      <c r="C17" s="8">
        <v>301.86</v>
      </c>
      <c r="D17" s="8">
        <v>398.95</v>
      </c>
      <c r="E17" s="8">
        <v>655.23</v>
      </c>
      <c r="F17" s="9">
        <v>1036.6400000000001</v>
      </c>
      <c r="G17">
        <f>G20*$O$17</f>
        <v>1306.7478843447116</v>
      </c>
      <c r="H17">
        <f t="shared" ref="H17:K17" si="7">H20*$O$17</f>
        <v>1648.206428245119</v>
      </c>
      <c r="I17">
        <f t="shared" si="7"/>
        <v>2079.8225537082217</v>
      </c>
      <c r="J17">
        <f t="shared" si="7"/>
        <v>2625.3483024217271</v>
      </c>
      <c r="K17">
        <f t="shared" si="7"/>
        <v>3314.7775207820996</v>
      </c>
      <c r="M17" t="s">
        <v>80</v>
      </c>
      <c r="O17">
        <f t="shared" si="6"/>
        <v>9.7633289350131713E-2</v>
      </c>
    </row>
    <row r="18" spans="1:15" x14ac:dyDescent="0.2">
      <c r="A18" s="8" t="s">
        <v>61</v>
      </c>
      <c r="B18" s="8">
        <v>58.5</v>
      </c>
      <c r="C18" s="8">
        <v>53.76</v>
      </c>
      <c r="D18" s="8">
        <v>113.11</v>
      </c>
      <c r="E18" s="8">
        <v>154.47</v>
      </c>
      <c r="F18" s="8">
        <v>87.94</v>
      </c>
      <c r="G18">
        <f>G20*$O$18</f>
        <v>110.85372834279396</v>
      </c>
      <c r="H18">
        <f t="shared" ref="H18:K18" si="8">H20*$O$18</f>
        <v>139.82025900975822</v>
      </c>
      <c r="I18">
        <f t="shared" si="8"/>
        <v>176.43501637318744</v>
      </c>
      <c r="J18">
        <f t="shared" si="8"/>
        <v>222.71292803187862</v>
      </c>
      <c r="K18">
        <f t="shared" si="8"/>
        <v>281.19842488962206</v>
      </c>
      <c r="M18" t="s">
        <v>80</v>
      </c>
      <c r="O18">
        <f t="shared" si="6"/>
        <v>8.2824041764263216E-3</v>
      </c>
    </row>
    <row r="19" spans="1:15" x14ac:dyDescent="0.2">
      <c r="A19" s="8" t="s">
        <v>62</v>
      </c>
      <c r="B19" s="8">
        <v>561.02</v>
      </c>
      <c r="C19" s="8">
        <v>471.04</v>
      </c>
      <c r="D19" s="8">
        <v>830.72</v>
      </c>
      <c r="E19" s="9">
        <v>1421.95</v>
      </c>
      <c r="F19" s="9">
        <v>2053.3200000000002</v>
      </c>
      <c r="G19">
        <f>G20*$O$19</f>
        <v>2588.3349724906266</v>
      </c>
      <c r="H19">
        <f t="shared" ref="H19:K19" si="9">H20*$O$19</f>
        <v>3264.6774417775387</v>
      </c>
      <c r="I19">
        <f t="shared" si="9"/>
        <v>4119.5991337206415</v>
      </c>
      <c r="J19">
        <f t="shared" si="9"/>
        <v>5200.1467976622362</v>
      </c>
      <c r="K19">
        <f t="shared" si="9"/>
        <v>6565.7306094423329</v>
      </c>
      <c r="M19" t="s">
        <v>80</v>
      </c>
      <c r="O19">
        <f t="shared" si="6"/>
        <v>0.19338669710643275</v>
      </c>
    </row>
    <row r="20" spans="1:15" x14ac:dyDescent="0.2">
      <c r="A20" s="5" t="s">
        <v>63</v>
      </c>
      <c r="B20" s="10">
        <v>3011.91</v>
      </c>
      <c r="C20" s="10">
        <v>2258.6999999999998</v>
      </c>
      <c r="D20" s="10">
        <v>4362.99</v>
      </c>
      <c r="E20" s="10">
        <v>7659.68</v>
      </c>
      <c r="F20" s="10">
        <v>10617.69</v>
      </c>
      <c r="G20" s="16">
        <f>G13-G25</f>
        <v>13384.245200000001</v>
      </c>
      <c r="H20" s="16">
        <f t="shared" ref="H20:K20" si="10">H13-H25</f>
        <v>16881.602977999999</v>
      </c>
      <c r="I20" s="16">
        <f t="shared" si="10"/>
        <v>21302.391505519998</v>
      </c>
      <c r="J20" s="16">
        <f t="shared" si="10"/>
        <v>26889.888888273796</v>
      </c>
      <c r="K20" s="16">
        <f t="shared" si="10"/>
        <v>33951.304343487507</v>
      </c>
    </row>
    <row r="21" spans="1:15" x14ac:dyDescent="0.2">
      <c r="A21" s="5"/>
      <c r="B21" s="5"/>
      <c r="C21" s="5"/>
      <c r="D21" s="5"/>
      <c r="E21" s="5"/>
      <c r="F21" s="5"/>
      <c r="G21" s="2"/>
      <c r="H21" s="2"/>
      <c r="I21" s="2"/>
      <c r="J21" s="2"/>
      <c r="K21" s="2"/>
    </row>
    <row r="22" spans="1:15" x14ac:dyDescent="0.2">
      <c r="A22" s="5"/>
      <c r="B22" s="10"/>
      <c r="C22" s="10"/>
      <c r="D22" s="10"/>
      <c r="E22" s="10"/>
      <c r="F22" s="10"/>
      <c r="G22" s="1"/>
    </row>
    <row r="23" spans="1:15" x14ac:dyDescent="0.2">
      <c r="A23" s="5"/>
    </row>
    <row r="24" spans="1:15" x14ac:dyDescent="0.2">
      <c r="A24" s="5"/>
      <c r="B24" s="5"/>
      <c r="C24" s="5"/>
      <c r="D24" s="5"/>
      <c r="E24" s="10"/>
      <c r="F24" s="10"/>
    </row>
    <row r="25" spans="1:15" x14ac:dyDescent="0.2">
      <c r="A25" s="5" t="s">
        <v>86</v>
      </c>
      <c r="B25" s="5">
        <v>688.46</v>
      </c>
      <c r="C25" s="5">
        <v>372.49</v>
      </c>
      <c r="D25" s="5">
        <v>721.64</v>
      </c>
      <c r="E25" s="10">
        <v>1331.57</v>
      </c>
      <c r="F25" s="10">
        <v>2787.47</v>
      </c>
      <c r="G25" s="16">
        <f>F25*1.29</f>
        <v>3595.8362999999999</v>
      </c>
      <c r="H25" s="16">
        <f t="shared" ref="H25:K25" si="11">G25*1.29</f>
        <v>4638.6288270000005</v>
      </c>
      <c r="I25" s="16">
        <f t="shared" si="11"/>
        <v>5983.8311868300007</v>
      </c>
      <c r="J25" s="16">
        <f t="shared" si="11"/>
        <v>7719.1422310107009</v>
      </c>
      <c r="K25" s="16">
        <f t="shared" si="11"/>
        <v>9957.6934780038046</v>
      </c>
      <c r="M25" s="3">
        <v>0.28999999999999998</v>
      </c>
      <c r="N25" t="s">
        <v>79</v>
      </c>
    </row>
    <row r="26" spans="1:15" x14ac:dyDescent="0.2">
      <c r="A26" s="8" t="s">
        <v>64</v>
      </c>
      <c r="B26" s="8">
        <v>245.8</v>
      </c>
      <c r="C26" s="8">
        <v>248.65</v>
      </c>
      <c r="D26" s="8">
        <v>304.74</v>
      </c>
      <c r="E26" s="8">
        <v>369.22</v>
      </c>
      <c r="F26" s="8">
        <v>319.10000000000002</v>
      </c>
      <c r="G26">
        <f>$M$26*(Sheet2!G16+Sheet2!G17)</f>
        <v>101.56085665122561</v>
      </c>
      <c r="H26">
        <f>$M$26*(Sheet2!H16+Sheet2!H17)</f>
        <v>101.56085665122561</v>
      </c>
      <c r="I26">
        <f>$M$26*(Sheet2!I16+Sheet2!I17)</f>
        <v>101.56085665122561</v>
      </c>
      <c r="J26">
        <f>$M$26*(Sheet2!J16+Sheet2!J17)</f>
        <v>101.56085665122561</v>
      </c>
      <c r="K26">
        <f>$M$26*(Sheet2!K16+Sheet2!K17)</f>
        <v>101.56085665122561</v>
      </c>
      <c r="M26" s="11">
        <f>Sheet3!F26/(Sheet2!E16+Sheet2!E17)</f>
        <v>7.4806361471090196E-2</v>
      </c>
      <c r="N26" t="s">
        <v>92</v>
      </c>
    </row>
    <row r="27" spans="1:15" x14ac:dyDescent="0.2">
      <c r="A27" s="5" t="s">
        <v>65</v>
      </c>
      <c r="B27" s="5">
        <v>442.66</v>
      </c>
      <c r="C27" s="5">
        <v>123.84</v>
      </c>
      <c r="D27" s="5">
        <v>416.9</v>
      </c>
      <c r="E27" s="5">
        <v>962.35</v>
      </c>
      <c r="F27" s="10">
        <v>2468.37</v>
      </c>
      <c r="G27" s="16">
        <f>G25-G26</f>
        <v>3494.2754433487744</v>
      </c>
      <c r="H27" s="16">
        <f>H25-H26</f>
        <v>4537.0679703487749</v>
      </c>
      <c r="I27" s="16">
        <f>I25-I26</f>
        <v>5882.2703301787751</v>
      </c>
      <c r="J27" s="16">
        <f>J25-J26</f>
        <v>7617.5813743594754</v>
      </c>
      <c r="K27" s="16">
        <f>K25-K26</f>
        <v>9856.132621352579</v>
      </c>
    </row>
    <row r="28" spans="1:15" x14ac:dyDescent="0.2">
      <c r="A28" s="8" t="s">
        <v>66</v>
      </c>
      <c r="B28" s="8">
        <v>247.24</v>
      </c>
      <c r="C28" s="8">
        <v>257.3</v>
      </c>
      <c r="D28" s="8">
        <v>310.82</v>
      </c>
      <c r="E28" s="8">
        <v>493.69</v>
      </c>
      <c r="F28" s="8">
        <v>671.11</v>
      </c>
      <c r="G28" s="13">
        <f>Sheet2!AF7</f>
        <v>892.89589771655665</v>
      </c>
      <c r="H28" s="13">
        <f>Sheet2!AG7</f>
        <v>862.41209066560089</v>
      </c>
      <c r="I28" s="13">
        <f>Sheet2!AH7</f>
        <v>840.54086770714775</v>
      </c>
      <c r="J28" s="13">
        <f>Sheet2!AI7</f>
        <v>824.84891712831165</v>
      </c>
      <c r="K28" s="13">
        <f>Sheet2!AJ7</f>
        <v>813.59041030240689</v>
      </c>
      <c r="M28" s="15">
        <f>F28/Sheet2!F28</f>
        <v>0.28252980600835242</v>
      </c>
      <c r="N28" t="s">
        <v>92</v>
      </c>
    </row>
    <row r="29" spans="1:15" x14ac:dyDescent="0.2">
      <c r="A29" s="5" t="s">
        <v>67</v>
      </c>
      <c r="B29" s="5">
        <v>195.42</v>
      </c>
      <c r="C29" s="5">
        <v>-133.46</v>
      </c>
      <c r="D29" s="5">
        <v>106.08</v>
      </c>
      <c r="E29" s="5">
        <v>468.66</v>
      </c>
      <c r="F29" s="10">
        <v>1797.26</v>
      </c>
      <c r="G29" s="16">
        <f>G27-G28</f>
        <v>2601.3795456322177</v>
      </c>
      <c r="H29" s="16">
        <f>H27-H28</f>
        <v>3674.6558796831741</v>
      </c>
      <c r="I29" s="16">
        <f>I27-I28</f>
        <v>5041.7294624716269</v>
      </c>
      <c r="J29" s="16">
        <f>J27-J28</f>
        <v>6792.7324572311636</v>
      </c>
      <c r="K29" s="16">
        <f>K27-K28</f>
        <v>9042.5422110501713</v>
      </c>
    </row>
    <row r="30" spans="1:15" x14ac:dyDescent="0.2">
      <c r="A30" s="8" t="s">
        <v>68</v>
      </c>
      <c r="B30" s="8">
        <v>59.01</v>
      </c>
      <c r="C30" s="8">
        <v>-23.69</v>
      </c>
      <c r="D30" s="8">
        <v>76.62</v>
      </c>
      <c r="E30" s="8">
        <v>158.44</v>
      </c>
      <c r="F30" s="8">
        <v>443.37</v>
      </c>
      <c r="G30" s="13">
        <f>G29*0.25</f>
        <v>650.34488640805444</v>
      </c>
      <c r="H30" s="13">
        <f t="shared" ref="H30:K30" si="12">H29*0.25</f>
        <v>918.66396992079353</v>
      </c>
      <c r="I30" s="13">
        <f t="shared" si="12"/>
        <v>1260.4323656179067</v>
      </c>
      <c r="J30" s="13">
        <f t="shared" si="12"/>
        <v>1698.1831143077909</v>
      </c>
      <c r="K30" s="13">
        <f t="shared" si="12"/>
        <v>2260.6355527625428</v>
      </c>
      <c r="M30" s="3">
        <v>0.25</v>
      </c>
      <c r="N30" t="s">
        <v>140</v>
      </c>
    </row>
    <row r="31" spans="1:15" x14ac:dyDescent="0.2">
      <c r="A31" s="5" t="s">
        <v>69</v>
      </c>
      <c r="B31" s="5">
        <v>153.21</v>
      </c>
      <c r="C31" s="5">
        <v>-74.81</v>
      </c>
      <c r="D31" s="5">
        <v>100.69</v>
      </c>
      <c r="E31" s="5">
        <v>361.22</v>
      </c>
      <c r="F31" s="10">
        <v>1363.23</v>
      </c>
      <c r="G31" s="16">
        <f>G29-G30</f>
        <v>1951.0346592241633</v>
      </c>
      <c r="H31" s="16">
        <f>H29-H30</f>
        <v>2755.9919097623806</v>
      </c>
      <c r="I31" s="16">
        <f>I29-I30</f>
        <v>3781.2970968537202</v>
      </c>
      <c r="J31" s="16">
        <f>J29-J30</f>
        <v>5094.5493429233729</v>
      </c>
      <c r="K31" s="16">
        <f>K29-K30</f>
        <v>6781.9066582876285</v>
      </c>
      <c r="M31" s="3"/>
    </row>
    <row r="32" spans="1:15" x14ac:dyDescent="0.2">
      <c r="A32" s="5" t="s">
        <v>100</v>
      </c>
      <c r="B32" s="5"/>
      <c r="C32" s="5"/>
      <c r="D32" s="5"/>
      <c r="E32" s="5"/>
      <c r="F32" s="10"/>
      <c r="G32" s="16">
        <f>G37*G35</f>
        <v>156.08277273793306</v>
      </c>
      <c r="H32" s="16">
        <f t="shared" ref="H32:K32" si="13">H37*H35</f>
        <v>220.47935278099047</v>
      </c>
      <c r="I32" s="16">
        <f t="shared" si="13"/>
        <v>302.50376774829761</v>
      </c>
      <c r="J32" s="16">
        <f t="shared" si="13"/>
        <v>407.56394743386988</v>
      </c>
      <c r="K32" s="16">
        <f t="shared" si="13"/>
        <v>542.55253266301031</v>
      </c>
    </row>
    <row r="33" spans="1:13" x14ac:dyDescent="0.2">
      <c r="A33" s="5" t="s">
        <v>101</v>
      </c>
      <c r="B33" s="5"/>
      <c r="C33" s="5"/>
      <c r="D33" s="5"/>
      <c r="E33" s="5"/>
      <c r="F33" s="10"/>
      <c r="G33" s="16">
        <f>G31-G32</f>
        <v>1794.9518864862303</v>
      </c>
      <c r="H33" s="16">
        <f t="shared" ref="H33:K33" si="14">H31-H32</f>
        <v>2535.5125569813899</v>
      </c>
      <c r="I33" s="16">
        <f t="shared" si="14"/>
        <v>3478.7933291054223</v>
      </c>
      <c r="J33" s="16">
        <f t="shared" si="14"/>
        <v>4686.9853954895034</v>
      </c>
      <c r="K33" s="16">
        <f t="shared" si="14"/>
        <v>6239.3541256246181</v>
      </c>
    </row>
    <row r="34" spans="1:13" x14ac:dyDescent="0.2">
      <c r="A34" s="5" t="s">
        <v>71</v>
      </c>
      <c r="C34" s="5"/>
      <c r="D34" s="5"/>
      <c r="E34" s="5"/>
      <c r="F34" s="5"/>
    </row>
    <row r="35" spans="1:13" x14ac:dyDescent="0.2">
      <c r="A35" s="8" t="s">
        <v>150</v>
      </c>
      <c r="B35" s="9">
        <v>35.548699999999997</v>
      </c>
      <c r="C35" s="9">
        <v>35.548699999999997</v>
      </c>
      <c r="D35" s="9">
        <v>35.548699999999997</v>
      </c>
      <c r="E35" s="9">
        <v>35.548699999999997</v>
      </c>
      <c r="F35" s="9">
        <v>35.548699999999997</v>
      </c>
      <c r="G35" s="1">
        <f>F35</f>
        <v>35.548699999999997</v>
      </c>
      <c r="H35" s="1">
        <f>G35</f>
        <v>35.548699999999997</v>
      </c>
      <c r="I35" s="1">
        <f>H35</f>
        <v>35.548699999999997</v>
      </c>
      <c r="J35" s="1">
        <f>I35</f>
        <v>35.548699999999997</v>
      </c>
      <c r="K35" s="1">
        <f>J35</f>
        <v>35.548699999999997</v>
      </c>
    </row>
    <row r="36" spans="1:13" x14ac:dyDescent="0.2">
      <c r="A36" s="5" t="s">
        <v>72</v>
      </c>
      <c r="B36" s="5">
        <v>4.3099999999999996</v>
      </c>
      <c r="C36" s="5">
        <v>-2.1</v>
      </c>
      <c r="D36" s="5">
        <v>2.83</v>
      </c>
      <c r="E36" s="5">
        <v>10.16</v>
      </c>
      <c r="F36" s="5">
        <v>38.35</v>
      </c>
      <c r="G36" s="16">
        <f>G31/G35</f>
        <v>54.883432002412562</v>
      </c>
      <c r="H36" s="16">
        <f t="shared" ref="H36:K36" si="15">H31/H35</f>
        <v>77.527220679304193</v>
      </c>
      <c r="I36" s="16">
        <f t="shared" si="15"/>
        <v>106.36949021634322</v>
      </c>
      <c r="J36" s="16">
        <f t="shared" si="15"/>
        <v>143.31183258243968</v>
      </c>
      <c r="K36" s="16">
        <f t="shared" si="15"/>
        <v>190.77790912994368</v>
      </c>
    </row>
    <row r="37" spans="1:13" x14ac:dyDescent="0.2">
      <c r="A37" s="8" t="s">
        <v>70</v>
      </c>
      <c r="B37" s="8">
        <v>52.08</v>
      </c>
      <c r="C37" s="8">
        <v>35.549999999999997</v>
      </c>
      <c r="D37" s="8">
        <v>42.66</v>
      </c>
      <c r="E37" s="8">
        <v>39.1</v>
      </c>
      <c r="F37" s="8">
        <v>78.209999999999994</v>
      </c>
      <c r="G37" s="13">
        <f>G36*$M$37</f>
        <v>4.3906745601930046</v>
      </c>
      <c r="H37" s="13">
        <f t="shared" ref="H37:K37" si="16">H36*$M$37</f>
        <v>6.2021776543443359</v>
      </c>
      <c r="I37" s="13">
        <f t="shared" si="16"/>
        <v>8.5095592173074586</v>
      </c>
      <c r="J37" s="13">
        <f t="shared" si="16"/>
        <v>11.464946606595175</v>
      </c>
      <c r="K37" s="13">
        <f t="shared" si="16"/>
        <v>15.262232730395494</v>
      </c>
      <c r="M37" s="3">
        <v>0.08</v>
      </c>
    </row>
    <row r="38" spans="1:13" x14ac:dyDescent="0.2">
      <c r="A38" s="5" t="s">
        <v>152</v>
      </c>
      <c r="B38" s="2">
        <v>484.35</v>
      </c>
      <c r="C38" s="5">
        <v>751.05</v>
      </c>
      <c r="D38" s="5">
        <v>1275.5</v>
      </c>
      <c r="E38" s="5">
        <v>1374.95</v>
      </c>
      <c r="F38" s="5">
        <v>3948</v>
      </c>
    </row>
    <row r="39" spans="1:13" x14ac:dyDescent="0.2">
      <c r="A39" s="8" t="s">
        <v>153</v>
      </c>
      <c r="B39" s="9">
        <f>B38/B36</f>
        <v>112.37819025522043</v>
      </c>
      <c r="C39" s="9">
        <f t="shared" ref="C39:F39" si="17">C38/C36</f>
        <v>-357.64285714285711</v>
      </c>
      <c r="D39" s="9">
        <f t="shared" si="17"/>
        <v>450.70671378091873</v>
      </c>
      <c r="E39" s="9">
        <f t="shared" si="17"/>
        <v>135.32972440944883</v>
      </c>
      <c r="F39" s="9">
        <f t="shared" si="17"/>
        <v>102.94654498044328</v>
      </c>
      <c r="G39" s="1"/>
      <c r="H39" s="1"/>
      <c r="I39" s="1"/>
      <c r="J39" s="1"/>
    </row>
    <row r="40" spans="1:13" x14ac:dyDescent="0.2">
      <c r="A40" s="5" t="s">
        <v>154</v>
      </c>
      <c r="B40" s="33">
        <f>((B25-B28)*0.75)/(Sheet2!B16+Sheet2!B13+Sheet2!B22)</f>
        <v>0.11529456443346564</v>
      </c>
      <c r="C40" s="33">
        <f>((C25-C28)*0.75)/(Sheet2!C16+Sheet2!C13+Sheet2!C22)</f>
        <v>3.103792056620381E-2</v>
      </c>
      <c r="D40" s="33">
        <f>((D25-D28)*0.75)/(Sheet2!D16+Sheet2!D13+Sheet2!D22)</f>
        <v>9.8527121619590624E-2</v>
      </c>
      <c r="E40" s="33">
        <f>((E25-E28)*0.75)/(Sheet2!E16+Sheet2!E13+Sheet2!E22)</f>
        <v>0.1790454102536341</v>
      </c>
      <c r="F40" s="33">
        <f>((F25-F28)*0.75)/(Sheet2!F16+Sheet2!F13+Sheet2!F22)</f>
        <v>0.29863127098952985</v>
      </c>
      <c r="G40" s="33">
        <f>((G25-G28)*0.75)/(Sheet2!G16+Sheet2!G13+Sheet2!G22)</f>
        <v>0.28511620987676378</v>
      </c>
      <c r="H40" s="33">
        <f>((H25-H28)*0.75)/(Sheet2!H16+Sheet2!H13+Sheet2!H22)</f>
        <v>0.2936217872744073</v>
      </c>
      <c r="I40" s="33">
        <f>((I25-I28)*0.75)/(Sheet2!I16+Sheet2!I13+Sheet2!I22)</f>
        <v>0.29391556603440416</v>
      </c>
      <c r="J40" s="33">
        <f>((J25-J28)*0.75)/(Sheet2!J16+Sheet2!J13+Sheet2!J22)</f>
        <v>0.29030407316387608</v>
      </c>
      <c r="K40" s="33">
        <f>((K25-K28)*0.75)/(Sheet2!K16+Sheet2!K13+Sheet2!K22)</f>
        <v>0.28515027899262635</v>
      </c>
    </row>
    <row r="41" spans="1:13" x14ac:dyDescent="0.2">
      <c r="A41" s="8"/>
      <c r="B41" s="8"/>
      <c r="C41" s="8"/>
      <c r="D41" s="8"/>
      <c r="E41" s="8"/>
      <c r="F41" s="8"/>
      <c r="G41" s="13"/>
      <c r="H41" s="13"/>
      <c r="I41" s="13"/>
      <c r="J41" s="13"/>
      <c r="K41" s="13"/>
    </row>
    <row r="42" spans="1:13" x14ac:dyDescent="0.2">
      <c r="G42" s="13"/>
      <c r="H42" s="13"/>
      <c r="I42" s="13"/>
      <c r="J42" s="13"/>
      <c r="K42" s="13"/>
    </row>
    <row r="43" spans="1:13" x14ac:dyDescent="0.2">
      <c r="G43" s="13"/>
      <c r="H43" s="13"/>
      <c r="I43" s="13"/>
      <c r="J43" s="13"/>
      <c r="K43" s="13"/>
    </row>
    <row r="45" spans="1:13" ht="19" x14ac:dyDescent="0.2">
      <c r="G45" s="35"/>
      <c r="H45" s="35"/>
      <c r="I45" s="35"/>
      <c r="J45" s="35"/>
      <c r="K45" s="35"/>
    </row>
  </sheetData>
  <phoneticPr fontId="1" type="noConversion"/>
  <pageMargins left="0.7" right="0.7" top="0.75" bottom="0.75" header="0.3" footer="0.3"/>
  <ignoredErrors>
    <ignoredError sqref="G30 G28:J28 H30:J30 G32:J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24CC-9298-124B-87F2-D070C25BDB09}">
  <dimension ref="B1:M33"/>
  <sheetViews>
    <sheetView tabSelected="1" zoomScale="131" workbookViewId="0">
      <selection activeCell="K18" sqref="K18"/>
    </sheetView>
  </sheetViews>
  <sheetFormatPr baseColWidth="10" defaultRowHeight="16" x14ac:dyDescent="0.2"/>
  <cols>
    <col min="1" max="1" width="25.1640625" customWidth="1"/>
    <col min="2" max="2" width="32" customWidth="1"/>
    <col min="9" max="9" width="15.83203125" customWidth="1"/>
    <col min="11" max="11" width="11.6640625" customWidth="1"/>
  </cols>
  <sheetData>
    <row r="1" spans="2:13" ht="17" thickBot="1" x14ac:dyDescent="0.25">
      <c r="B1" s="20" t="s">
        <v>104</v>
      </c>
      <c r="C1" s="28">
        <v>45717</v>
      </c>
      <c r="D1" s="28">
        <v>46082</v>
      </c>
      <c r="E1" s="28">
        <v>46447</v>
      </c>
      <c r="F1" s="28">
        <v>46813</v>
      </c>
      <c r="G1" s="20" t="s">
        <v>105</v>
      </c>
      <c r="I1" s="20" t="s">
        <v>106</v>
      </c>
      <c r="J1" s="20"/>
    </row>
    <row r="2" spans="2:13" x14ac:dyDescent="0.2">
      <c r="B2" t="s">
        <v>86</v>
      </c>
      <c r="C2" s="19">
        <f>Sheet3!G25</f>
        <v>3595.8362999999999</v>
      </c>
      <c r="D2" s="19">
        <f>Sheet3!H25</f>
        <v>4638.6288270000005</v>
      </c>
      <c r="E2" s="19">
        <f>Sheet3!I25</f>
        <v>5983.8311868300007</v>
      </c>
      <c r="F2" s="19">
        <f>Sheet3!J25</f>
        <v>7719.1422310107009</v>
      </c>
      <c r="J2" s="21"/>
    </row>
    <row r="3" spans="2:13" x14ac:dyDescent="0.2">
      <c r="B3" t="s">
        <v>141</v>
      </c>
      <c r="C3" s="19">
        <f>Sheet3!G28</f>
        <v>892.89589771655665</v>
      </c>
      <c r="D3" s="19">
        <f>Sheet3!H28</f>
        <v>862.41209066560089</v>
      </c>
      <c r="E3" s="19">
        <f>Sheet3!I28</f>
        <v>840.54086770714775</v>
      </c>
      <c r="F3" s="19">
        <f>Sheet3!J28</f>
        <v>824.84891712831165</v>
      </c>
      <c r="I3" t="s">
        <v>145</v>
      </c>
      <c r="J3" s="21"/>
      <c r="K3" s="3">
        <v>0.1</v>
      </c>
    </row>
    <row r="4" spans="2:13" x14ac:dyDescent="0.2">
      <c r="B4" t="s">
        <v>142</v>
      </c>
      <c r="C4" s="19">
        <f>C2-C3</f>
        <v>2702.9404022834433</v>
      </c>
      <c r="D4" s="19">
        <f t="shared" ref="D4:F4" si="0">D2-D3</f>
        <v>3776.2167363343997</v>
      </c>
      <c r="E4" s="19">
        <f t="shared" si="0"/>
        <v>5143.2903191228525</v>
      </c>
      <c r="F4" s="19">
        <f t="shared" si="0"/>
        <v>6894.2933138823892</v>
      </c>
      <c r="I4" t="s">
        <v>107</v>
      </c>
      <c r="J4" s="21"/>
      <c r="K4" s="29">
        <f>Sheet3!F26/(Sheet2!E16+Sheet2!E17)*0.75</f>
        <v>5.6104771103317644E-2</v>
      </c>
      <c r="L4" s="29"/>
      <c r="M4" s="29"/>
    </row>
    <row r="5" spans="2:13" x14ac:dyDescent="0.2">
      <c r="B5" t="s">
        <v>108</v>
      </c>
      <c r="C5" s="19">
        <f>C4*$G$5</f>
        <v>675.73510057086082</v>
      </c>
      <c r="D5" s="19">
        <f t="shared" ref="D5:F5" si="1">D4*$G$5</f>
        <v>944.05418408359992</v>
      </c>
      <c r="E5" s="19">
        <f t="shared" si="1"/>
        <v>1285.8225797807131</v>
      </c>
      <c r="F5" s="19">
        <f t="shared" si="1"/>
        <v>1723.5733284705973</v>
      </c>
      <c r="G5" s="3">
        <v>0.25</v>
      </c>
      <c r="I5" t="s">
        <v>109</v>
      </c>
      <c r="J5" s="21"/>
      <c r="K5" s="21">
        <v>6.5000000000000002E-2</v>
      </c>
      <c r="L5" t="s">
        <v>144</v>
      </c>
    </row>
    <row r="6" spans="2:13" x14ac:dyDescent="0.2">
      <c r="B6" t="s">
        <v>110</v>
      </c>
      <c r="C6" s="19">
        <f>C4-C5</f>
        <v>2027.2053017125825</v>
      </c>
      <c r="D6" s="19">
        <f t="shared" ref="D6:F6" si="2">D4-D5</f>
        <v>2832.1625522507998</v>
      </c>
      <c r="E6" s="19">
        <f t="shared" si="2"/>
        <v>3857.4677393421393</v>
      </c>
      <c r="F6" s="19">
        <f t="shared" si="2"/>
        <v>5170.7199854117916</v>
      </c>
      <c r="I6" t="s">
        <v>111</v>
      </c>
      <c r="J6" s="21"/>
      <c r="K6" s="31">
        <f>K3-K5</f>
        <v>3.5000000000000003E-2</v>
      </c>
    </row>
    <row r="7" spans="2:13" x14ac:dyDescent="0.2">
      <c r="B7" t="s">
        <v>112</v>
      </c>
      <c r="C7" s="19">
        <f ca="1">Sheet2!G33-Sheet2!F33</f>
        <v>-2.0340438241469698</v>
      </c>
      <c r="D7" s="19">
        <f ca="1">Sheet2!H33-Sheet2!G33</f>
        <v>-1.2763623322747222</v>
      </c>
      <c r="E7" s="19">
        <f ca="1">Sheet2!I33-Sheet2!H33</f>
        <v>-0.91575193014078593</v>
      </c>
      <c r="F7" s="19">
        <f ca="1">Sheet2!J33-Sheet2!I33</f>
        <v>-0.65702471496633308</v>
      </c>
      <c r="I7" t="s">
        <v>116</v>
      </c>
      <c r="J7" s="19"/>
      <c r="K7">
        <v>1.1299999999999999</v>
      </c>
    </row>
    <row r="8" spans="2:13" x14ac:dyDescent="0.2">
      <c r="B8" t="s">
        <v>113</v>
      </c>
      <c r="C8" s="19">
        <f>C3</f>
        <v>892.89589771655665</v>
      </c>
      <c r="D8" s="19">
        <f t="shared" ref="D8:F8" si="3">D3</f>
        <v>862.41209066560089</v>
      </c>
      <c r="E8" s="19">
        <f t="shared" si="3"/>
        <v>840.54086770714775</v>
      </c>
      <c r="F8" s="19">
        <f t="shared" si="3"/>
        <v>824.84891712831165</v>
      </c>
      <c r="I8" t="s">
        <v>146</v>
      </c>
      <c r="J8" s="3"/>
      <c r="K8" s="29">
        <f>1/(1+K12)</f>
        <v>0.71942446043165464</v>
      </c>
    </row>
    <row r="9" spans="2:13" x14ac:dyDescent="0.2">
      <c r="B9" t="s">
        <v>114</v>
      </c>
      <c r="C9" s="19">
        <v>785</v>
      </c>
      <c r="D9" s="19">
        <f>C9</f>
        <v>785</v>
      </c>
      <c r="E9" s="19">
        <f t="shared" ref="E9:F9" si="4">D9</f>
        <v>785</v>
      </c>
      <c r="F9" s="19">
        <f t="shared" si="4"/>
        <v>785</v>
      </c>
      <c r="I9" t="s">
        <v>147</v>
      </c>
      <c r="J9" s="19"/>
      <c r="K9" s="3">
        <f>K12/(1+K12)</f>
        <v>0.2805755395683453</v>
      </c>
    </row>
    <row r="10" spans="2:13" x14ac:dyDescent="0.2">
      <c r="B10" t="s">
        <v>115</v>
      </c>
      <c r="C10" s="19">
        <f>Sheet2!G35-Sheet2!F35</f>
        <v>0</v>
      </c>
      <c r="D10" s="19">
        <f>Sheet2!H35-Sheet2!G35</f>
        <v>0</v>
      </c>
      <c r="E10" s="19">
        <f>Sheet2!I35-Sheet2!H35</f>
        <v>0</v>
      </c>
      <c r="F10" s="19">
        <f>Sheet2!J35-Sheet2!I35</f>
        <v>0</v>
      </c>
      <c r="I10" t="s">
        <v>148</v>
      </c>
      <c r="J10" s="19"/>
      <c r="K10" s="3">
        <f>G5</f>
        <v>0.25</v>
      </c>
    </row>
    <row r="11" spans="2:13" x14ac:dyDescent="0.2">
      <c r="B11" s="22" t="s">
        <v>117</v>
      </c>
      <c r="C11" s="19">
        <f ca="1">Sheet2!G38+Sheet2!G39+Sheet2!G40+Sheet2!G41+Sheet2!G42-Sheet2!G21-Sheet2!G22-Sheet2!G23+Sheet2!F21+Sheet2!F22+Sheet2!F23-Sheet2!F38-Sheet2!F39-Sheet2!F40-Sheet2!F41-Sheet2!F42</f>
        <v>1662.5076331943876</v>
      </c>
      <c r="D11" s="19">
        <f ca="1">Sheet2!H38+Sheet2!H39+Sheet2!H40+Sheet2!H41+Sheet2!H42-Sheet2!H21-Sheet2!H22-Sheet2!H23+Sheet2!G21+Sheet2!G22+Sheet2!G23-Sheet2!G38-Sheet2!G39-Sheet2!G40-Sheet2!G41-Sheet2!G42</f>
        <v>2249.2132615296573</v>
      </c>
      <c r="E11" s="19">
        <f ca="1">Sheet2!I38+Sheet2!I39+Sheet2!I40+Sheet2!I41+Sheet2!I42-Sheet2!I21-Sheet2!I22-Sheet2!I23+Sheet2!H21+Sheet2!H22+Sheet2!H23-Sheet2!H38-Sheet2!H39-Sheet2!H40-Sheet2!H41-Sheet2!H42</f>
        <v>3035.6465389152513</v>
      </c>
      <c r="F11" s="19">
        <f ca="1">Sheet2!J38+Sheet2!J39+Sheet2!J40+Sheet2!J41+Sheet2!J42-Sheet2!J21-Sheet2!J22-Sheet2!J23+Sheet2!I21+Sheet2!I22+Sheet2!I23-Sheet2!I38-Sheet2!I39-Sheet2!I40-Sheet2!I41-Sheet2!I42</f>
        <v>4056.2216052309659</v>
      </c>
      <c r="I11" t="s">
        <v>118</v>
      </c>
      <c r="J11" s="21"/>
      <c r="K11" s="29">
        <f>K5+(K7*(K3-K5))</f>
        <v>0.10455</v>
      </c>
    </row>
    <row r="12" spans="2:13" x14ac:dyDescent="0.2">
      <c r="B12" t="s">
        <v>119</v>
      </c>
      <c r="C12" s="19">
        <f ca="1">C6+C7+C8-C9-C10-C11</f>
        <v>470.55952241060436</v>
      </c>
      <c r="D12" s="19">
        <f t="shared" ref="D12:F12" ca="1" si="5">D6+D7+D8-D9-D10-D11</f>
        <v>659.08501905446838</v>
      </c>
      <c r="E12" s="19">
        <f t="shared" ca="1" si="5"/>
        <v>876.44631620389509</v>
      </c>
      <c r="F12" s="19">
        <f t="shared" ca="1" si="5"/>
        <v>1153.6902725941709</v>
      </c>
      <c r="I12" s="23" t="s">
        <v>120</v>
      </c>
      <c r="J12" s="24"/>
      <c r="K12" s="29">
        <v>0.39</v>
      </c>
      <c r="M12" t="s">
        <v>155</v>
      </c>
    </row>
    <row r="13" spans="2:13" x14ac:dyDescent="0.2">
      <c r="B13" t="s">
        <v>121</v>
      </c>
      <c r="C13" s="19">
        <f>(1-$G$5)*Sheet3!G11</f>
        <v>824.23635000000002</v>
      </c>
      <c r="D13" s="19">
        <f>(1-$G$5)*Sheet3!H11</f>
        <v>1046.7801645</v>
      </c>
      <c r="E13" s="19">
        <f>(1-$G$5)*Sheet3!I11</f>
        <v>1329.410808915</v>
      </c>
      <c r="F13" s="19">
        <f>(1-$G$5)*Sheet3!J11</f>
        <v>1688.35172732205</v>
      </c>
      <c r="I13" s="25" t="s">
        <v>122</v>
      </c>
      <c r="J13" s="26"/>
      <c r="K13" s="32">
        <f>(K11*K8)+(K4*K9)</f>
        <v>9.0957453762801344E-2</v>
      </c>
    </row>
    <row r="14" spans="2:13" x14ac:dyDescent="0.2">
      <c r="B14" s="22" t="s">
        <v>123</v>
      </c>
      <c r="C14" s="19">
        <f ca="1">C12+C13</f>
        <v>1294.7958724106043</v>
      </c>
      <c r="D14" s="19">
        <f t="shared" ref="D14:F14" ca="1" si="6">D12+D13</f>
        <v>1705.8651835544683</v>
      </c>
      <c r="E14" s="19">
        <f t="shared" ca="1" si="6"/>
        <v>2205.8571251188951</v>
      </c>
      <c r="F14" s="19">
        <f t="shared" ca="1" si="6"/>
        <v>2842.0419999162209</v>
      </c>
      <c r="I14" s="23" t="s">
        <v>124</v>
      </c>
      <c r="J14" s="24"/>
      <c r="K14" s="3">
        <f>AVERAGE(Sheet3!B40:J40)</f>
        <v>0.20949932491243059</v>
      </c>
    </row>
    <row r="15" spans="2:13" x14ac:dyDescent="0.2">
      <c r="B15" s="23" t="s">
        <v>125</v>
      </c>
      <c r="C15" s="19">
        <f>(F4*(1+K15)*(1-K10)*(1-K16))/(K13-K15)</f>
        <v>146326.0767663295</v>
      </c>
      <c r="D15" s="19"/>
      <c r="E15" s="19"/>
      <c r="F15" s="19"/>
      <c r="I15" s="23" t="s">
        <v>126</v>
      </c>
      <c r="J15" s="21"/>
      <c r="K15" s="21">
        <f>K5</f>
        <v>6.5000000000000002E-2</v>
      </c>
    </row>
    <row r="16" spans="2:13" x14ac:dyDescent="0.2">
      <c r="B16" s="23" t="s">
        <v>127</v>
      </c>
      <c r="C16" s="34">
        <f ca="1">NPV(K13,C12:F12)+PV(K13,4,,-C15)</f>
        <v>105772.18497656971</v>
      </c>
      <c r="D16" s="19"/>
      <c r="E16" s="19"/>
      <c r="F16" s="19"/>
      <c r="I16" s="25" t="s">
        <v>128</v>
      </c>
      <c r="J16" s="26"/>
      <c r="K16" s="29">
        <f>K15/K14</f>
        <v>0.31026352961838705</v>
      </c>
    </row>
    <row r="17" spans="2:11" x14ac:dyDescent="0.2">
      <c r="B17" s="23" t="s">
        <v>129</v>
      </c>
      <c r="C17" s="19">
        <f>(F13*(1+K15)*(1-K16))/(K13-K15)</f>
        <v>47778.623703796729</v>
      </c>
      <c r="D17" s="19"/>
      <c r="E17" s="19"/>
      <c r="F17" s="19"/>
      <c r="I17" s="23" t="s">
        <v>149</v>
      </c>
      <c r="K17" s="1">
        <f>Sheet3!G35</f>
        <v>35.548699999999997</v>
      </c>
    </row>
    <row r="18" spans="2:11" x14ac:dyDescent="0.2">
      <c r="B18" s="23" t="s">
        <v>130</v>
      </c>
      <c r="C18" s="34">
        <f>NPV(K13,C13:F13)+PV(K13,4,,-C17)</f>
        <v>37579.666612295179</v>
      </c>
      <c r="D18" s="19"/>
      <c r="E18" s="19"/>
      <c r="F18" s="19"/>
      <c r="I18" s="23" t="s">
        <v>151</v>
      </c>
      <c r="K18" s="19">
        <f ca="1">C33/K17</f>
        <v>1848.7981691753255</v>
      </c>
    </row>
    <row r="19" spans="2:11" x14ac:dyDescent="0.2">
      <c r="B19" s="27" t="s">
        <v>131</v>
      </c>
      <c r="C19" s="34">
        <f ca="1">C16+C18</f>
        <v>143351.8515888649</v>
      </c>
      <c r="D19" s="19"/>
      <c r="E19" s="19"/>
      <c r="F19" s="19"/>
      <c r="I19" s="23" t="s">
        <v>156</v>
      </c>
      <c r="K19">
        <f ca="1">C19/K17</f>
        <v>4032.548351665881</v>
      </c>
    </row>
    <row r="20" spans="2:11" x14ac:dyDescent="0.2">
      <c r="I20" s="25"/>
    </row>
    <row r="21" spans="2:11" ht="17" thickBot="1" x14ac:dyDescent="0.25">
      <c r="G21" s="28"/>
      <c r="K21" s="1"/>
    </row>
    <row r="22" spans="2:11" ht="17" thickBot="1" x14ac:dyDescent="0.25">
      <c r="B22" s="20" t="s">
        <v>132</v>
      </c>
      <c r="C22" s="28">
        <v>45717</v>
      </c>
      <c r="D22" s="28">
        <v>46082</v>
      </c>
      <c r="E22" s="28">
        <v>46447</v>
      </c>
      <c r="F22" s="28">
        <v>46813</v>
      </c>
    </row>
    <row r="23" spans="2:11" x14ac:dyDescent="0.2">
      <c r="B23" t="s">
        <v>133</v>
      </c>
      <c r="C23" s="30">
        <f>Sheet3!G31</f>
        <v>1951.0346592241633</v>
      </c>
      <c r="D23" s="30">
        <f>Sheet3!H31</f>
        <v>2755.9919097623806</v>
      </c>
      <c r="E23" s="30">
        <f>Sheet3!I31</f>
        <v>3781.2970968537202</v>
      </c>
      <c r="F23" s="30">
        <f>Sheet3!J31</f>
        <v>5094.5493429233729</v>
      </c>
    </row>
    <row r="24" spans="2:11" x14ac:dyDescent="0.2">
      <c r="B24" t="s">
        <v>113</v>
      </c>
      <c r="C24" s="19">
        <f>C3</f>
        <v>892.89589771655665</v>
      </c>
      <c r="D24" s="19">
        <f t="shared" ref="D24:F24" si="7">D3</f>
        <v>862.41209066560089</v>
      </c>
      <c r="E24" s="19">
        <f t="shared" si="7"/>
        <v>840.54086770714775</v>
      </c>
      <c r="F24" s="19">
        <f t="shared" si="7"/>
        <v>824.84891712831165</v>
      </c>
    </row>
    <row r="25" spans="2:11" x14ac:dyDescent="0.2">
      <c r="B25" t="s">
        <v>134</v>
      </c>
      <c r="C25" s="19">
        <f>Sheet2!G19-Sheet2!F19</f>
        <v>0</v>
      </c>
      <c r="D25" s="19">
        <f>Sheet2!H19-Sheet2!G19</f>
        <v>0</v>
      </c>
      <c r="E25" s="19">
        <f>Sheet2!I19-Sheet2!H19</f>
        <v>0</v>
      </c>
      <c r="F25" s="19">
        <f>Sheet2!J19-Sheet2!I19</f>
        <v>0</v>
      </c>
    </row>
    <row r="26" spans="2:11" x14ac:dyDescent="0.2">
      <c r="B26" t="s">
        <v>135</v>
      </c>
      <c r="C26" s="19">
        <f>Sheet2!G22-Sheet2!F22</f>
        <v>0</v>
      </c>
      <c r="D26" s="19">
        <f>Sheet2!H22-Sheet2!G22</f>
        <v>0</v>
      </c>
      <c r="E26" s="19">
        <f>Sheet2!I22-Sheet2!H22</f>
        <v>0</v>
      </c>
      <c r="F26" s="19">
        <f>Sheet2!J22-Sheet2!I22</f>
        <v>0</v>
      </c>
    </row>
    <row r="27" spans="2:11" x14ac:dyDescent="0.2">
      <c r="B27" t="s">
        <v>136</v>
      </c>
      <c r="C27" s="19">
        <f ca="1">C7</f>
        <v>-2.0340438241469698</v>
      </c>
      <c r="D27" s="19">
        <f t="shared" ref="D27:F27" ca="1" si="8">D7</f>
        <v>-1.2763623322747222</v>
      </c>
      <c r="E27" s="19">
        <f t="shared" ca="1" si="8"/>
        <v>-0.91575193014078593</v>
      </c>
      <c r="F27" s="19">
        <f t="shared" ca="1" si="8"/>
        <v>-0.65702471496633308</v>
      </c>
    </row>
    <row r="28" spans="2:11" x14ac:dyDescent="0.2">
      <c r="B28" t="s">
        <v>114</v>
      </c>
      <c r="C28" s="19">
        <f>C9</f>
        <v>785</v>
      </c>
      <c r="D28" s="19">
        <f t="shared" ref="D28:F28" si="9">D9</f>
        <v>785</v>
      </c>
      <c r="E28" s="19">
        <f t="shared" si="9"/>
        <v>785</v>
      </c>
      <c r="F28" s="19">
        <f t="shared" si="9"/>
        <v>785</v>
      </c>
    </row>
    <row r="29" spans="2:11" x14ac:dyDescent="0.2">
      <c r="B29" t="s">
        <v>115</v>
      </c>
      <c r="C29" s="19">
        <f>C10</f>
        <v>0</v>
      </c>
      <c r="D29" s="19">
        <f t="shared" ref="D29:F29" si="10">D10</f>
        <v>0</v>
      </c>
      <c r="E29" s="19">
        <f t="shared" si="10"/>
        <v>0</v>
      </c>
      <c r="F29" s="19">
        <f t="shared" si="10"/>
        <v>0</v>
      </c>
    </row>
    <row r="30" spans="2:11" x14ac:dyDescent="0.2">
      <c r="B30" s="22" t="s">
        <v>117</v>
      </c>
      <c r="C30" s="19">
        <f ca="1">C11</f>
        <v>1662.5076331943876</v>
      </c>
      <c r="D30" s="19">
        <f t="shared" ref="D30:F30" ca="1" si="11">D11</f>
        <v>2249.2132615296573</v>
      </c>
      <c r="E30" s="19">
        <f t="shared" ca="1" si="11"/>
        <v>3035.6465389152513</v>
      </c>
      <c r="F30" s="19">
        <f t="shared" ca="1" si="11"/>
        <v>4056.2216052309659</v>
      </c>
    </row>
    <row r="31" spans="2:11" x14ac:dyDescent="0.2">
      <c r="B31" t="s">
        <v>137</v>
      </c>
      <c r="C31" s="19">
        <f ca="1">C23+C24+C25+C26+C27-C28-C29-C30</f>
        <v>394.3888799221852</v>
      </c>
      <c r="D31" s="19">
        <f t="shared" ref="D31:F31" ca="1" si="12">D23+D24+D25+D26+D27-D28-D29-D30</f>
        <v>582.91437656604921</v>
      </c>
      <c r="E31" s="19">
        <f t="shared" ca="1" si="12"/>
        <v>800.27567371547548</v>
      </c>
      <c r="F31" s="19">
        <f t="shared" ca="1" si="12"/>
        <v>1077.5196301057522</v>
      </c>
    </row>
    <row r="32" spans="2:11" x14ac:dyDescent="0.2">
      <c r="B32" t="s">
        <v>138</v>
      </c>
      <c r="C32" s="19">
        <f>(F23*(1+K15)*(1-K16))/(K11-K15)</f>
        <v>94621.991233910812</v>
      </c>
      <c r="D32" s="19"/>
      <c r="E32" s="19"/>
      <c r="F32" s="19"/>
    </row>
    <row r="33" spans="2:6" x14ac:dyDescent="0.2">
      <c r="B33" s="27" t="s">
        <v>139</v>
      </c>
      <c r="C33" s="34">
        <f ca="1">NPV(K11,C31:F31)+PV(K11,4,,-C32)</f>
        <v>65722.371476562883</v>
      </c>
      <c r="D33" s="19"/>
      <c r="E33" s="19"/>
      <c r="F33" s="19"/>
    </row>
  </sheetData>
  <pageMargins left="0.7" right="0.7" top="0.75" bottom="0.75" header="0.3" footer="0.3"/>
  <ignoredErrors>
    <ignoredError sqref="C5:F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F156-8BEF-7741-9F12-66850415FDCB}">
  <dimension ref="C1:J22"/>
  <sheetViews>
    <sheetView zoomScale="139" workbookViewId="0">
      <selection activeCell="I3" sqref="I3"/>
    </sheetView>
  </sheetViews>
  <sheetFormatPr baseColWidth="10" defaultRowHeight="16" x14ac:dyDescent="0.2"/>
  <sheetData>
    <row r="1" spans="3:10" x14ac:dyDescent="0.2">
      <c r="C1" t="s">
        <v>157</v>
      </c>
    </row>
    <row r="2" spans="3:10" x14ac:dyDescent="0.2">
      <c r="C2" t="s">
        <v>179</v>
      </c>
      <c r="I2">
        <v>3886.8</v>
      </c>
    </row>
    <row r="3" spans="3:10" x14ac:dyDescent="0.2">
      <c r="C3" t="s">
        <v>159</v>
      </c>
      <c r="I3" s="1">
        <f>Sheet4!K17</f>
        <v>35.548699999999997</v>
      </c>
      <c r="J3" t="s">
        <v>160</v>
      </c>
    </row>
    <row r="4" spans="3:10" x14ac:dyDescent="0.2">
      <c r="C4" t="s">
        <v>158</v>
      </c>
      <c r="I4">
        <f>I2*I3</f>
        <v>138170.68716</v>
      </c>
      <c r="J4" t="s">
        <v>160</v>
      </c>
    </row>
    <row r="5" spans="3:10" x14ac:dyDescent="0.2">
      <c r="C5" t="s">
        <v>161</v>
      </c>
      <c r="I5">
        <f>Sheet2!F16+Sheet2!F17+Sheet2!F22</f>
        <v>2106.5</v>
      </c>
    </row>
    <row r="6" spans="3:10" x14ac:dyDescent="0.2">
      <c r="C6" t="s">
        <v>162</v>
      </c>
      <c r="I6" s="3">
        <f>Sheet4!K12</f>
        <v>0.39</v>
      </c>
    </row>
    <row r="7" spans="3:10" x14ac:dyDescent="0.2">
      <c r="C7" t="s">
        <v>163</v>
      </c>
      <c r="I7">
        <f>Sheet2!F41</f>
        <v>297.56</v>
      </c>
    </row>
    <row r="8" spans="3:10" x14ac:dyDescent="0.2">
      <c r="C8" t="s">
        <v>165</v>
      </c>
      <c r="I8" s="1">
        <f>Sheet3!F25</f>
        <v>2787.47</v>
      </c>
    </row>
    <row r="10" spans="3:10" x14ac:dyDescent="0.2">
      <c r="C10" t="s">
        <v>164</v>
      </c>
      <c r="I10">
        <f>I4+I5-I7</f>
        <v>139979.62716</v>
      </c>
    </row>
    <row r="12" spans="3:10" x14ac:dyDescent="0.2">
      <c r="F12" t="s">
        <v>166</v>
      </c>
      <c r="G12" t="s">
        <v>167</v>
      </c>
      <c r="H12" t="s">
        <v>169</v>
      </c>
    </row>
    <row r="13" spans="3:10" ht="18" x14ac:dyDescent="0.2">
      <c r="C13" t="s">
        <v>168</v>
      </c>
      <c r="F13" s="36">
        <f>I10/I8</f>
        <v>50.217447061313671</v>
      </c>
      <c r="G13" s="38">
        <v>17.87</v>
      </c>
      <c r="H13" s="37">
        <v>51.95</v>
      </c>
    </row>
    <row r="14" spans="3:10" ht="19" x14ac:dyDescent="0.2">
      <c r="C14" t="s">
        <v>170</v>
      </c>
      <c r="F14" s="1">
        <f>Sheet3!F39</f>
        <v>102.94654498044328</v>
      </c>
      <c r="G14" s="39">
        <v>38.200000000000003</v>
      </c>
      <c r="H14" s="40">
        <v>87.95</v>
      </c>
    </row>
    <row r="15" spans="3:10" ht="18" x14ac:dyDescent="0.2">
      <c r="C15" t="s">
        <v>171</v>
      </c>
      <c r="F15" s="19">
        <f>I4/Sheet3!F13</f>
        <v>10.307276239895682</v>
      </c>
      <c r="G15" s="38">
        <v>1.46</v>
      </c>
      <c r="H15" s="37">
        <v>4.18</v>
      </c>
    </row>
    <row r="16" spans="3:10" x14ac:dyDescent="0.2">
      <c r="C16" t="s">
        <v>172</v>
      </c>
      <c r="F16">
        <f>Sheet3!F36</f>
        <v>38.35</v>
      </c>
      <c r="G16">
        <v>4.76</v>
      </c>
      <c r="H16">
        <v>36</v>
      </c>
    </row>
    <row r="17" spans="3:8" ht="17" x14ac:dyDescent="0.2">
      <c r="C17" t="s">
        <v>173</v>
      </c>
      <c r="F17" s="3">
        <f>Sheet3!F40</f>
        <v>0.29863127098952985</v>
      </c>
      <c r="G17" s="41">
        <v>15.4</v>
      </c>
      <c r="H17" s="40">
        <v>19.41</v>
      </c>
    </row>
    <row r="18" spans="3:8" ht="18" x14ac:dyDescent="0.2">
      <c r="C18" t="s">
        <v>174</v>
      </c>
      <c r="F18" s="29">
        <f>Sheet3!F31/Sheet2!F45</f>
        <v>0.19034872761545713</v>
      </c>
      <c r="G18" s="41">
        <v>5.08</v>
      </c>
      <c r="H18" s="37">
        <v>12.82</v>
      </c>
    </row>
    <row r="19" spans="3:8" x14ac:dyDescent="0.2">
      <c r="C19" t="s">
        <v>175</v>
      </c>
      <c r="F19" s="29">
        <f>Sheet3!F25/Sheet3!F8</f>
        <v>0.20904885683730237</v>
      </c>
      <c r="G19" s="42">
        <v>6.22</v>
      </c>
      <c r="H19" s="40">
        <v>7.82</v>
      </c>
    </row>
    <row r="20" spans="3:8" ht="19" x14ac:dyDescent="0.2">
      <c r="C20" t="s">
        <v>176</v>
      </c>
      <c r="F20" s="13">
        <f ca="1">I2/Sheet4!K19</f>
        <v>0.96385701076450303</v>
      </c>
      <c r="G20" s="41">
        <v>-11.16</v>
      </c>
      <c r="H20" s="43">
        <v>-1.26</v>
      </c>
    </row>
    <row r="21" spans="3:8" ht="18" x14ac:dyDescent="0.2">
      <c r="C21" t="s">
        <v>177</v>
      </c>
      <c r="F21" s="19">
        <f>Sheet3!F25/Sheet3!F26</f>
        <v>8.7354120965214648</v>
      </c>
      <c r="G21" s="41">
        <v>3.22</v>
      </c>
      <c r="H21" s="37">
        <v>59.14</v>
      </c>
    </row>
    <row r="22" spans="3:8" ht="17" x14ac:dyDescent="0.2">
      <c r="C22" t="s">
        <v>178</v>
      </c>
      <c r="F22" s="19">
        <f>(Sheet2!F44-Sheet2!F43)/(Sheet2!F24-Sheet2!F23)</f>
        <v>1.7723607134413828</v>
      </c>
      <c r="G22" s="41">
        <v>1.82</v>
      </c>
      <c r="H22" s="40">
        <v>2.99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singh</dc:creator>
  <cp:lastModifiedBy>arjan singh</cp:lastModifiedBy>
  <dcterms:created xsi:type="dcterms:W3CDTF">2025-03-07T18:13:34Z</dcterms:created>
  <dcterms:modified xsi:type="dcterms:W3CDTF">2025-04-01T10:06:13Z</dcterms:modified>
</cp:coreProperties>
</file>